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uraj\iCloudDrive\Hult\1. Masters in Finance, 2022\0. Modules\2. Spring 2023 (Jan-May)\8. Investments\Equity Research\Final\"/>
    </mc:Choice>
  </mc:AlternateContent>
  <xr:revisionPtr revIDLastSave="0" documentId="13_ncr:1_{E33D22F0-6717-442E-BBD2-56C1DB36A496}" xr6:coauthVersionLast="47" xr6:coauthVersionMax="47" xr10:uidLastSave="{00000000-0000-0000-0000-000000000000}"/>
  <bookViews>
    <workbookView xWindow="-98" yWindow="-98" windowWidth="21795" windowHeight="13875" tabRatio="956" firstSheet="1" activeTab="1" xr2:uid="{608A0F95-C411-4E87-BE42-51159C3A09C7}"/>
  </bookViews>
  <sheets>
    <sheet name="__FDSCACHE__" sheetId="6" state="veryHidden" r:id="rId1"/>
    <sheet name="Outputs &gt;&gt;" sheetId="84" r:id="rId2"/>
    <sheet name="Cover Sheet" sheetId="71" r:id="rId3"/>
    <sheet name="Valuartion Summary" sheetId="56" state="hidden" r:id="rId4"/>
    <sheet name="Valuation Summary" sheetId="76" r:id="rId5"/>
    <sheet name="Financials Summary" sheetId="77" r:id="rId6"/>
    <sheet name="Scenarios" sheetId="35" r:id="rId7"/>
    <sheet name="DCF" sheetId="57" r:id="rId8"/>
    <sheet name="Inputs &gt;&gt;" sheetId="83" r:id="rId9"/>
    <sheet name="AMZN_Revenue Build" sheetId="52" r:id="rId10"/>
    <sheet name="AMZN_IS" sheetId="36" r:id="rId11"/>
    <sheet name="AMZN_BS" sheetId="9" r:id="rId12"/>
    <sheet name="AMZN_CFS" sheetId="44" r:id="rId13"/>
    <sheet name="WACC" sheetId="79" r:id="rId14"/>
    <sheet name="Relative Valuation &amp; WACC" sheetId="67" r:id="rId15"/>
    <sheet name="Football Feild" sheetId="80" r:id="rId16"/>
    <sheet name="Main Competitors &amp; Acq" sheetId="81" r:id="rId17"/>
    <sheet name="Assuptions" sheetId="82" r:id="rId18"/>
    <sheet name="Ratios" sheetId="55" state="hidden" r:id="rId19"/>
    <sheet name="PB_CACHE" sheetId="70" state="veryHidden" r:id="rId20"/>
  </sheets>
  <externalReferences>
    <externalReference r:id="rId21"/>
    <externalReference r:id="rId22"/>
    <externalReference r:id="rId23"/>
  </externalReferences>
  <definedNames>
    <definedName name="\C">#REF!</definedName>
    <definedName name="\P">#REF!</definedName>
    <definedName name="\Q">#REF!</definedName>
    <definedName name="\S">#REF!</definedName>
    <definedName name="\X">#REF!</definedName>
    <definedName name="____a2" hidden="1">{"Page1",#N/A,FALSE,"CompCo";"Page2",#N/A,FALSE,"CompCo"}</definedName>
    <definedName name="____a3" hidden="1">{"Page1",#N/A,FALSE,"CompCo";"Page2",#N/A,FALSE,"CompCo"}</definedName>
    <definedName name="____aa2" hidden="1">{#N/A,#N/A,FALSE,"Hip.Bas";#N/A,#N/A,FALSE,"ventas";#N/A,#N/A,FALSE,"ingre-Año";#N/A,#N/A,FALSE,"ventas-Año";#N/A,#N/A,FALSE,"Costepro";#N/A,#N/A,FALSE,"inversion";#N/A,#N/A,FALSE,"personal";#N/A,#N/A,FALSE,"Gastos-V";#N/A,#N/A,FALSE,"Circulante";#N/A,#N/A,FALSE,"CONSOLI";#N/A,#N/A,FALSE,"Es-Fin";#N/A,#N/A,FALSE,"Margen-P"}</definedName>
    <definedName name="____aa3" hidden="1">{#N/A,#N/A,FALSE,"Hip.Bas";#N/A,#N/A,FALSE,"ventas";#N/A,#N/A,FALSE,"ingre-Año";#N/A,#N/A,FALSE,"ventas-Año";#N/A,#N/A,FALSE,"Costepro";#N/A,#N/A,FALSE,"inversion";#N/A,#N/A,FALSE,"personal";#N/A,#N/A,FALSE,"Gastos-V";#N/A,#N/A,FALSE,"Circulante";#N/A,#N/A,FALSE,"CONSOLI";#N/A,#N/A,FALSE,"Es-Fin";#N/A,#N/A,FALSE,"Margen-P"}</definedName>
    <definedName name="___a2" hidden="1">{"Page1",#N/A,FALSE,"CompCo";"Page2",#N/A,FALSE,"CompCo"}</definedName>
    <definedName name="___a3" hidden="1">{"Page1",#N/A,FALSE,"CompCo";"Page2",#N/A,FALSE,"CompCo"}</definedName>
    <definedName name="___aa2" hidden="1">{#N/A,#N/A,FALSE,"Hip.Bas";#N/A,#N/A,FALSE,"ventas";#N/A,#N/A,FALSE,"ingre-Año";#N/A,#N/A,FALSE,"ventas-Año";#N/A,#N/A,FALSE,"Costepro";#N/A,#N/A,FALSE,"inversion";#N/A,#N/A,FALSE,"personal";#N/A,#N/A,FALSE,"Gastos-V";#N/A,#N/A,FALSE,"Circulante";#N/A,#N/A,FALSE,"CONSOLI";#N/A,#N/A,FALSE,"Es-Fin";#N/A,#N/A,FALSE,"Margen-P"}</definedName>
    <definedName name="___aa3" hidden="1">{#N/A,#N/A,FALSE,"Hip.Bas";#N/A,#N/A,FALSE,"ventas";#N/A,#N/A,FALSE,"ingre-Año";#N/A,#N/A,FALSE,"ventas-Año";#N/A,#N/A,FALSE,"Costepro";#N/A,#N/A,FALSE,"inversion";#N/A,#N/A,FALSE,"personal";#N/A,#N/A,FALSE,"Gastos-V";#N/A,#N/A,FALSE,"Circulante";#N/A,#N/A,FALSE,"CONSOLI";#N/A,#N/A,FALSE,"Es-Fin";#N/A,#N/A,FALSE,"Margen-P"}</definedName>
    <definedName name="___bb2" hidden="1">{#N/A,#N/A,FALSE,"Hip.Bas";#N/A,#N/A,FALSE,"ventas";#N/A,#N/A,FALSE,"ingre-Año";#N/A,#N/A,FALSE,"ventas-Año";#N/A,#N/A,FALSE,"Costepro";#N/A,#N/A,FALSE,"inversion";#N/A,#N/A,FALSE,"personal";#N/A,#N/A,FALSE,"Gastos-V";#N/A,#N/A,FALSE,"Circulante";#N/A,#N/A,FALSE,"CONSOLI";#N/A,#N/A,FALSE,"Es-Fin";#N/A,#N/A,FALSE,"Margen-P"}</definedName>
    <definedName name="___bb3" hidden="1">{#N/A,#N/A,FALSE,"Hip.Bas";#N/A,#N/A,FALSE,"ventas";#N/A,#N/A,FALSE,"ingre-Año";#N/A,#N/A,FALSE,"ventas-Año";#N/A,#N/A,FALSE,"Costepro";#N/A,#N/A,FALSE,"inversion";#N/A,#N/A,FALSE,"personal";#N/A,#N/A,FALSE,"Gastos-V";#N/A,#N/A,FALSE,"Circulante";#N/A,#N/A,FALSE,"CONSOLI";#N/A,#N/A,FALSE,"Es-Fin";#N/A,#N/A,FALSE,"Margen-P"}</definedName>
    <definedName name="___cc2" hidden="1">{#N/A,#N/A,FALSE,"Hip.Bas";#N/A,#N/A,FALSE,"ventas";#N/A,#N/A,FALSE,"ingre-Año";#N/A,#N/A,FALSE,"ventas-Año";#N/A,#N/A,FALSE,"Costepro";#N/A,#N/A,FALSE,"inversion";#N/A,#N/A,FALSE,"personal";#N/A,#N/A,FALSE,"Gastos-V";#N/A,#N/A,FALSE,"Circulante";#N/A,#N/A,FALSE,"CONSOLI";#N/A,#N/A,FALSE,"Es-Fin";#N/A,#N/A,FALSE,"Margen-P"}</definedName>
    <definedName name="___cc3" hidden="1">{#N/A,#N/A,FALSE,"Hip.Bas";#N/A,#N/A,FALSE,"ventas";#N/A,#N/A,FALSE,"ingre-Año";#N/A,#N/A,FALSE,"ventas-Año";#N/A,#N/A,FALSE,"Costepro";#N/A,#N/A,FALSE,"inversion";#N/A,#N/A,FALSE,"personal";#N/A,#N/A,FALSE,"Gastos-V";#N/A,#N/A,FALSE,"Circulante";#N/A,#N/A,FALSE,"CONSOLI";#N/A,#N/A,FALSE,"Es-Fin";#N/A,#N/A,FALSE,"Margen-P"}</definedName>
    <definedName name="___cc4" hidden="1">{#N/A,#N/A,FALSE,"Hip.Bas";#N/A,#N/A,FALSE,"ventas";#N/A,#N/A,FALSE,"ingre-Año";#N/A,#N/A,FALSE,"ventas-Año";#N/A,#N/A,FALSE,"Costepro";#N/A,#N/A,FALSE,"inversion";#N/A,#N/A,FALSE,"personal";#N/A,#N/A,FALSE,"Gastos-V";#N/A,#N/A,FALSE,"Circulante";#N/A,#N/A,FALSE,"CONSOLI";#N/A,#N/A,FALSE,"Es-Fin";#N/A,#N/A,FALSE,"Margen-P"}</definedName>
    <definedName name="__aud2">[1]Sensetivities!#REF!</definedName>
    <definedName name="__bb2" hidden="1">{#N/A,#N/A,FALSE,"Hip.Bas";#N/A,#N/A,FALSE,"ventas";#N/A,#N/A,FALSE,"ingre-Año";#N/A,#N/A,FALSE,"ventas-Año";#N/A,#N/A,FALSE,"Costepro";#N/A,#N/A,FALSE,"inversion";#N/A,#N/A,FALSE,"personal";#N/A,#N/A,FALSE,"Gastos-V";#N/A,#N/A,FALSE,"Circulante";#N/A,#N/A,FALSE,"CONSOLI";#N/A,#N/A,FALSE,"Es-Fin";#N/A,#N/A,FALSE,"Margen-P"}</definedName>
    <definedName name="__bb3" hidden="1">{#N/A,#N/A,FALSE,"Hip.Bas";#N/A,#N/A,FALSE,"ventas";#N/A,#N/A,FALSE,"ingre-Año";#N/A,#N/A,FALSE,"ventas-Año";#N/A,#N/A,FALSE,"Costepro";#N/A,#N/A,FALSE,"inversion";#N/A,#N/A,FALSE,"personal";#N/A,#N/A,FALSE,"Gastos-V";#N/A,#N/A,FALSE,"Circulante";#N/A,#N/A,FALSE,"CONSOLI";#N/A,#N/A,FALSE,"Es-Fin";#N/A,#N/A,FALSE,"Margen-P"}</definedName>
    <definedName name="__cc2" hidden="1">{#N/A,#N/A,FALSE,"Hip.Bas";#N/A,#N/A,FALSE,"ventas";#N/A,#N/A,FALSE,"ingre-Año";#N/A,#N/A,FALSE,"ventas-Año";#N/A,#N/A,FALSE,"Costepro";#N/A,#N/A,FALSE,"inversion";#N/A,#N/A,FALSE,"personal";#N/A,#N/A,FALSE,"Gastos-V";#N/A,#N/A,FALSE,"Circulante";#N/A,#N/A,FALSE,"CONSOLI";#N/A,#N/A,FALSE,"Es-Fin";#N/A,#N/A,FALSE,"Margen-P"}</definedName>
    <definedName name="__cc3" hidden="1">{#N/A,#N/A,FALSE,"Hip.Bas";#N/A,#N/A,FALSE,"ventas";#N/A,#N/A,FALSE,"ingre-Año";#N/A,#N/A,FALSE,"ventas-Año";#N/A,#N/A,FALSE,"Costepro";#N/A,#N/A,FALSE,"inversion";#N/A,#N/A,FALSE,"personal";#N/A,#N/A,FALSE,"Gastos-V";#N/A,#N/A,FALSE,"Circulante";#N/A,#N/A,FALSE,"CONSOLI";#N/A,#N/A,FALSE,"Es-Fin";#N/A,#N/A,FALSE,"Margen-P"}</definedName>
    <definedName name="__cc4" hidden="1">{#N/A,#N/A,FALSE,"Hip.Bas";#N/A,#N/A,FALSE,"ventas";#N/A,#N/A,FALSE,"ingre-Año";#N/A,#N/A,FALSE,"ventas-Año";#N/A,#N/A,FALSE,"Costepro";#N/A,#N/A,FALSE,"inversion";#N/A,#N/A,FALSE,"personal";#N/A,#N/A,FALSE,"Gastos-V";#N/A,#N/A,FALSE,"Circulante";#N/A,#N/A,FALSE,"CONSOLI";#N/A,#N/A,FALSE,"Es-Fin";#N/A,#N/A,FALSE,"Margen-P"}</definedName>
    <definedName name="__cov1">#REF!</definedName>
    <definedName name="__cov2">#REF!</definedName>
    <definedName name="__cov3">#REF!</definedName>
    <definedName name="__cov4">#REF!</definedName>
    <definedName name="__DAT1">#REF!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CF2">#REF!</definedName>
    <definedName name="__FDS_HYPERLINK_TOGGLE_STATE__" hidden="1">"ON"</definedName>
    <definedName name="__iia2">#REF!</definedName>
    <definedName name="__op2">[1]Sensetivities!#REF!</definedName>
    <definedName name="__rev2">#REF!</definedName>
    <definedName name="__SYN1">#REF!</definedName>
    <definedName name="__SYN2">#REF!</definedName>
    <definedName name="__UST10">#REF!</definedName>
    <definedName name="_a2" localSheetId="7" hidden="1">{"Page1",#N/A,FALSE,"CompCo";"Page2",#N/A,FALSE,"CompCo"}</definedName>
    <definedName name="_a3" localSheetId="7" hidden="1">{"Page1",#N/A,FALSE,"CompCo";"Page2",#N/A,FALSE,"CompCo"}</definedName>
    <definedName name="_aa2" localSheetId="7" hidden="1">{#N/A,#N/A,FALSE,"Hip.Bas";#N/A,#N/A,FALSE,"ventas";#N/A,#N/A,FALSE,"ingre-Año";#N/A,#N/A,FALSE,"ventas-Año";#N/A,#N/A,FALSE,"Costepro";#N/A,#N/A,FALSE,"inversion";#N/A,#N/A,FALSE,"personal";#N/A,#N/A,FALSE,"Gastos-V";#N/A,#N/A,FALSE,"Circulante";#N/A,#N/A,FALSE,"CONSOLI";#N/A,#N/A,FALSE,"Es-Fin";#N/A,#N/A,FALSE,"Margen-P"}</definedName>
    <definedName name="_aa3" localSheetId="7" hidden="1">{#N/A,#N/A,FALSE,"Hip.Bas";#N/A,#N/A,FALSE,"ventas";#N/A,#N/A,FALSE,"ingre-Año";#N/A,#N/A,FALSE,"ventas-Año";#N/A,#N/A,FALSE,"Costepro";#N/A,#N/A,FALSE,"inversion";#N/A,#N/A,FALSE,"personal";#N/A,#N/A,FALSE,"Gastos-V";#N/A,#N/A,FALSE,"Circulante";#N/A,#N/A,FALSE,"CONSOLI";#N/A,#N/A,FALSE,"Es-Fin";#N/A,#N/A,FALSE,"Margen-P"}</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aud2">#REF!</definedName>
    <definedName name="_bb2" localSheetId="7" hidden="1">{#N/A,#N/A,FALSE,"Hip.Bas";#N/A,#N/A,FALSE,"ventas";#N/A,#N/A,FALSE,"ingre-Año";#N/A,#N/A,FALSE,"ventas-Año";#N/A,#N/A,FALSE,"Costepro";#N/A,#N/A,FALSE,"inversion";#N/A,#N/A,FALSE,"personal";#N/A,#N/A,FALSE,"Gastos-V";#N/A,#N/A,FALSE,"Circulante";#N/A,#N/A,FALSE,"CONSOLI";#N/A,#N/A,FALSE,"Es-Fin";#N/A,#N/A,FALSE,"Margen-P"}</definedName>
    <definedName name="_bb3" localSheetId="7" hidden="1">{#N/A,#N/A,FALSE,"Hip.Bas";#N/A,#N/A,FALSE,"ventas";#N/A,#N/A,FALSE,"ingre-Año";#N/A,#N/A,FALSE,"ventas-Año";#N/A,#N/A,FALSE,"Costepro";#N/A,#N/A,FALSE,"inversion";#N/A,#N/A,FALSE,"personal";#N/A,#N/A,FALSE,"Gastos-V";#N/A,#N/A,FALSE,"Circulante";#N/A,#N/A,FALSE,"CONSOLI";#N/A,#N/A,FALSE,"Es-Fin";#N/A,#N/A,FALSE,"Margen-P"}</definedName>
    <definedName name="_bdm.16E3EF166D88478E9A191CDEB447369C.edm" hidden="1">#REF!</definedName>
    <definedName name="_bdm.18968945170C4F5CA639288DAE17CCF9.edm" hidden="1">#REF!</definedName>
    <definedName name="_bdm.1A097974184247BD8B7D3A4B1B7798A3.edm" hidden="1">#REF!</definedName>
    <definedName name="_bdm.1F893283B8CC497CB31EF233BE48FD54.edm" hidden="1">#REF!</definedName>
    <definedName name="_bdm.24053EC26E0E42C59D343B60F5359362.edm" hidden="1">#REF!</definedName>
    <definedName name="_bdm.2802879BE2FE4928A5B216B854501D54.edm" hidden="1">#REF!</definedName>
    <definedName name="_bdm.39459D8BBDD04332A9D942280B1EA3FD.edm" hidden="1">#REF!</definedName>
    <definedName name="_bdm.3D44F97329974CCA898E17BDECB9A46D.edm" hidden="1">#REF!</definedName>
    <definedName name="_bdm.4DAEA7B24F144A779BA9CFF4656F67C6.edm" hidden="1">#REF!</definedName>
    <definedName name="_bdm.4DE485F962164F04A9BC7EAB1559C7EC.edm" hidden="1">#REF!</definedName>
    <definedName name="_bdm.5C951DE7CEF3413CB284D2AB8DBE5472.edm" hidden="1">#REF!</definedName>
    <definedName name="_bdm.6E2CF51EE3FA489D95CB0284362218AF.edm" hidden="1">#REF!</definedName>
    <definedName name="_bdm.722924384BFC4E37BE27AB71CFB3D337.edm" hidden="1">#REF!</definedName>
    <definedName name="_bdm.86713E1E955644FF92F2EB7F3113F0DD.edm" hidden="1">#REF!</definedName>
    <definedName name="_bdm.88E59F6CD70547099CD8BA46974E0949.edm" hidden="1">#REF!</definedName>
    <definedName name="_bdm.900DD6E084D64DA782F698FA014CD096.edm" hidden="1">#REF!</definedName>
    <definedName name="_bdm.924C87CBA3FE4EA7B53C77B4D991A6A0.edm" hidden="1">#REF!</definedName>
    <definedName name="_bdm.A79F588BF2614D939269CCDA52812C6D.edm" hidden="1">#REF!</definedName>
    <definedName name="_bdm.A7D37ADB3A3040E4BDCC1755C1C6088C.edm" hidden="1">#REF!</definedName>
    <definedName name="_bdm.AC853950B3F545D4926B894230397BB2.edm" hidden="1">#REF!</definedName>
    <definedName name="_bdm.AD56EF9D0B094ED5B4D6BC0D9440D4F6.edm" hidden="1">#REF!</definedName>
    <definedName name="_bdm.BC81ABCFAA2749A0A9E2240434B14792.edm" hidden="1">#REF!</definedName>
    <definedName name="_bdm.BD317FAA4371447B977173A73F5531D4.edm" hidden="1">#REF!</definedName>
    <definedName name="_bdm.BD59F6D19C1A475E825F46042D768AB0.edm" hidden="1">#REF!</definedName>
    <definedName name="_bdm.BEB2F95F24B24EAB90138193071F1E29.edm" hidden="1">#REF!</definedName>
    <definedName name="_bdm.C07CD3D680EF4A06BECF1E32F7B7610E.edm" hidden="1">#REF!</definedName>
    <definedName name="_bdm.D412CDD30DA5427EBBC7528CBF85F081.edm" hidden="1">#REF!</definedName>
    <definedName name="_bdm.E041C6A9B8954528AADD8F7068C48F07.edm" hidden="1">#REF!</definedName>
    <definedName name="_bdm.E56B62D59AD54ABEB1916BA48C55254E.edm" hidden="1">#REF!</definedName>
    <definedName name="_bdm.E56F4A9B83C94D2596CC33A5474EB4E8.edm" hidden="1">#REF!</definedName>
    <definedName name="_bdm.E8142B1BF13243DCA4F041CB21944A34.edm" hidden="1">#REF!</definedName>
    <definedName name="_bdm.F06A0D734DB8408D8C173F683FFE59AD.edm" hidden="1">#REF!</definedName>
    <definedName name="_bdm.F9A76E8F2FDC484DB105176A94D78344.edm" hidden="1">#REF!</definedName>
    <definedName name="_bdm.FB51049EF56344D38D3633CD14F7B1FF.edm" hidden="1">#REF!</definedName>
    <definedName name="_bdm.FEA33AD468264489846F7312C498EB2F.edm" hidden="1">#REF!</definedName>
    <definedName name="_bdm.FEC99CB30DCC42E98F5EC88F47038578.edm" hidden="1">#REF!</definedName>
    <definedName name="_cc2" localSheetId="7" hidden="1">{#N/A,#N/A,FALSE,"Hip.Bas";#N/A,#N/A,FALSE,"ventas";#N/A,#N/A,FALSE,"ingre-Año";#N/A,#N/A,FALSE,"ventas-Año";#N/A,#N/A,FALSE,"Costepro";#N/A,#N/A,FALSE,"inversion";#N/A,#N/A,FALSE,"personal";#N/A,#N/A,FALSE,"Gastos-V";#N/A,#N/A,FALSE,"Circulante";#N/A,#N/A,FALSE,"CONSOLI";#N/A,#N/A,FALSE,"Es-Fin";#N/A,#N/A,FALSE,"Margen-P"}</definedName>
    <definedName name="_cc3" localSheetId="7" hidden="1">{#N/A,#N/A,FALSE,"Hip.Bas";#N/A,#N/A,FALSE,"ventas";#N/A,#N/A,FALSE,"ingre-Año";#N/A,#N/A,FALSE,"ventas-Año";#N/A,#N/A,FALSE,"Costepro";#N/A,#N/A,FALSE,"inversion";#N/A,#N/A,FALSE,"personal";#N/A,#N/A,FALSE,"Gastos-V";#N/A,#N/A,FALSE,"Circulante";#N/A,#N/A,FALSE,"CONSOLI";#N/A,#N/A,FALSE,"Es-Fin";#N/A,#N/A,FALSE,"Margen-P"}</definedName>
    <definedName name="_cc4" localSheetId="7" hidden="1">{#N/A,#N/A,FALSE,"Hip.Bas";#N/A,#N/A,FALSE,"ventas";#N/A,#N/A,FALSE,"ingre-Año";#N/A,#N/A,FALSE,"ventas-Año";#N/A,#N/A,FALSE,"Costepro";#N/A,#N/A,FALSE,"inversion";#N/A,#N/A,FALSE,"personal";#N/A,#N/A,FALSE,"Gastos-V";#N/A,#N/A,FALSE,"Circulante";#N/A,#N/A,FALSE,"CONSOLI";#N/A,#N/A,FALSE,"Es-Fin";#N/A,#N/A,FALSE,"Margen-P"}</definedName>
    <definedName name="_cov1">#REF!</definedName>
    <definedName name="_cov2">#REF!</definedName>
    <definedName name="_cov3">#REF!</definedName>
    <definedName name="_cov4">#REF!</definedName>
    <definedName name="_DAT1">#REF!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CF2">#REF!</definedName>
    <definedName name="_Div1">#REF!</definedName>
    <definedName name="_Div2">#REF!</definedName>
    <definedName name="_Div3">#REF!</definedName>
    <definedName name="_Div4">#REF!</definedName>
    <definedName name="_iia2">#REF!</definedName>
    <definedName name="_Key1" hidden="1">#REF!</definedName>
    <definedName name="_op2">#REF!</definedName>
    <definedName name="_Order1" hidden="1">0</definedName>
    <definedName name="_Regression_Int">1</definedName>
    <definedName name="_rev2">#REF!</definedName>
    <definedName name="_Sort" hidden="1">#REF!</definedName>
    <definedName name="_SYN1">#REF!</definedName>
    <definedName name="_SYN2">#REF!</definedName>
    <definedName name="_Table2_In1" hidden="1">#REF!</definedName>
    <definedName name="_Table2_In2" hidden="1">#REF!</definedName>
    <definedName name="_Table2_Out" hidden="1">#REF!</definedName>
    <definedName name="_UST10">#REF!</definedName>
    <definedName name="_xlchart.v5.0" hidden="1">DCF!$S$5:$S$7</definedName>
    <definedName name="_xlchart.v5.1" hidden="1">DCF!$T$5:$T$7</definedName>
    <definedName name="a">#REF!</definedName>
    <definedName name="A.IndexPos">#N/A</definedName>
    <definedName name="A.NewPricePaste">#N/A</definedName>
    <definedName name="A.NewPriceRow">#N/A</definedName>
    <definedName name="A.VolPos">#N/A</definedName>
    <definedName name="accrued">#REF!</definedName>
    <definedName name="ACQ">#REF!</definedName>
    <definedName name="acqnumber">#REF!</definedName>
    <definedName name="acqrevgrowth">#REF!</definedName>
    <definedName name="actual_start_year">1993</definedName>
    <definedName name="Adj">#REF!</definedName>
    <definedName name="ADR">#REF!</definedName>
    <definedName name="afas" hidden="1">[0]!afas</definedName>
    <definedName name="amort">#REF!</definedName>
    <definedName name="AmountsOptions">#REF!</definedName>
    <definedName name="Annualization_Factor">69.03/54.876539</definedName>
    <definedName name="anscount" hidden="1">1</definedName>
    <definedName name="anumber">#REF!</definedName>
    <definedName name="ardays">#REF!</definedName>
    <definedName name="arevgrowth">#REF!</definedName>
    <definedName name="as" hidden="1">"c2895"</definedName>
    <definedName name="asasa" hidden="1">[0]!asasa</definedName>
    <definedName name="asd" hidden="1">[0]!asd</definedName>
    <definedName name="asf" hidden="1">{"bs",#N/A,FALSE,"SCF"}</definedName>
    <definedName name="asfa">[0]!asfa</definedName>
    <definedName name="asfasfas">[0]!asfasfas</definedName>
    <definedName name="asfasfsa">[0]!asfasfsa</definedName>
    <definedName name="asfdasfs">[0]!asfdasfs</definedName>
    <definedName name="asfsaf">[0]!asfsaf</definedName>
    <definedName name="asfsafa">[0]!asfsafa</definedName>
    <definedName name="asfsafs" hidden="1">[0]!asfsafs</definedName>
    <definedName name="asfsasa">[0]!asfsasa</definedName>
    <definedName name="asset">#REF!</definedName>
    <definedName name="ASSUMP_PL">#REF!</definedName>
    <definedName name="B.Close" localSheetId="7">OFFSET([0]!P.Close,[0]!P.LastRow,0,1,1)</definedName>
    <definedName name="B.Close">OFFSET([0]!P.Close,[0]!P.LastRow,0,1,1)</definedName>
    <definedName name="B.Comp" localSheetId="7">OFFSET([0]!P.Comp,[0]!P.LastRow,0,1,1)</definedName>
    <definedName name="B.Comp">OFFSET([0]!P.Comp,[0]!P.LastRow,0,1,1)</definedName>
    <definedName name="B.High">#N/A</definedName>
    <definedName name="B.Low">#N/A</definedName>
    <definedName name="B.OldPriceData">#N/A</definedName>
    <definedName name="B.OldPriceRow">#N/A</definedName>
    <definedName name="B.Vol">#N/A</definedName>
    <definedName name="BACK_A">#REF!</definedName>
    <definedName name="BackFromItemSelect">[0]!BackFromItemSelect</definedName>
    <definedName name="BAL_SHT">#REF!</definedName>
    <definedName name="balance">#REF!</definedName>
    <definedName name="bass">#REF!</definedName>
    <definedName name="BLPH15" hidden="1">#REF!</definedName>
    <definedName name="BLPH19" hidden="1">#REF!</definedName>
    <definedName name="BLPH23" hidden="1">#REF!</definedName>
    <definedName name="BLPH27" hidden="1">#REF!</definedName>
    <definedName name="BLPH5" hidden="1">#REF!</definedName>
    <definedName name="BLPH65" hidden="1">#REF!</definedName>
    <definedName name="BLPH69" hidden="1">#REF!</definedName>
    <definedName name="bnumber">#REF!</definedName>
    <definedName name="brevgrowth">#REF!</definedName>
    <definedName name="bridge">#REF!</definedName>
    <definedName name="bRight">[0]!bRight</definedName>
    <definedName name="bs">#REF!</definedName>
    <definedName name="BS_A">#REF!</definedName>
    <definedName name="BS_CF">#REF!</definedName>
    <definedName name="BSDate">#REF!</definedName>
    <definedName name="BSHEET">#REF!</definedName>
    <definedName name="C.Close">#N/A</definedName>
    <definedName name="C.Comp">#N/A</definedName>
    <definedName name="C.Date">#N/A</definedName>
    <definedName name="C.High">#N/A</definedName>
    <definedName name="C.Low">#N/A</definedName>
    <definedName name="C.Vol">#N/A</definedName>
    <definedName name="Capex">#REF!</definedName>
    <definedName name="caps">#REF!</definedName>
    <definedName name="Case">#REF!</definedName>
    <definedName name="casenumber">#REF!</definedName>
    <definedName name="cash">#REF!</definedName>
    <definedName name="CASH_FLOW_STMT">#REF!</definedName>
    <definedName name="Ccy">#REF!</definedName>
    <definedName name="cflow">#REF!</definedName>
    <definedName name="ChangeRange" hidden="1">[0]!ChangeRange</definedName>
    <definedName name="ChangeSize">[0]!ChangeSize</definedName>
    <definedName name="ChartOptions">[0]!ChartOptions</definedName>
    <definedName name="ChartTypeChange">[0]!ChartTypeChange</definedName>
    <definedName name="CIQWBGuid" hidden="1">"DCF Pics_10.1.12.xls"</definedName>
    <definedName name="ClosePrint" localSheetId="7">DCF!ClosePrint</definedName>
    <definedName name="ClosePrint">[0]!ClosePrint</definedName>
    <definedName name="cnumber">#REF!</definedName>
    <definedName name="COCO">#REF!</definedName>
    <definedName name="COE">#REF!</definedName>
    <definedName name="cogs">#REF!</definedName>
    <definedName name="cogs2">#REF!</definedName>
    <definedName name="COMB">#REF!</definedName>
    <definedName name="COMBBS">#REF!</definedName>
    <definedName name="CommonShares">#REF!</definedName>
    <definedName name="CompanyChangeSize">[0]!CompanyChangeSize</definedName>
    <definedName name="CompanyLookup">[0]!CompanyLookup</definedName>
    <definedName name="CompanyName">#REF!</definedName>
    <definedName name="CompgraphHelp">[0]!CompgraphHelp</definedName>
    <definedName name="complookup">[0]!complookup</definedName>
    <definedName name="compname">#REF!</definedName>
    <definedName name="CompositeBuilder">[0]!CompositeBuilder</definedName>
    <definedName name="ContentsHelp" hidden="1">[0]!ContentsHelp</definedName>
    <definedName name="CONTRIB">#REF!</definedName>
    <definedName name="ConversionPremium">#REF!</definedName>
    <definedName name="ConversionPrice">#REF!</definedName>
    <definedName name="coppsdgp">#REF!</definedName>
    <definedName name="coppsdrev">#REF!</definedName>
    <definedName name="coppsdsga">#REF!</definedName>
    <definedName name="coppsgp">#REF!</definedName>
    <definedName name="coppsrev">#REF!</definedName>
    <definedName name="coppssga">#REF!</definedName>
    <definedName name="corpexp">#REF!</definedName>
    <definedName name="Corporate_Expense_Growth">5%</definedName>
    <definedName name="COS">#REF!</definedName>
    <definedName name="CoSelectorOutputs">[0]!CoSelectorOutputs</definedName>
    <definedName name="Costofsales">#REF!</definedName>
    <definedName name="cov2a">#REF!</definedName>
    <definedName name="cov4a">#REF!</definedName>
    <definedName name="Cpxsavings">#REF!</definedName>
    <definedName name="CreateTable" hidden="1">[0]!CreateTable</definedName>
    <definedName name="crevgrowh">#REF!</definedName>
    <definedName name="crevgrowth">#REF!</definedName>
    <definedName name="crystal">#REF!</definedName>
    <definedName name="cstorenumber">#REF!</definedName>
    <definedName name="Currency">#REF!</definedName>
    <definedName name="CurrencyInput">#REF!</definedName>
    <definedName name="CurrencyOptions">#REF!</definedName>
    <definedName name="CustomChart">[0]!CustomChart</definedName>
    <definedName name="cxv"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CypressInvest">#REF!</definedName>
    <definedName name="CypressOwn">#REF!</definedName>
    <definedName name="d">[0]!d</definedName>
    <definedName name="d.BTick">#REF!</definedName>
    <definedName name="D.CompTickarray" localSheetId="7">{"SPAL","00000117","Price","S&amp;P 500","I0003"}</definedName>
    <definedName name="D.CompTickarray">{"SPAL","00000117","Price","S&amp;P 500","I0003"}</definedName>
    <definedName name="D.Tickarray" localSheetId="7">{"wac","93439010","Price"}</definedName>
    <definedName name="D.Tickarray">{"wac","93439010","Price"}</definedName>
    <definedName name="DAC">"acquiror"</definedName>
    <definedName name="das">[0]!das</definedName>
    <definedName name="data">#REF!</definedName>
    <definedName name="_xlnm.Database">#REF!</definedName>
    <definedName name="Dataset1">#REF!</definedName>
    <definedName name="Dataset2">#REF!</definedName>
    <definedName name="date">#REF!</definedName>
    <definedName name="Dates">OFFSET(#REF!, 0, 0, COUNT(#REF!)+1)</definedName>
    <definedName name="Days">#REF!</definedName>
    <definedName name="DB.AllColumns">#N/A</definedName>
    <definedName name="DB.AllPriceColumns">#N/A</definedName>
    <definedName name="DB.NumColumns" localSheetId="7">COLUMN([0]!Q.DateEOM)-COLUMN([0]!P.Date)+1</definedName>
    <definedName name="DB.NumColumns">COLUMN([0]!Q.DateEOM)-COLUMN([0]!P.Date)+1</definedName>
    <definedName name="DB.NumColumnsPriceOnly" localSheetId="7">COLUMN([0]!P.CompIndex)-COLUMN([0]!P.Date)+1</definedName>
    <definedName name="DB.NumColumnsPriceOnly">COLUMN([0]!P.CompIndex)-COLUMN([0]!P.Date)+1</definedName>
    <definedName name="DB.Range1">#N/A</definedName>
    <definedName name="DCF">#REF!</definedName>
    <definedName name="DCF_A">#REF!</definedName>
    <definedName name="DCF_A2">#REF!</definedName>
    <definedName name="dcomp">#REF!</definedName>
    <definedName name="dcomp2">#REF!</definedName>
    <definedName name="debt">#REF!</definedName>
    <definedName name="DebtEBITDA">#REF!</definedName>
    <definedName name="deftax">#REF!</definedName>
    <definedName name="DeleteRange" hidden="1">[0]!DeleteRange</definedName>
    <definedName name="DeleteTable" hidden="1">[0]!DeleteTable</definedName>
    <definedName name="Denomination">#REF!</definedName>
    <definedName name="Denominator">#REF!</definedName>
    <definedName name="Dep">#REF!</definedName>
    <definedName name="depr_RATE">#REF!</definedName>
    <definedName name="dfd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g"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dfgd" hidden="1">[0]!dfgd</definedName>
    <definedName name="dfgfd" hidden="1">{"Clothing PL",#N/A,FALSE,"H1H2";"Food PL",#N/A,FALSE,"H1H2";"Group PL",#N/A,FALSE,"H1H2";"Home Furnishings PL",#N/A,FALSE,"H1H2";"LFL assumptions",#N/A,FALSE,"H1H2";"Sales by division",#N/A,FALSE,"H1H2";"UK Retail PL",#N/A,FALSE,"H1H2"}</definedName>
    <definedName name="dfgfdg" hidden="1">[0]!dfgfdg</definedName>
    <definedName name="dfsalk">[0]!dfsalk</definedName>
    <definedName name="dfsgdfg" hidden="1">{"Clothing PL",#N/A,FALSE,"H1H2";"Food PL",#N/A,FALSE,"H1H2";"Group PL",#N/A,FALSE,"H1H2";"Home Furnishings PL",#N/A,FALSE,"H1H2"}</definedName>
    <definedName name="dfsgfd" hidden="1">{"cap_structure",#N/A,FALSE,"Graph-Mkt Cap";"price",#N/A,FALSE,"Graph-Price";"ebit",#N/A,FALSE,"Graph-EBITDA";"ebitda",#N/A,FALSE,"Graph-EBITDA"}</definedName>
    <definedName name="dfsgg" hidden="1">{"inputs raw data",#N/A,TRUE,"INPUT"}</definedName>
    <definedName name="dfwefew" hidden="1">{#N/A,#N/A,FALSE,"Hip.Bas";#N/A,#N/A,FALSE,"ventas";#N/A,#N/A,FALSE,"ingre-Año";#N/A,#N/A,FALSE,"ventas-Año";#N/A,#N/A,FALSE,"Costepro";#N/A,#N/A,FALSE,"inversion";#N/A,#N/A,FALSE,"personal";#N/A,#N/A,FALSE,"Gastos-V";#N/A,#N/A,FALSE,"Circulante";#N/A,#N/A,FALSE,"CONSOLI";#N/A,#N/A,FALSE,"Es-Fin";#N/A,#N/A,FALSE,"Margen-P"}</definedName>
    <definedName name="dgdfgf" hidden="1">{"Page1",#N/A,FALSE,"CompCo";"Page2",#N/A,FALSE,"CompCo"}</definedName>
    <definedName name="directfin">#REF!</definedName>
    <definedName name="DismissItemDlog">[0]!DismissItemDlog</definedName>
    <definedName name="dist">#REF!</definedName>
    <definedName name="distgp">#REF!</definedName>
    <definedName name="Distributionexp">#REF!</definedName>
    <definedName name="distsga">#REF!</definedName>
    <definedName name="Division">#REF!</definedName>
    <definedName name="ds" hidden="1">{"Page1",#N/A,FALSE,"CompCo";"Page2",#N/A,FALSE,"CompCo"}</definedName>
    <definedName name="dsfdsfsd">[0]!dsfdsfsd</definedName>
    <definedName name="dsfgdsg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dsfgfdg" hidden="1">{"bs",#N/A,FALSE,"SCF"}</definedName>
    <definedName name="dsfsd">[0]!dsfsd</definedName>
    <definedName name="dsfsdfd">[0]!dsfsdfd</definedName>
    <definedName name="dsg" hidden="1">{"Clothing PL",#N/A,FALSE,"H1H2";"Food PL",#N/A,FALSE,"H1H2";"Group PL",#N/A,FALSE,"H1H2";"Home Furnishings PL",#N/A,FALSE,"H1H2";"LFL assumptions",#N/A,FALSE,"H1H2";"Sales by division",#N/A,FALSE,"H1H2";"UK Retail PL",#N/A,FALSE,"H1H2"}</definedName>
    <definedName name="dsgdf" hidden="1">{"Page1",#N/A,FALSE,"CompCo";"Page2",#N/A,FALSE,"CompCo"}</definedName>
    <definedName name="dsgfds"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tax">#REF!</definedName>
    <definedName name="dtax2">#REF!</definedName>
    <definedName name="e" hidden="1">[0]!e</definedName>
    <definedName name="EARNINGSSTMNT">#REF!</definedName>
    <definedName name="ebit3">#REF!</definedName>
    <definedName name="EBIT95">#REF!</definedName>
    <definedName name="EBITDA">#REF!</definedName>
    <definedName name="EBITDA_Fluid">#REF!</definedName>
    <definedName name="EBITDA_NVH">#REF!</definedName>
    <definedName name="EBITDA_Sealing">#REF!</definedName>
    <definedName name="EBITSENS">#REF!</definedName>
    <definedName name="editgraph">[0]!editgraph</definedName>
    <definedName name="efds" hidden="1">{#N/A,#N/A,FALSE,"H1H2";"Sales by division",#N/A,FALSE,"H1H2";"LFL assumptions",#N/A,FALSE,"H1H2"}</definedName>
    <definedName name="efsd" hidden="1">[0]!efsd</definedName>
    <definedName name="eldgp">#REF!</definedName>
    <definedName name="eldrev">#REF!</definedName>
    <definedName name="eldsga">#REF!</definedName>
    <definedName name="Elim">#REF!</definedName>
    <definedName name="enable">[0]!enable</definedName>
    <definedName name="ENTVAL">#REF!</definedName>
    <definedName name="EPS">#REF!</definedName>
    <definedName name="EQ_RETS">#REF!</definedName>
    <definedName name="EQVAL">#REF!</definedName>
    <definedName name="er" hidden="1">[0]!er</definedName>
    <definedName name="ere" hidden="1">{"Clothing PL",#N/A,FALSE,"H1H2";"Food PL",#N/A,FALSE,"H1H2";"Group PL",#N/A,FALSE,"H1H2";"Home Furnishings PL",#N/A,FALSE,"H1H2";"LFL assumptions",#N/A,FALSE,"H1H2";"Sales by division",#N/A,FALSE,"H1H2";"UK Retail PL",#N/A,FALSE,"H1H2"}</definedName>
    <definedName name="erg" hidden="1">{"summary1",#N/A,TRUE,"Comps";"summary2",#N/A,TRUE,"Comps";"summary3",#N/A,TRUE,"Comps"}</definedName>
    <definedName name="err">[0]!err</definedName>
    <definedName name="ErrChk">#REF!</definedName>
    <definedName name="erre" hidden="1">{"inputs raw data",#N/A,TRUE,"INPUT"}</definedName>
    <definedName name="ErrMsg">"NA"</definedName>
    <definedName name="evansga">#REF!</definedName>
    <definedName name="evansgp">#REF!</definedName>
    <definedName name="evansrev">#REF!</definedName>
    <definedName name="eweqwf" hidden="1">{"bs",#N/A,FALSE,"SCF"}</definedName>
    <definedName name="ewf" hidden="1">[0]!ewf</definedName>
    <definedName name="ewggwe">[0]!ewggwe</definedName>
    <definedName name="ewgweg">[0]!ewgweg</definedName>
    <definedName name="ewr" hidden="1">{"cap_structure",#N/A,FALSE,"Graph-Mkt Cap";"price",#N/A,FALSE,"Graph-Price";"ebit",#N/A,FALSE,"Graph-EBITDA";"ebitda",#N/A,FALSE,"Graph-EBITDA"}</definedName>
    <definedName name="ExitCompanySelector">[0]!ExitCompanySelector</definedName>
    <definedName name="ExitFormat">[0]!ExitFormat</definedName>
    <definedName name="ExitItemBuilder">[0]!ExitItemBuilder</definedName>
    <definedName name="exitMainMenu">[0]!exitMainMenu</definedName>
    <definedName name="exitmsg">[0]!exitmsg</definedName>
    <definedName name="ExitNetDebt">#REF!</definedName>
    <definedName name="ExitValue">#REF!</definedName>
    <definedName name="ExitYear">#REF!</definedName>
    <definedName name="Expenses">#REF!</definedName>
    <definedName name="f">[0]!f</definedName>
    <definedName name="F.CompIndex">#N/A</definedName>
    <definedName name="F.Date">IF(N(#REF!)=#REF!,#REF!,DATEVALUE(#REF!))</definedName>
    <definedName name="F.Date2">#N/A</definedName>
    <definedName name="F.Date4">#N/A</definedName>
    <definedName name="F.DateEOM">DATE(YEAR(#REF!),MONTH(#REF!)+1,DAY(#REF!)-1)</definedName>
    <definedName name="F.PE">#N/A</definedName>
    <definedName name="F.Yield">#N/A</definedName>
    <definedName name="fadskj">[0]!fadskj</definedName>
    <definedName name="fdfg" hidden="1">[0]!fdfg</definedName>
    <definedName name="fdg" hidden="1">[0]!fdg</definedName>
    <definedName name="fdgdfgdf" hidden="1">{"Page1",#N/A,FALSE,"CompCo";"Page2",#N/A,FALSE,"CompCo"}</definedName>
    <definedName name="fdgsdg" hidden="1">[0]!fdgsdg</definedName>
    <definedName name="fds">[0]!fds</definedName>
    <definedName name="fdsdsf">[0]!fdsdsf</definedName>
    <definedName name="fewfwefew" hidden="1">[0]!fewfwefew</definedName>
    <definedName name="fg" hidden="1">[0]!fg</definedName>
    <definedName name="fgdsfgdf" hidden="1">{TRUE,TRUE,-1.25,-15.5,604.5,369,FALSE,FALSE,TRUE,TRUE,0,1,83,1,38,4,5,4,TRUE,TRUE,3,TRUE,1,TRUE,75,"Swvu.inputs._.raw._.data.","ACwvu.inputs._.raw._.data.",#N/A,FALSE,FALSE,0.5,0.5,0.5,0.5,2,"&amp;F","&amp;A&amp;RPage &amp;P",FALSE,FALSE,FALSE,FALSE,1,60,#N/A,#N/A,"=R1C61:R53C89","=C1:C5",#N/A,#N/A,FALSE,FALSE,FALSE,1,600,600,FALSE,FALSE,TRUE,TRUE,TRUE}</definedName>
    <definedName name="fghj" hidden="1">[0]!fghj</definedName>
    <definedName name="FiscalYearEnd">#REF!</definedName>
    <definedName name="Fluid">#REF!</definedName>
    <definedName name="FormatMod.FormatMaster">[0]!FormatMod.FormatMaster</definedName>
    <definedName name="fsdds" hidden="1">{#N/A,#N/A,FALSE,"Hip.Bas";#N/A,#N/A,FALSE,"ventas";#N/A,#N/A,FALSE,"ingre-Año";#N/A,#N/A,FALSE,"ventas-Año";#N/A,#N/A,FALSE,"Costepro";#N/A,#N/A,FALSE,"inversion";#N/A,#N/A,FALSE,"personal";#N/A,#N/A,FALSE,"Gastos-V";#N/A,#N/A,FALSE,"Circulante";#N/A,#N/A,FALSE,"CONSOLI";#N/A,#N/A,FALSE,"Es-Fin";#N/A,#N/A,FALSE,"Margen-P"}</definedName>
    <definedName name="fssdf" hidden="1">[0]!fssdf</definedName>
    <definedName name="FT.FormatsOther">#N/A</definedName>
    <definedName name="FT.FormatsTop">#N/A</definedName>
    <definedName name="fwe">[0]!fwe</definedName>
    <definedName name="fwfwe">[0]!fwfwe</definedName>
    <definedName name="FX">#REF!</definedName>
    <definedName name="FYE">#REF!</definedName>
    <definedName name="FYEHeader">#REF!</definedName>
    <definedName name="G">#REF!</definedName>
    <definedName name="g_firm" localSheetId="14">'[2]FCFF vs. FCFE'!#REF!</definedName>
    <definedName name="g_firm">#REF!</definedName>
    <definedName name="gdf" hidden="1">{"Clothing PL",#N/A,FALSE,"H1H2";"Food PL",#N/A,FALSE,"H1H2";"Group PL",#N/A,FALSE,"H1H2";"Home Furnishings PL",#N/A,FALSE,"H1H2";"LFL assumptions",#N/A,FALSE,"H1H2";"Sales by division",#N/A,FALSE,"H1H2";"UK Retail PL",#N/A,FALSE,"H1H2"}</definedName>
    <definedName name="ge"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ger" hidden="1">[0]!ger</definedName>
    <definedName name="gerergr" hidden="1">[0]!gerergr</definedName>
    <definedName name="gerg">[0]!gerg</definedName>
    <definedName name="gergr">[0]!gergr</definedName>
    <definedName name="gergre">[0]!gergre</definedName>
    <definedName name="gew" hidden="1">{TRUE,TRUE,-1.25,-15.5,604.5,369,FALSE,FALSE,TRUE,TRUE,0,1,83,1,38,4,5,4,TRUE,TRUE,3,TRUE,1,TRUE,75,"Swvu.inputs._.raw._.data.","ACwvu.inputs._.raw._.data.",#N/A,FALSE,FALSE,0.5,0.5,0.5,0.5,2,"&amp;F","&amp;A&amp;RPage &amp;P",FALSE,FALSE,FALSE,FALSE,1,60,#N/A,#N/A,"=R1C61:R53C89","=C1:C5",#N/A,#N/A,FALSE,FALSE,FALSE,1,600,600,FALSE,FALSE,TRUE,TRUE,TRUE}</definedName>
    <definedName name="gewg" hidden="1">{"Clothing PL",#N/A,FALSE,"H1H2";"Food PL",#N/A,FALSE,"H1H2";"Group PL",#N/A,FALSE,"H1H2";"Home Furnishings PL",#N/A,FALSE,"H1H2"}</definedName>
    <definedName name="gewge">[0]!gewge</definedName>
    <definedName name="gewgwe">[0]!gewgwe</definedName>
    <definedName name="gfd">[0]!gfd</definedName>
    <definedName name="ghjh"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glenrev">#REF!</definedName>
    <definedName name="gmarg">#REF!</definedName>
    <definedName name="golf">#REF!</definedName>
    <definedName name="Goodwill_Amortization">20</definedName>
    <definedName name="GoodwillAmort">#REF!</definedName>
    <definedName name="GoodwillDeduct">#REF!</definedName>
    <definedName name="gr" hidden="1">[0]!gr</definedName>
    <definedName name="GraphbuildingMod.ChangeTicker">[0]!GraphbuildingMod.ChangeTicker</definedName>
    <definedName name="GraphbuildingMod.editgraph">[0]!GraphbuildingMod.editgraph</definedName>
    <definedName name="GraphbuildingMod.ExportData">[0]!GraphbuildingMod.ExportData</definedName>
    <definedName name="GraphbuildingMod.LayoutSet">[0]!GraphbuildingMod.LayoutSet</definedName>
    <definedName name="GraphbuildingMod.PasteGraph">[0]!GraphbuildingMod.PasteGraph</definedName>
    <definedName name="GraphbuildingMod.PrintPreview">[0]!GraphbuildingMod.PrintPreview</definedName>
    <definedName name="GraphbuildingMod.ShowData">[0]!GraphbuildingMod.ShowData</definedName>
    <definedName name="GraphbuildingMod.ShowGraph">[0]!GraphbuildingMod.ShowGraph</definedName>
    <definedName name="GraphCompBuild">[0]!GraphCompBuild</definedName>
    <definedName name="Graphexitmsg">[0]!Graphexitmsg</definedName>
    <definedName name="GraphIntroMod.exitmsg">[0]!GraphIntroMod.exitmsg</definedName>
    <definedName name="GraphIntroMod.Graphexitmsg">[0]!GraphIntroMod.Graphexitmsg</definedName>
    <definedName name="gre">[0]!gre</definedName>
    <definedName name="greger">[0]!greger</definedName>
    <definedName name="GROUP">#REF!</definedName>
    <definedName name="gwamort">#REF!</definedName>
    <definedName name="gwegwe">[0]!gwegwe</definedName>
    <definedName name="gwegweg">[0]!gwegweg</definedName>
    <definedName name="gwg">[0]!gwg</definedName>
    <definedName name="gwgew">[0]!gwgew</definedName>
    <definedName name="gwgwe">[0]!gwgwe</definedName>
    <definedName name="H.HiddenCols">#REF!,#REF!,#REF!,#REF!,#REF!</definedName>
    <definedName name="H.HiddenRows">#REF!,#REF!,#REF!</definedName>
    <definedName name="Half_Year_Adj_Factor">2</definedName>
    <definedName name="halfyear">#REF!</definedName>
    <definedName name="halfyear2">#REF!</definedName>
    <definedName name="HeaderFormat">[0]!HeaderFormat</definedName>
    <definedName name="HelpTest">[0]!HelpTest</definedName>
    <definedName name="Hershey">[0]!Hershey</definedName>
    <definedName name="hf" hidden="1">[0]!hf</definedName>
    <definedName name="IC.Queries">#REF!,#REF!,#REF!,#REF!,#REF!</definedName>
    <definedName name="iia">#REF!</definedName>
    <definedName name="income">#REF!</definedName>
    <definedName name="indgp">#REF!</definedName>
    <definedName name="indrev">#REF!</definedName>
    <definedName name="indsga">#REF!</definedName>
    <definedName name="inject">#REF!</definedName>
    <definedName name="InputAnn">#REF!,#REF!,#REF!,#REF!,#REF!,#REF!,#REF!,#REF!,#REF!,#REF!</definedName>
    <definedName name="InputQtr">#REF!,#REF!,#REF!,#REF!,#REF!,#REF!,#REF!</definedName>
    <definedName name="Int_exp">7%</definedName>
    <definedName name="Interest_Expense_Rate">7%</definedName>
    <definedName name="Interest_Income_Rate">6.5%</definedName>
    <definedName name="invdays">#REF!</definedName>
    <definedName name="inventory98">#REF!</definedName>
    <definedName name="IPOSize">#REF!</definedName>
    <definedName name="IQ_ADDIN" hidden="1">"AUTO"</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AVG_PRICE_TARGET" hidden="1">"c82"</definedName>
    <definedName name="IQ_CAPEX_BR" hidden="1">"c111"</definedName>
    <definedName name="IQ_CH" hidden="1">110000</definedName>
    <definedName name="IQ_CHANGE_AP_BR" hidden="1">"c135"</definedName>
    <definedName name="IQ_CHANGE_AR_BR" hidden="1">"c142"</definedName>
    <definedName name="IQ_CHANGE_OTHER_NET_OPER_ASSETS_BR" hidden="1">"c3595"</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ONV_RATE" hidden="1">"c2192"</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ST_EPS_SURPRISE" hidden="1">"c1635"</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localSheetId="14" hidden="1">42436.8542824074</definedName>
    <definedName name="IQ_NAMES_REVISION_DATE_" hidden="1">41302.6061805556</definedName>
    <definedName name="IQ_NAV_ACT_OR_EST" hidden="1">"c2225"</definedName>
    <definedName name="IQ_NET_DEBT_ISSUED_BR" hidden="1">"c753"</definedName>
    <definedName name="IQ_NET_INT_INC_BR" hidden="1">"c765"</definedName>
    <definedName name="IQ_NTM" hidden="1">6000</definedName>
    <definedName name="IQ_OG_TOTAL_OIL_PRODUCTON" hidden="1">"c2059"</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"c83"</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PENSION_OBLIGATION" hidden="1">"c1292"</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jytjytyj" hidden="1">[0]!jytjytyj</definedName>
    <definedName name="k">#REF!</definedName>
    <definedName name="k_eq">#REF!</definedName>
    <definedName name="kiuj" hidden="1">{TRUE,TRUE,-1.25,-15.5,604.5,369,FALSE,FALSE,TRUE,TRUE,0,1,83,1,38,4,5,4,TRUE,TRUE,3,TRUE,1,TRUE,75,"Swvu.inputs._.raw._.data.","ACwvu.inputs._.raw._.data.",#N/A,FALSE,FALSE,0.5,0.5,0.5,0.5,2,"&amp;F","&amp;A&amp;RPage &amp;P",FALSE,FALSE,FALSE,FALSE,1,60,#N/A,#N/A,"=R1C61:R53C89","=C1:C5",#N/A,#N/A,FALSE,FALSE,FALSE,1,600,600,FALSE,FALSE,TRUE,TRUE,TRUE}</definedName>
    <definedName name="kiukiu" hidden="1">{#N/A,#N/A,FALSE,"H1H2";"Sales by division",#N/A,FALSE,"H1H2";"LFL assumptions",#N/A,FALSE,"H1H2"}</definedName>
    <definedName name="kuikui" hidden="1">{"Clothing PL",#N/A,FALSE,"H1H2";"Food PL",#N/A,FALSE,"H1H2";"Group PL",#N/A,FALSE,"H1H2";"Home Furnishings PL",#N/A,FALSE,"H1H2"}</definedName>
    <definedName name="LaunchFormulaLookup">[0]!LaunchFormulaLookup</definedName>
    <definedName name="LBO">#REF!</definedName>
    <definedName name="LBO_DEBT">#REF!</definedName>
    <definedName name="Lean">#REF!</definedName>
    <definedName name="Lean1">#REF!</definedName>
    <definedName name="LENGTH">#REF!</definedName>
    <definedName name="LIBOR">#REF!</definedName>
    <definedName name="LIBOR3">#REF!</definedName>
    <definedName name="limagp">#REF!</definedName>
    <definedName name="limarev">#REF!</definedName>
    <definedName name="limasga">#REF!</definedName>
    <definedName name="LookUp2">#REF!</definedName>
    <definedName name="LTC">#REF!</definedName>
    <definedName name="LTMDate">#REF!</definedName>
    <definedName name="LTMEBITDA">#REF!</definedName>
    <definedName name="LTMEPS">#REF!</definedName>
    <definedName name="LTMMonths">#REF!</definedName>
    <definedName name="make">#REF!</definedName>
    <definedName name="marg1">#REF!</definedName>
    <definedName name="marg2">#REF!</definedName>
    <definedName name="marg3">#REF!</definedName>
    <definedName name="marg4">#REF!</definedName>
    <definedName name="margin">#REF!</definedName>
    <definedName name="margin2">#REF!</definedName>
    <definedName name="margin3">#REF!</definedName>
    <definedName name="margin4">#REF!</definedName>
    <definedName name="margin5">#REF!</definedName>
    <definedName name="MATRIX">#REF!</definedName>
    <definedName name="maturegrowth">#REF!</definedName>
    <definedName name="mazgp">#REF!</definedName>
    <definedName name="mazrev">#REF!</definedName>
    <definedName name="mazsga">#REF!</definedName>
    <definedName name="mcs03g.ReqArray" localSheetId="7">{"Compustat","93439010","LC992/Q27/q20","Q","2/1/1992","8/27/95","V"}</definedName>
    <definedName name="mcs03g.ReqArray">{"Compustat","93439010","LC992/Q27/q20","Q","2/1/1992","8/27/95","V"}</definedName>
    <definedName name="MedianMultiple">#REF!</definedName>
    <definedName name="megagp">#REF!</definedName>
    <definedName name="megarev">#REF!</definedName>
    <definedName name="megsga">#REF!</definedName>
    <definedName name="MerrillPrintIt" hidden="1">[0]!MerrillPrintIt</definedName>
    <definedName name="MetricsOptions">#REF!</definedName>
    <definedName name="mgmt">#REF!</definedName>
    <definedName name="MgmtOwn">#REF!</definedName>
    <definedName name="mgp">#REF!</definedName>
    <definedName name="michgp">#REF!</definedName>
    <definedName name="michrev">#REF!</definedName>
    <definedName name="michsga">#REF!</definedName>
    <definedName name="milgp">#REF!</definedName>
    <definedName name="milrev">#REF!</definedName>
    <definedName name="milsga">#REF!</definedName>
    <definedName name="MinCash">#REF!</definedName>
    <definedName name="MKT_PRICE">#REF!</definedName>
    <definedName name="MktPrice">#REF!</definedName>
    <definedName name="mrev">#REF!</definedName>
    <definedName name="msga">#REF!</definedName>
    <definedName name="MultipleFactor">#REF!</definedName>
    <definedName name="muskgp">#REF!</definedName>
    <definedName name="muskrev">#REF!</definedName>
    <definedName name="musksga">#REF!</definedName>
    <definedName name="Name">#REF!</definedName>
    <definedName name="NameProj">#REF!</definedName>
    <definedName name="names">#REF!</definedName>
    <definedName name="NameTar">#REF!</definedName>
    <definedName name="NetOptions">#REF!</definedName>
    <definedName name="NetPPE98">#REF!</definedName>
    <definedName name="NEW" localSheetId="7">{"Compustat","93439010","LC992/Q27/q20","Q","2/1/1992","8/27/95","V"}</definedName>
    <definedName name="NEW">{"Compustat","93439010","LC992/Q27/q20","Q","2/1/1992","8/27/95","V"}</definedName>
    <definedName name="NewRange" hidden="1">[0]!NewRange</definedName>
    <definedName name="nfdcase">#REF!</definedName>
    <definedName name="nfnewgrowth">#REF!</definedName>
    <definedName name="nfrcase">#REF!</definedName>
    <definedName name="ngpmargin">#REF!</definedName>
    <definedName name="nlgrowth">#REF!</definedName>
    <definedName name="notes">#REF!</definedName>
    <definedName name="notes2">#REF!</definedName>
    <definedName name="npv_comparables">#REF!</definedName>
    <definedName name="nsgamargin">#REF!</definedName>
    <definedName name="NVH">#REF!</definedName>
    <definedName name="OFFER">#REF!</definedName>
    <definedName name="OfferPrice">#REF!</definedName>
    <definedName name="offpr">#REF!</definedName>
    <definedName name="ohiogp">#REF!</definedName>
    <definedName name="ohiorev">#REF!</definedName>
    <definedName name="ohiosga">#REF!</definedName>
    <definedName name="OnShow">[0]!OnShow</definedName>
    <definedName name="OpeningBkDebt">SUM(#REF!)</definedName>
    <definedName name="openingcash">#REF!</definedName>
    <definedName name="OpeningDebt">#REF!</definedName>
    <definedName name="OpeningEquity">#REF!</definedName>
    <definedName name="OpeningSrDebt">SUM(#REF!)</definedName>
    <definedName name="operexp">#REF!</definedName>
    <definedName name="opex">#REF!</definedName>
    <definedName name="opex2">#REF!</definedName>
    <definedName name="OPT_PRICE">#REF!</definedName>
    <definedName name="OPTIONS">#REF!</definedName>
    <definedName name="othass">#REF!</definedName>
    <definedName name="othass2">#REF!</definedName>
    <definedName name="other">#REF!</definedName>
    <definedName name="other2">#REF!</definedName>
    <definedName name="Overhead">#REF!</definedName>
    <definedName name="OWN">#REF!</definedName>
    <definedName name="P.Close">#N/A</definedName>
    <definedName name="P.Comp">#N/A</definedName>
    <definedName name="P.CompIndex">#N/A</definedName>
    <definedName name="P.Date">#N/A</definedName>
    <definedName name="P.Date2">#N/A</definedName>
    <definedName name="P.Date3">#N/A</definedName>
    <definedName name="P.Date4">#N/A</definedName>
    <definedName name="P.FirstRow">#N/A</definedName>
    <definedName name="P.High">#N/A</definedName>
    <definedName name="P.Holidays">#N/A</definedName>
    <definedName name="P.LastRow">#N/A</definedName>
    <definedName name="P.Low">#N/A</definedName>
    <definedName name="P.PE">#N/A</definedName>
    <definedName name="P.Vol">#N/A</definedName>
    <definedName name="P.Yield">#N/A</definedName>
    <definedName name="P_L">#REF!</definedName>
    <definedName name="P_NTM">#REF!</definedName>
    <definedName name="Page_1">#REF!</definedName>
    <definedName name="Page_2">#REF!</definedName>
    <definedName name="Page_3">#REF!</definedName>
    <definedName name="Page_4">#REF!</definedName>
    <definedName name="PAGE_5">#REF!</definedName>
    <definedName name="PAGE_6">#REF!</definedName>
    <definedName name="page1">#REF!</definedName>
    <definedName name="Page13">#REF!</definedName>
    <definedName name="Page14">#REF!</definedName>
    <definedName name="PAGE1A">#REF!</definedName>
    <definedName name="page2">#REF!</definedName>
    <definedName name="page3">#REF!</definedName>
    <definedName name="page4">#REF!</definedName>
    <definedName name="page5">#REF!</definedName>
    <definedName name="page6">#REF!</definedName>
    <definedName name="page7">#REF!</definedName>
    <definedName name="page8">#REF!</definedName>
    <definedName name="PasteGraph">[0]!PasteGraph</definedName>
    <definedName name="paydays">#REF!</definedName>
    <definedName name="PD_adj">#REF!</definedName>
    <definedName name="Performance_Discount">0.2</definedName>
    <definedName name="PFPRICE">#REF!</definedName>
    <definedName name="PFPRICE2">#REF!</definedName>
    <definedName name="pik">#REF!</definedName>
    <definedName name="PIKPref">#REF!</definedName>
    <definedName name="PIKTERM">#REF!</definedName>
    <definedName name="PIKTERM1">#REF!</definedName>
    <definedName name="POOL">#REF!</definedName>
    <definedName name="PORTION">#REF!</definedName>
    <definedName name="PrefInvest">#REF!</definedName>
    <definedName name="premium">#REF!</definedName>
    <definedName name="prepoth">#REF!</definedName>
    <definedName name="price">#REF!</definedName>
    <definedName name="Price4" localSheetId="14">#REF!</definedName>
    <definedName name="price4">#REF!</definedName>
    <definedName name="priceacq">#REF!</definedName>
    <definedName name="Prices">OFFSET(#REF!, 0, 0, COUNT(#REF!)+1)</definedName>
    <definedName name="pricetar">#REF!</definedName>
    <definedName name="PRIDES" localSheetId="7">DCF!PRIDES</definedName>
    <definedName name="PRIDES">[0]!PRIDES</definedName>
    <definedName name="Prime">#REF!</definedName>
    <definedName name="_xlnm.Print_Area" localSheetId="7">DCF!$A$1:$O$53,DCF!$A$58:$O$90</definedName>
    <definedName name="_xlnm.Print_Area">#REF!</definedName>
    <definedName name="Print_Area_MI" localSheetId="14">#REF!</definedName>
    <definedName name="Print_Area_MI">#REF!</definedName>
    <definedName name="PRINT10">#REF!</definedName>
    <definedName name="PRINT12">#REF!</definedName>
    <definedName name="PRINT13">#REF!</definedName>
    <definedName name="PRINT14">#REF!</definedName>
    <definedName name="PRINT4">#REF!</definedName>
    <definedName name="PRINT6">#REF!</definedName>
    <definedName name="PRINT8">#REF!</definedName>
    <definedName name="PrintBS">#REF!</definedName>
    <definedName name="PrintConclusion">#REF!</definedName>
    <definedName name="PrintDCF">#REF!</definedName>
    <definedName name="PrintDCFAssumptions">#REF!</definedName>
    <definedName name="PrintDCFWorkingCap">#REF!</definedName>
    <definedName name="PrintGuideCoBS">#REF!</definedName>
    <definedName name="PrintGuideCoHistoryPage1">#REF!</definedName>
    <definedName name="PrintGuideCoHistoryPage2">#REF!</definedName>
    <definedName name="PrintGuideCoIS">#REF!</definedName>
    <definedName name="PrintGuideCoMultiples">#REF!</definedName>
    <definedName name="PrintGuideCoRatios">#REF!</definedName>
    <definedName name="PrintGuideCoValueSummary">#REF!</definedName>
    <definedName name="PrintGuideSummaryRange">#REF!</definedName>
    <definedName name="PrintIS">#REF!</definedName>
    <definedName name="PrintPreview">[0]!PrintPreview</definedName>
    <definedName name="PRINTREPORT">#REF!</definedName>
    <definedName name="prive4">#REF!</definedName>
    <definedName name="project">#REF!</definedName>
    <definedName name="ProjectName">#REF!</definedName>
    <definedName name="Prt.Stock.Prices">#N/A</definedName>
    <definedName name="Q.Date">#N/A</definedName>
    <definedName name="Q.DateEOM">#N/A</definedName>
    <definedName name="Q.DPS">#N/A</definedName>
    <definedName name="Q.EPS">#N/A</definedName>
    <definedName name="Q.FirstRow">#N/A</definedName>
    <definedName name="Q.LastRow">#N/A</definedName>
    <definedName name="qgq" hidden="1">[0]!qgq</definedName>
    <definedName name="RAT_A">#REF!</definedName>
    <definedName name="RAT_T">#REF!</definedName>
    <definedName name="ratio1pfma">#REF!</definedName>
    <definedName name="RATIOS">#REF!</definedName>
    <definedName name="rdcase">#REF!</definedName>
    <definedName name="rdebt" localSheetId="14">'[2]FCFF vs. FCFE'!#REF!</definedName>
    <definedName name="rdebt">#REF!</definedName>
    <definedName name="RecapOwn">#REF!</definedName>
    <definedName name="RecapPur">#REF!</definedName>
    <definedName name="RedefinePrintTableRange" hidden="1">[0]!RedefinePrintTableRange</definedName>
    <definedName name="reg" hidden="1">{"Page1",#N/A,FALSE,"CompCo";"Page2",#N/A,FALSE,"CompCo"}</definedName>
    <definedName name="regerger">[0]!regerger</definedName>
    <definedName name="REPURCHASE">#REF!</definedName>
    <definedName name="ResetItemView">[0]!ResetItemView</definedName>
    <definedName name="RETURN">#REF!</definedName>
    <definedName name="ReturnOnCash">#REF!</definedName>
    <definedName name="rev">#REF!</definedName>
    <definedName name="revenues2">#REF!</definedName>
    <definedName name="reveunes2">#REF!</definedName>
    <definedName name="rg" hidden="1">{"inputs raw data",#N/A,TRUE,"INPUT"}</definedName>
    <definedName name="rgw" hidden="1">[0]!rgw</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rnumber">#REF!</definedName>
    <definedName name="rocogs">#REF!</definedName>
    <definedName name="RONIC">#REF!</definedName>
    <definedName name="roopex">#REF!</definedName>
    <definedName name="rorev">#REF!</definedName>
    <definedName name="royalties">#REF!</definedName>
    <definedName name="Rpt.Table">#N/A</definedName>
    <definedName name="Rpt.Text">#N/A</definedName>
    <definedName name="rrcase">#REF!</definedName>
    <definedName name="rrevgrowth">#REF!</definedName>
    <definedName name="rt" hidden="1">[0]!rt</definedName>
    <definedName name="rth">[0]!rth</definedName>
    <definedName name="rthtrh">[0]!rthtrh</definedName>
    <definedName name="s">{"Page1",#N/A,FALSE,"CompCo";"Page2",#N/A,FALSE,"CompCo"}</definedName>
    <definedName name="S.AllColumns">#N/A</definedName>
    <definedName name="S.AllPriceColumns">#N/A</definedName>
    <definedName name="S.SortColumn" localSheetId="7">[0]!T.Date</definedName>
    <definedName name="S.SortColumn">[0]!T.Date</definedName>
    <definedName name="sa" hidden="1">"c3460"</definedName>
    <definedName name="sadas" hidden="1">[0]!sadas</definedName>
    <definedName name="safas" hidden="1">[0]!safas</definedName>
    <definedName name="sales">#REF!</definedName>
    <definedName name="sales1">#REF!</definedName>
    <definedName name="sales3">#REF!</definedName>
    <definedName name="sales4">#REF!</definedName>
    <definedName name="salesebitda">#REF!</definedName>
    <definedName name="SCEN">#REF!</definedName>
    <definedName name="scenario">#REF!</definedName>
    <definedName name="ScenarioName">#REF!</definedName>
    <definedName name="ScenarioName1">#REF!</definedName>
    <definedName name="ScenarioName2">#REF!</definedName>
    <definedName name="Scenarios">#REF!</definedName>
    <definedName name="sd" hidden="1">"c2903"</definedName>
    <definedName name="sdfdfg" hidden="1">{"Clothing PL",#N/A,FALSE,"H1H2";"Food PL",#N/A,FALSE,"H1H2";"Group PL",#N/A,FALSE,"H1H2";"Home Furnishings PL",#N/A,FALSE,"H1H2";"LFL assumptions",#N/A,FALSE,"H1H2";"Sales by division",#N/A,FALSE,"H1H2";"UK Retail PL",#N/A,FALSE,"H1H2"}</definedName>
    <definedName name="sdfdfsg" hidden="1">[0]!sdfdfsg</definedName>
    <definedName name="sdfds">[0]!sdfds</definedName>
    <definedName name="sdfdsfds">[0]!sdfdsfds</definedName>
    <definedName name="sdfgdgf" hidden="1">{"Page1",#N/A,FALSE,"CompCo";"Page2",#N/A,FALSE,"CompCo"}</definedName>
    <definedName name="sdfgdsg"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sdfgfdsg" hidden="1">{"summary1",#N/A,TRUE,"Comps";"summary2",#N/A,TRUE,"Comps";"summary3",#N/A,TRUE,"Comps"}</definedName>
    <definedName name="sdfgfsd" hidden="1">{#N/A,#N/A,FALSE,"H1H2";"Sales by division",#N/A,FALSE,"H1H2";"LFL assumptions",#N/A,FALSE,"H1H2"}</definedName>
    <definedName name="sdfsd" hidden="1">[0]!sdfsd</definedName>
    <definedName name="sdfsdf">[0]!sdfsdf</definedName>
    <definedName name="sdgfds" hidden="1">[0]!sdgfds</definedName>
    <definedName name="sdgsdfg" hidden="1">[0]!sdgsdfg</definedName>
    <definedName name="SdSfg" hidden="1">{"Clothing PL",#N/A,FALSE,"H1H2";"Food PL",#N/A,FALSE,"H1H2";"Group PL",#N/A,FALSE,"H1H2";"Home Furnishings PL",#N/A,FALSE,"H1H2";"LFL assumptions",#N/A,FALSE,"H1H2";"Sales by division",#N/A,FALSE,"H1H2";"UK Retail PL",#N/A,FALSE,"H1H2"}</definedName>
    <definedName name="Seal">#REF!</definedName>
    <definedName name="SegmentsOptions">#REF!</definedName>
    <definedName name="Selling_Price" localSheetId="14">'[3]Base Case'!$B$11</definedName>
    <definedName name="Selling_Price">#REF!</definedName>
    <definedName name="sens">#REF!</definedName>
    <definedName name="Sensitivities2">#REF!</definedName>
    <definedName name="SeriesFormat">[0]!SeriesFormat</definedName>
    <definedName name="sf" hidden="1">39420.9212731481</definedName>
    <definedName name="sfaas">[0]!sfaas</definedName>
    <definedName name="sfgf" hidden="1">[0]!sfgf</definedName>
    <definedName name="sfgsdg" hidden="1">[0]!sfgsdg</definedName>
    <definedName name="sfsdc"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sfsfds">[0]!sfsfds</definedName>
    <definedName name="SGA">#REF!</definedName>
    <definedName name="shares">#REF!</definedName>
    <definedName name="ShowData">[0]!ShowData</definedName>
    <definedName name="ShowDottedLine">[0]!ShowDottedLine</definedName>
    <definedName name="ShowGraph">[0]!ShowGraph</definedName>
    <definedName name="shshryhasyhj" hidden="1">[0]!shshryhasyhj</definedName>
    <definedName name="shss" hidden="1">[0]!shss</definedName>
    <definedName name="slc99mod.xls">#REF!</definedName>
    <definedName name="sName" localSheetId="7">DCF!sName</definedName>
    <definedName name="sName">[0]!sName</definedName>
    <definedName name="sName2" localSheetId="7">DCF!sName2</definedName>
    <definedName name="sName2">[0]!sName2</definedName>
    <definedName name="solver_adj" localSheetId="7" hidden="1">DCF!#REF!</definedName>
    <definedName name="solver_cvg" localSheetId="7" hidden="1">0.0001</definedName>
    <definedName name="solver_drv" localSheetId="7" hidden="1">1</definedName>
    <definedName name="solver_est" localSheetId="7" hidden="1">1</definedName>
    <definedName name="solver_itr" localSheetId="7" hidden="1">100</definedName>
    <definedName name="solver_lin" localSheetId="7" hidden="1">2</definedName>
    <definedName name="solver_neg" localSheetId="7" hidden="1">2</definedName>
    <definedName name="solver_num" localSheetId="7" hidden="1">0</definedName>
    <definedName name="solver_nwt" localSheetId="7" hidden="1">1</definedName>
    <definedName name="solver_opt" localSheetId="7" hidden="1">DCF!$O$38</definedName>
    <definedName name="solver_pre" localSheetId="7" hidden="1">0.000001</definedName>
    <definedName name="solver_scl" localSheetId="7" hidden="1">2</definedName>
    <definedName name="solver_sho" localSheetId="7" hidden="1">2</definedName>
    <definedName name="solver_tim" localSheetId="7" hidden="1">100</definedName>
    <definedName name="solver_tol" localSheetId="7" hidden="1">0.05</definedName>
    <definedName name="solver_typ" localSheetId="7" hidden="1">3</definedName>
    <definedName name="solver_val" localSheetId="7" hidden="1">0.03</definedName>
    <definedName name="sop">#REF!</definedName>
    <definedName name="spsales">#REF!</definedName>
    <definedName name="ss">#REF!</definedName>
    <definedName name="ssadsa" hidden="1">{"Page1",#N/A,FALSE,"CompCo";"Page2",#N/A,FALSE,"CompCo"}</definedName>
    <definedName name="ssdfds" hidden="1">{"Page1",#N/A,FALSE,"CompCo";"Page2",#N/A,FALSE,"CompCo"}</definedName>
    <definedName name="ssy" hidden="1">[0]!ssy</definedName>
    <definedName name="street">#REF!</definedName>
    <definedName name="Structure">#REF!</definedName>
    <definedName name="Subheader">#REF!</definedName>
    <definedName name="SUMM">#REF!</definedName>
    <definedName name="sweep">#REF!</definedName>
    <definedName name="swingcogs">#REF!</definedName>
    <definedName name="swinggross">#REF!</definedName>
    <definedName name="swingop">#REF!</definedName>
    <definedName name="Synergies">#REF!</definedName>
    <definedName name="t" hidden="1">[0]!t</definedName>
    <definedName name="T.Date">#N/A</definedName>
    <definedName name="T.Date2">#N/A</definedName>
    <definedName name="T.Date3">#N/A</definedName>
    <definedName name="T.DateEOM">#N/A</definedName>
    <definedName name="T.DPS">#N/A</definedName>
    <definedName name="T.EPS">#N/A</definedName>
    <definedName name="T.High">#N/A</definedName>
    <definedName name="T.Low">#N/A</definedName>
    <definedName name="T.PE">#N/A</definedName>
    <definedName name="T.Vol">#N/A</definedName>
    <definedName name="T.Yield">#N/A</definedName>
    <definedName name="tar">#REF!</definedName>
    <definedName name="TARG">#REF!</definedName>
    <definedName name="Target_adj">#REF!</definedName>
    <definedName name="tax">#REF!</definedName>
    <definedName name="tax_rate" localSheetId="14">'[2]FCFF vs. FCFE'!#REF!</definedName>
    <definedName name="tax_rate">0.38</definedName>
    <definedName name="TaxRate">#REF!</definedName>
    <definedName name="taxtable" localSheetId="14">#REF!</definedName>
    <definedName name="taxtable">#REF!</definedName>
    <definedName name="TenderFee">#REF!</definedName>
    <definedName name="TenderPremium">#REF!</definedName>
    <definedName name="term_g">#REF!</definedName>
    <definedName name="TextFormat">[0]!TextFormat</definedName>
    <definedName name="tg" hidden="1">{"bs",#N/A,FALSE,"SCF"}</definedName>
    <definedName name="tgr">#REF!</definedName>
    <definedName name="Tgt_adj">#REF!</definedName>
    <definedName name="TICKER">#REF!</definedName>
    <definedName name="TickerToNameOnEnter">[0]!TickerToNameOnEnter</definedName>
    <definedName name="TOC">#REF!</definedName>
    <definedName name="TotalConsideration">#REF!</definedName>
    <definedName name="TotalEquity">#REF!</definedName>
    <definedName name="totalgross">#REF!</definedName>
    <definedName name="trh">[0]!trh</definedName>
    <definedName name="TxGoodwillAmort">#REF!</definedName>
    <definedName name="ultragp">#REF!</definedName>
    <definedName name="ultrarev">#REF!</definedName>
    <definedName name="ultrasga">#REF!</definedName>
    <definedName name="UNPRIDES" localSheetId="7">DCF!UNPRIDES</definedName>
    <definedName name="UNPRIDES">[0]!UNPRIDES</definedName>
    <definedName name="v" hidden="1">[0]!v</definedName>
    <definedName name="vaaaaaavavv" hidden="1">[0]!vaaaaaavavv</definedName>
    <definedName name="ValuationGrapthOptions">#REF!</definedName>
    <definedName name="vangp">#REF!</definedName>
    <definedName name="vanrev">#REF!</definedName>
    <definedName name="vansga">#REF!</definedName>
    <definedName name="Variable_Cost_per_unit" localSheetId="14">'[3]Base Case'!$B$12</definedName>
    <definedName name="Variable_Cost_per_unit">#REF!</definedName>
    <definedName name="Volumes">OFFSET(#REF!, 0, 0, COUNT(#REF!)+1)</definedName>
    <definedName name="w" hidden="1">{#N/A,#N/A,FALSE,"H1H2";"Sales by division",#N/A,FALSE,"H1H2";"LFL assumptions",#N/A,FALSE,"H1H2"}</definedName>
    <definedName name="wacc">#REF!</definedName>
    <definedName name="wcass1">#REF!</definedName>
    <definedName name="wcass12">#REF!</definedName>
    <definedName name="wcass2">#REF!</definedName>
    <definedName name="wcass22">#REF!</definedName>
    <definedName name="wcass3">#REF!</definedName>
    <definedName name="wcass32">#REF!</definedName>
    <definedName name="wcass4">#REF!</definedName>
    <definedName name="wcass42">#REF!</definedName>
    <definedName name="wcliab1">#REF!</definedName>
    <definedName name="wcliab12">#REF!</definedName>
    <definedName name="wcliab2">#REF!</definedName>
    <definedName name="wcliab22">#REF!</definedName>
    <definedName name="wcliab3">#REF!</definedName>
    <definedName name="wcliab32">#REF!</definedName>
    <definedName name="wefwe">[0]!wefwe</definedName>
    <definedName name="wegweg">[0]!wegweg</definedName>
    <definedName name="wergqerrgqwergr" hidden="1">[0]!wergqerrgqwergr</definedName>
    <definedName name="westgp">#REF!</definedName>
    <definedName name="westrev">#REF!</definedName>
    <definedName name="westsga">#REF!</definedName>
    <definedName name="wewe" hidden="1">{"cap_structure",#N/A,FALSE,"Graph-Mkt Cap";"price",#N/A,FALSE,"Graph-Price";"ebit",#N/A,FALSE,"Graph-EBITDA";"ebitda",#N/A,FALSE,"Graph-EBITDA"}</definedName>
    <definedName name="wg">[0]!wg</definedName>
    <definedName name="wgp">#REF!</definedName>
    <definedName name="working_cap">#REF!</definedName>
    <definedName name="wrev">#REF!</definedName>
    <definedName name="wrn.balance._.sheet." hidden="1">{"bs",#N/A,FALSE,"SCF"}</definedName>
    <definedName name="wrn.COMPCO." localSheetId="7" hidden="1">{"Page1",#N/A,FALSE,"CompCo";"Page2",#N/A,FALSE,"CompCo"}</definedName>
    <definedName name="wrn.COMPCO." hidden="1">{"Page1",#N/A,FALSE,"CompCo";"Page2",#N/A,FALSE,"CompCo"}</definedName>
    <definedName name="wrn.Entire._.Model." hidden="1">{"Clothing PL",#N/A,FALSE,"H1H2";"Food PL",#N/A,FALSE,"H1H2";"Group PL",#N/A,FALSE,"H1H2";"Home Furnishings PL",#N/A,FALSE,"H1H2";"LFL assumptions",#N/A,FALSE,"H1H2";"Sales by division",#N/A,FALSE,"H1H2";"UK Retail PL",#N/A,FALSE,"H1H2"}</definedName>
    <definedName name="wrn.print._.graphs." localSheetId="7"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7" hidden="1">{"inputs raw data",#N/A,TRUE,"INPUT"}</definedName>
    <definedName name="wrn.print._.raw._.data._.entry." hidden="1">{"inputs raw data",#N/A,TRUE,"INPUT"}</definedName>
    <definedName name="wrn.print._.summary._.sheets." localSheetId="7" hidden="1">{"summary1",#N/A,TRUE,"Comps";"summary2",#N/A,TRUE,"Comps";"summary3",#N/A,TRUE,"Comps"}</definedName>
    <definedName name="wrn.print._.summary._.sheets." hidden="1">{"summary1",#N/A,TRUE,"Comps";"summary2",#N/A,TRUE,"Comps";"summary3",#N/A,TRUE,"Comps"}</definedName>
    <definedName name="wrn.Sales._.and._.LFL._.assumptions." hidden="1">{#N/A,#N/A,FALSE,"H1H2";"Sales by division",#N/A,FALSE,"H1H2";"LFL assumptions",#N/A,FALSE,"H1H2"}</definedName>
    <definedName name="wrn.UK._.Retail._.PLs." hidden="1">{"Clothing PL",#N/A,FALSE,"H1H2";"Food PL",#N/A,FALSE,"H1H2";"Group PL",#N/A,FALSE,"H1H2";"Home Furnishings PL",#N/A,FALSE,"H1H2"}</definedName>
    <definedName name="wsga">#REF!</definedName>
    <definedName name="wvu.inputs._.raw._.data." localSheetId="7"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7"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7"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 hidden="1">{"Clothing PL",#N/A,FALSE,"H1H2";"Food PL",#N/A,FALSE,"H1H2";"Group PL",#N/A,FALSE,"H1H2";"Home Furnishings PL",#N/A,FALSE,"H1H2";"LFL assumptions",#N/A,FALSE,"H1H2";"Sales by division",#N/A,FALSE,"H1H2";"UK Retail PL",#N/A,FALSE,"H1H2"}</definedName>
    <definedName name="xfhs" hidden="1">[0]!xfhs</definedName>
    <definedName name="YC_AC_EFFECT_IS">"cumulative_effect_acc_change"</definedName>
    <definedName name="YC_AC_EFFECT_IS_ANN">"cumulative_effect_acc_change_annual"</definedName>
    <definedName name="YC_AC_EFFECT_IS_TTM">"cumulative_effect_acc_change_ttm"</definedName>
    <definedName name="YC_ACC">"accruals"</definedName>
    <definedName name="YC_ACCCI">"comprehensive_income"</definedName>
    <definedName name="YC_ACCCI_ANN">"comprehensive_income_annual"</definedName>
    <definedName name="YC_ACCMDA">"total_accumulated_d_and_d"</definedName>
    <definedName name="YC_ACCMDA_ANN">"total_accumulated_d_and_d_annual"</definedName>
    <definedName name="YC_ACCR_EXP">"accrued_expenses"</definedName>
    <definedName name="YC_ACCR_EXP_ANN">"accrued_expenses_annual"</definedName>
    <definedName name="YC_AP">"accounts_payable"</definedName>
    <definedName name="YC_AP_ANN">"accounts_payable_annual"</definedName>
    <definedName name="YC_APIC">"additional_paid_in_capital"</definedName>
    <definedName name="YC_APIC_ANN">"additional_paid_in_capital_annual"</definedName>
    <definedName name="YC_AR">"accounts_receivable"</definedName>
    <definedName name="YC_AR_ANN">"accounts_receivable_annual"</definedName>
    <definedName name="YC_ASOB">"average_shares_outs_basic"</definedName>
    <definedName name="YC_ASOB_ANN">"average_shares_outs_basic_annual"</definedName>
    <definedName name="YC_ASOD">"average_shares_outs_diluted"</definedName>
    <definedName name="YC_ASOD_ANN">"average_shares_outs_diluted_annual"</definedName>
    <definedName name="YC_ATAX_INC_TTM">"income_after_tax_ttm"</definedName>
    <definedName name="YC_AU">"asset_utilization"</definedName>
    <definedName name="YC_BEG_CASH">"beginning_cash"</definedName>
    <definedName name="YC_BEG_CASH_ANN">"beginning_cash_annual"</definedName>
    <definedName name="YC_BETA">"market_beta_60_month"</definedName>
    <definedName name="YC_C_DISCOP_ADJ">"disc_ops_cash_flow_adjust"</definedName>
    <definedName name="YC_C_DISCOP_ADJ_ANN">"disc_ops_cash_flow_adjust_annual"</definedName>
    <definedName name="YC_C_DISCOP_ADJ_TTM">"disc_ops_cash_flow_adjust_ttm"</definedName>
    <definedName name="YC_CAPEX">"capex"</definedName>
    <definedName name="YC_CAPEX_TTM">"capex_ttm"</definedName>
    <definedName name="YC_CASH">"cash_and_equivalents"</definedName>
    <definedName name="YC_CASH_ANN">"cash_and_equivalents_annual"</definedName>
    <definedName name="YC_CCC">"cash_conversion_cycle"</definedName>
    <definedName name="YC_CCC_ANN">"cash_conversion_cycle_annual"</definedName>
    <definedName name="YC_CDPR">"cash_dividend_payout_ratio"</definedName>
    <definedName name="YC_CFF">"financing_activities_other"</definedName>
    <definedName name="YC_CFF_ANN">"financing_activities_other_annual"</definedName>
    <definedName name="YC_CFF_TTM">"financing_activities_other_ttm"</definedName>
    <definedName name="YC_CFI">"cash_investing"</definedName>
    <definedName name="YC_CFI_ANN">"cash_investing_annual"</definedName>
    <definedName name="YC_CFI_TTM">"cash_investing_ttm"</definedName>
    <definedName name="YC_CFIN">"cash_financing"</definedName>
    <definedName name="YC_CFIN_ANN">"cash_financing_annual"</definedName>
    <definedName name="YC_CFIN_TTM">"cash_financing_ttm"</definedName>
    <definedName name="YC_CFO">"cash_operations"</definedName>
    <definedName name="YC_CFO_ANN">"cash_operations_annual"</definedName>
    <definedName name="YC_CFO_TTM">"cash_operations_ttm"</definedName>
    <definedName name="YC_CHG_ADQDIVS">"net_acquisitions_divestitures"</definedName>
    <definedName name="YC_CHG_ADQDIVS_ANN">"net_acquisitions_divestitures_annual"</definedName>
    <definedName name="YC_CHG_ADQDIVS_TTM">"net_acquisitions_divestitures_ttm"</definedName>
    <definedName name="YC_CHG_AP">"change_in_accounts_payable"</definedName>
    <definedName name="YC_CHG_AP_ANN">"change_in_accounts_payable_annual"</definedName>
    <definedName name="YC_CHG_AP_TTM">"change_in_accounts_payable_ttm"</definedName>
    <definedName name="YC_CHG_AR">"change_in_acc_receivable"</definedName>
    <definedName name="YC_CHG_AR_ANN">"change_in_acc_receivable_annual"</definedName>
    <definedName name="YC_CHG_AR_TTM">"change_in_acc_receivable_ttm"</definedName>
    <definedName name="YC_CHG_ASLIAB">"total_changes_in_assets_liab"</definedName>
    <definedName name="YC_CHG_ASLIAB_ANN">"total_changes_in_assets_liab_annual"</definedName>
    <definedName name="YC_CHG_ASLIAB_TTM">"total_changes_in_assets_liab_ttm"</definedName>
    <definedName name="YC_CHG_CASH">"increase_in_cash"</definedName>
    <definedName name="YC_CHG_CASH_ANN">"increase_in_cash_annual"</definedName>
    <definedName name="YC_CHG_CASH_TTM">"increase_in_cash_ttm"</definedName>
    <definedName name="YC_CHG_CUR_DEBT">"net_current_debt"</definedName>
    <definedName name="YC_CHG_CUR_DEBT_ANN">"net_current_debt_annual"</definedName>
    <definedName name="YC_CHG_CUR_DEBT_TTM">"net_current_debt_ttm"</definedName>
    <definedName name="YC_CHG_INCTAX">"change_in_income_taxes"</definedName>
    <definedName name="YC_CHG_INCTAX_ANN">"change_in_income_taxes_annual"</definedName>
    <definedName name="YC_CHG_INCTAX_TTM">"change_in_income_taxes_ttm"</definedName>
    <definedName name="YC_CHG_INV">"change_in_inventories"</definedName>
    <definedName name="YC_CHG_INV_ANN">"change_in_inventories_annual"</definedName>
    <definedName name="YC_CHG_INV_TTM">"change_in_inventories_ttm"</definedName>
    <definedName name="YC_CHG_LTD">"net_long_term_debt"</definedName>
    <definedName name="YC_CHG_LTD_ANN">"net_long_term_debt_annual"</definedName>
    <definedName name="YC_CHG_LTD_TTM">"net_long_term_debt_ttm"</definedName>
    <definedName name="YC_CHG_PPE">"net_change_in_pp_and_e"</definedName>
    <definedName name="YC_CHG_PPE_ANN">"net_change_in_pp_and_e_annual"</definedName>
    <definedName name="YC_CHG_PPE_TTM">"net_change_in_pp_and_e_ttm"</definedName>
    <definedName name="YC_CHG_ST_INVEST">"net_change_in_st_investments"</definedName>
    <definedName name="YC_CHG_ST_INVEST_ANN">"net_change_in_st_investments_annual"</definedName>
    <definedName name="YC_CHG_ST_INVEST_TTM">"net_change_in_st_investments_ttm"</definedName>
    <definedName name="YC_CO_INC">"income_bef_ex_items_and_disc_ops"</definedName>
    <definedName name="YC_CO_INC_ANN">"income_bef_ex_items_and_disc_ops_annual"</definedName>
    <definedName name="YC_CO_INC_TTM">"income_bef_ex_items_and_disc_ops_ttm"</definedName>
    <definedName name="YC_COGS">"cost_of_goods_sold"</definedName>
    <definedName name="YC_COGS_ANN">"cost_of_goods_sold_annual"</definedName>
    <definedName name="YC_COGS_TTM">"cost_of_goods_sold_ttm"</definedName>
    <definedName name="YC_COMEQ">"book_value_of_equity"</definedName>
    <definedName name="YC_COMEQ_ANN">"book_value_of_equity_annual"</definedName>
    <definedName name="YC_CSI">"cash_on_hand"</definedName>
    <definedName name="YC_CSI_ANN">"cash_on_hand_annual"</definedName>
    <definedName name="YC_CUR">"current_ratio"</definedName>
    <definedName name="YC_CUR_AS">"total_current_assets"</definedName>
    <definedName name="YC_CUR_AS_ANN">"total_current_assets_annual"</definedName>
    <definedName name="YC_CUR_DTA">"deferred_tax_assets_curr"</definedName>
    <definedName name="YC_CUR_DTA_ANN">"deferred_tax_assets_curr_annual"</definedName>
    <definedName name="YC_CUR_LIAB">"total_current_liabilities"</definedName>
    <definedName name="YC_CUR_LIAB_ANN">"total_current_liabilities_annual"</definedName>
    <definedName name="YC_CUR_OTHAS">"other_current_assets"</definedName>
    <definedName name="YC_CUR_OTHAS_ANN">"other_current_assets_annual"</definedName>
    <definedName name="YC_CUR_OTHLIAB">"other_current_liabilities"</definedName>
    <definedName name="YC_CUR_OTHLIAB_ANN">"other_current_liabilities_annual"</definedName>
    <definedName name="YC_CUR_TAX_PAY">"current_portion_taxes_payable"</definedName>
    <definedName name="YC_CUR_TAX_PAY_ANN">"current_portion_taxes_payable_annual"</definedName>
    <definedName name="YC_DA">"total_depr_and_amortization"</definedName>
    <definedName name="YC_DA_ANN">"total_depr_and_amortization_annual"</definedName>
    <definedName name="YC_DA_EXP">"total_depr_and_amor"</definedName>
    <definedName name="YC_DA_EXP_ANN">"total_depr_and_amor_annual"</definedName>
    <definedName name="YC_DA_EXP_TTM">"total_depr_and_amor_ttm"</definedName>
    <definedName name="YC_DA_TTM">"total_depr_and_amortization_ttm"</definedName>
    <definedName name="YC_DE">"debt_equity_ratio"</definedName>
    <definedName name="YC_DEF_COMP">"deferred_compensation"</definedName>
    <definedName name="YC_DEF_COMP_ANN">"deferred_compensation_annual"</definedName>
    <definedName name="YC_DEF_CUR_REV">"deferred_revenue_current"</definedName>
    <definedName name="YC_DEF_CUR_REV_ANN">"deferred_revenue_current_annual"</definedName>
    <definedName name="YC_DEF_CUR_TAXLIAB">"deferred_tax_liability_current"</definedName>
    <definedName name="YC_DEF_CUR_TAXLIAB_ANN">"deferred_tax_liability_current_annual"</definedName>
    <definedName name="YC_DEF_LT_CHG">"deferred_charges_non_current"</definedName>
    <definedName name="YC_DEF_LT_CHG_ANN">"deferred_charges_non_current_annual"</definedName>
    <definedName name="YC_DEF_LT_TAXAS">"deferred_tax_assets_long_term"</definedName>
    <definedName name="YC_DEF_LT_TAXAS_ANN">"deferred_tax_assets_long_term_annual"</definedName>
    <definedName name="YC_DEF_LT_TAXLIAB">"deferred_tax_liab_long_term"</definedName>
    <definedName name="YC_DEF_LT_TAXLIAB_ANN">"deferred_tax_liab_long_term_annual"</definedName>
    <definedName name="YC_DEF_NCUR_REV">"deferred_revenue_non_current"</definedName>
    <definedName name="YC_DEF_NCUR_REV_ANN">"deferred_revenue_non_current_annual"</definedName>
    <definedName name="YC_DESCRIPTION">"description"</definedName>
    <definedName name="YC_DIO">"days_inventory_outstanding"</definedName>
    <definedName name="YC_DIO_ANN">"days_inventory_outstanding_annual"</definedName>
    <definedName name="YC_DIV">"dividend"</definedName>
    <definedName name="YC_DIV_PAY">"dividends_payable"</definedName>
    <definedName name="YC_DIV_PAY_ANN">"dividends_payable_annual"</definedName>
    <definedName name="YC_DIV_PD">"total_stock_dividends_paid"</definedName>
    <definedName name="YC_DIV_PD_ANN">"total_stock_dividends_paid_annual"</definedName>
    <definedName name="YC_DIV_PD_TTM">"total_stock_dividends_paid_ttm"</definedName>
    <definedName name="YC_DIVY">"dividend_yield"</definedName>
    <definedName name="YC_DO_INC">"income_from_discontinued_ops"</definedName>
    <definedName name="YC_DO_INC_ANN">"income_from_discontinued_ops_annual"</definedName>
    <definedName name="YC_DO_INC_TTM">"income_from_discontinued_ops_ttm"</definedName>
    <definedName name="YC_DPO">"days_payables_outstanding"</definedName>
    <definedName name="YC_DPO_ANN">"days_payables_outstanding_annual"</definedName>
    <definedName name="YC_DSO">"days_sales_outstanding"</definedName>
    <definedName name="YC_DSO_ANN">"days_sales_outstanding_annual"</definedName>
    <definedName name="YC_EBIT">"ebit"</definedName>
    <definedName name="YC_EBIT_ANN">"ebit_annual"</definedName>
    <definedName name="YC_EBIT_TTM">"ebit_ttm"</definedName>
    <definedName name="YC_EBITDA">"ebitda"</definedName>
    <definedName name="YC_EBITDA_ANN">"ebitda_annual"</definedName>
    <definedName name="YC_EBITDA_MGN">"ebitda_margin_ttm"</definedName>
    <definedName name="YC_EBITDA_TTM">"ebitda_ttm"</definedName>
    <definedName name="YC_END_CASH">"end_cash"</definedName>
    <definedName name="YC_END_CASH_ANN">"end_cash_annual"</definedName>
    <definedName name="YC_EPS">"eps"</definedName>
    <definedName name="YC_EPS_ANN">"eps_annual"</definedName>
    <definedName name="YC_EPS_ANN_FWD">"eps_est_0y"</definedName>
    <definedName name="YC_EPS_ANN_FWD_1Y">"eps_est_1y"</definedName>
    <definedName name="YC_EPS_ANN_FWD_2Y">"eps_est_2y"</definedName>
    <definedName name="YC_EPS_ANN_FWD_3Y">"eps_est_3y"</definedName>
    <definedName name="YC_EPS_BSC">"net_eps_basic"</definedName>
    <definedName name="YC_EPS_BSC_ANN">"net_eps_basic_annual"</definedName>
    <definedName name="YC_EPS_BSC_TTM">"net_eps_basic_ttm"</definedName>
    <definedName name="YC_EPS_FWD">"eps_est_0q"</definedName>
    <definedName name="YC_EPS_FWD_1Q">"eps_est_1q"</definedName>
    <definedName name="YC_EPS_FWD_2Q">"eps_est_2q"</definedName>
    <definedName name="YC_EPS_FWD_3Q">"eps_est_3q"</definedName>
    <definedName name="YC_EPS_FWD_4Q">"eps_est_4q"</definedName>
    <definedName name="YC_EPS_TTM">"eps_ttm"</definedName>
    <definedName name="YC_ETAX_RATE">"effective_tax_rate"</definedName>
    <definedName name="YC_EV">"enterprise_value"</definedName>
    <definedName name="YC_EV_EBIT">"ev_ebit"</definedName>
    <definedName name="YC_EV_EBITDA">"ev_ebitda"</definedName>
    <definedName name="YC_EV_FCF">"ev_free_cash_flow"</definedName>
    <definedName name="YC_EV_REV">"ev_revenues"</definedName>
    <definedName name="YC_EV_REV_FWD">"forward_ev_revenues"</definedName>
    <definedName name="YC_EXCHANGE">"exchange"</definedName>
    <definedName name="YC_EXP">"expenses"</definedName>
    <definedName name="YC_EXP_TTM">"expenses_ttm"</definedName>
    <definedName name="YC_EXTRA_INC">"extraordinary_income"</definedName>
    <definedName name="YC_EXTRA_INC_ANN">"extraordinary_income_annual"</definedName>
    <definedName name="YC_EXTRA_INC_TTM">"extraordinary_income_ttm"</definedName>
    <definedName name="YC_EY">"earning_yield"</definedName>
    <definedName name="YC_EY_FWD">"forward_earnings_yield"</definedName>
    <definedName name="YC_FCF">"free_cash_flow"</definedName>
    <definedName name="YC_FCFY">"free_cash_flow_yield"</definedName>
    <definedName name="YC_FOREX_ADJ">"foreign_exch_rate_adjust"</definedName>
    <definedName name="YC_FOREX_ADJ_ANN">"foreign_exch_rate_adjust_annual"</definedName>
    <definedName name="YC_FOREX_ADJ_TTM">"foreign_exch_rate_adjust_ttm"</definedName>
    <definedName name="YC_GPFT">"gross_profit"</definedName>
    <definedName name="YC_GPFT_ANN">"gross_profit_annual"</definedName>
    <definedName name="YC_GPFT_MGN">"gross_profit_margin"</definedName>
    <definedName name="YC_GPFT_TTM">"gross_profit_ttm"</definedName>
    <definedName name="YC_GPPE">"gross_property_plant_equip"</definedName>
    <definedName name="YC_GPPE_ANN">"gross_property_plant_equip_annual"</definedName>
    <definedName name="YC_GWIT">"goodwill_and_intangible"</definedName>
    <definedName name="YC_GWIT_ANN">"goodwill_and_intangible_annual"</definedName>
    <definedName name="YC_INDUSTRY">"industry"</definedName>
    <definedName name="YC_INT_EXP">"interest_expense"</definedName>
    <definedName name="YC_INT_INC">"interest_income"</definedName>
    <definedName name="YC_INT_INC_ANN">"interest_income_annual"</definedName>
    <definedName name="YC_INT_INC_TTM">"interest_income_ttm"</definedName>
    <definedName name="YC_INV">"inventories_net"</definedName>
    <definedName name="YC_INV_ANN">"inventories_net_annual"</definedName>
    <definedName name="YC_LIAB">"liabilities"</definedName>
    <definedName name="YC_LIAB_ANN">"liabilities_annual"</definedName>
    <definedName name="YC_LT_INV">"inventory_long_term"</definedName>
    <definedName name="YC_LT_INV_ANN">"inventory_long_term_annual"</definedName>
    <definedName name="YC_LT_PENAS">"pension_post_retirement_asset"</definedName>
    <definedName name="YC_LT_PENAS_ANN">"pension_post_retirement_asset_annual"</definedName>
    <definedName name="YC_LT_PENLIAB">"pension_and_retirement_liab"</definedName>
    <definedName name="YC_LT_PENLIAB_ANN">"pension_and_retirement_liab_annual"</definedName>
    <definedName name="YC_LT_RECV">"long_term_receivables"</definedName>
    <definedName name="YC_LT_RECV_ANN">"long_term_receivables_annual"</definedName>
    <definedName name="YC_LTA_OTH">"other_long_term_assets"</definedName>
    <definedName name="YC_LTA_OTH_ANN">"other_long_term_assets_annual"</definedName>
    <definedName name="YC_LTA_TOT">"total_long_term_assets"</definedName>
    <definedName name="YC_LTA_TOT_ANN">"total_long_term_assets_annual"</definedName>
    <definedName name="YC_LTD">"total_long_term_debt"</definedName>
    <definedName name="YC_LTD_ANN">"total_long_term_debt_annual"</definedName>
    <definedName name="YC_LTD_CURR">"current_portion_debt"</definedName>
    <definedName name="YC_LTD_CURR_ANN">"current_portion_debt_annual"</definedName>
    <definedName name="YC_LTD_TOT">"long_term_debt"</definedName>
    <definedName name="YC_MININT">"minority_interest"</definedName>
    <definedName name="YC_MININT_ANN">"minority_interest_annual"</definedName>
    <definedName name="YC_MININT_BS">"minority_interest_balance_sheet"</definedName>
    <definedName name="YC_MININT_BS_ANN">"minority_interest_balance_sheet_annual"</definedName>
    <definedName name="YC_MININT_TTM">"minority_interest_ttm"</definedName>
    <definedName name="YC_MKTCAP">"market_cap"</definedName>
    <definedName name="YC_NAME">"name"</definedName>
    <definedName name="YC_NCOMEQ_ISS">"net_common_equity_issued"</definedName>
    <definedName name="YC_NCOMEQ_ISS_ANN">"net_common_equity_issued_annual"</definedName>
    <definedName name="YC_NCOMEQ_ISS_TTM">"net_common_equity_issued_ttm"</definedName>
    <definedName name="YC_NCS">"capital_stock"</definedName>
    <definedName name="YC_NCS_ANN">"capital_stock_annual"</definedName>
    <definedName name="YC_NETCHG_IAS">"net_change_in_intang_assets"</definedName>
    <definedName name="YC_NETCHG_IAS_ANN">"net_change_in_intang_assets_annual"</definedName>
    <definedName name="YC_NETCHG_IAS_TTM">"net_change_in_intang_assets_ttm"</definedName>
    <definedName name="YC_NI">"net_income"</definedName>
    <definedName name="YC_NI_ANN">"net_income_annual"</definedName>
    <definedName name="YC_NI_CF">"net_income_cf"</definedName>
    <definedName name="YC_NI_CF_ANN">"net_income_cf_annual"</definedName>
    <definedName name="YC_NI_CF_TTM">"net_income_cf_ttm"</definedName>
    <definedName name="YC_NI_TTM">"net_income_ttm"</definedName>
    <definedName name="YC_NOINT_EXP">"interest_expense_non_operating"</definedName>
    <definedName name="YC_NOINT_EXP_ANN">"interest_expense_non_operating_annual"</definedName>
    <definedName name="YC_NOINT_EXP_TTM">"interest_expense_non_operating_ttm"</definedName>
    <definedName name="YC_NOP_INC">"total_non_operating_income"</definedName>
    <definedName name="YC_NOP_INC_ANN">"total_non_operating_income_annual"</definedName>
    <definedName name="YC_NOP_INC_TTM">"total_non_operating_income_ttm"</definedName>
    <definedName name="YC_NP">"notes_payable"</definedName>
    <definedName name="YC_NP_ANN">"notes_payable_annual"</definedName>
    <definedName name="YC_NPPE">"net_ppe"</definedName>
    <definedName name="YC_NPPE_ANN">"net_ppe_annual"</definedName>
    <definedName name="YC_OP_EY">"operating_earning_yield"</definedName>
    <definedName name="YC_OP_INC">"operating_income"</definedName>
    <definedName name="YC_OP_INC_ANN">"operating_income_annual"</definedName>
    <definedName name="YC_OP_INC_TTM">"operating_income_ttm"</definedName>
    <definedName name="YC_OP_MGN">"operating_margin_ttm"</definedName>
    <definedName name="YC_OP_PE">"operating_pe_ratio"</definedName>
    <definedName name="YC_OPINT_EXP">"interest_expense_oper"</definedName>
    <definedName name="YC_OPINT_EXP_ANN">"interest_expense_oper_annual"</definedName>
    <definedName name="YC_OPINT_EXP_TTM">"interest_expense_oper_ttm"</definedName>
    <definedName name="YC_OTH_CFO">"operating_activities_other"</definedName>
    <definedName name="YC_OTH_CFO_ANN">"operating_activities_other_annual"</definedName>
    <definedName name="YC_OTH_CFO_TTM">"operating_activities_other_ttm"</definedName>
    <definedName name="YC_OTH_INC">"other_income_expense"</definedName>
    <definedName name="YC_OTH_INC_ANN">"other_income_expense_annual"</definedName>
    <definedName name="YC_OTH_INC_TTM">"other_income_expense_ttm"</definedName>
    <definedName name="YC_OTH_LT_LIAB">"other_non_current_liab"</definedName>
    <definedName name="YC_OTH_LT_LIAB_ANN">"other_non_current_liab_annual"</definedName>
    <definedName name="YC_OTH_NCI">"other_non_cash_items"</definedName>
    <definedName name="YC_OTH_NCI_ANN">"other_non_cash_items_annual"</definedName>
    <definedName name="YC_OTH_NCI_TTM">"other_non_cash_items_ttm"</definedName>
    <definedName name="YC_OTH_PAY">"other_payables"</definedName>
    <definedName name="YC_OTH_PAY_ANN">"other_payables_annual"</definedName>
    <definedName name="YC_PB">"price_to_book_value"</definedName>
    <definedName name="YC_PE">"pe_ratio"</definedName>
    <definedName name="YC_PE_FWD">"forward_pe_ratio"</definedName>
    <definedName name="YC_PE_ISS">"net_preferred_equity_issued"</definedName>
    <definedName name="YC_PE_ISS_ANN">"net_preferred_equity_issued_annual"</definedName>
    <definedName name="YC_PE_ISS_TTM">"net_preferred_equity_issued_ttm"</definedName>
    <definedName name="YC_PE10">"pe_10"</definedName>
    <definedName name="YC_PEG">"peg_ratio"</definedName>
    <definedName name="YC_PEG_FWD">"forward_peg_ratio"</definedName>
    <definedName name="YC_PFT_MGN">"profit_margin"</definedName>
    <definedName name="YC_PR">"payout_ratio"</definedName>
    <definedName name="YC_PRE_EXP">"prepaid_expenses"</definedName>
    <definedName name="YC_PRE_EXP_ANN">"prepaid_expenses_annual"</definedName>
    <definedName name="YC_PREFSLIAB">"preferred_stock_liabilities"</definedName>
    <definedName name="YC_PREFSLIAB_ANN">"preferred_stock_liabilities_annual"</definedName>
    <definedName name="YC_PRICE">"price"</definedName>
    <definedName name="YC_PS">"ps_ratio"</definedName>
    <definedName name="YC_PS_DIV">"preferred_stock_div_and_adj"</definedName>
    <definedName name="YC_PS_DIV_ANN">"preferred_stock_div_and_adj_annual"</definedName>
    <definedName name="YC_PS_DIV_TTM">"preferred_stock_div_and_adj_ttm"</definedName>
    <definedName name="YC_PS_FWD">"forward_ps_ratio"</definedName>
    <definedName name="YC_PTAX_INC">"pre_tax_income"</definedName>
    <definedName name="YC_PTAX_INC_ANN">"pre_tax_income_annual"</definedName>
    <definedName name="YC_PTAX_INC_TTM">"pre_tax_income_ttm"</definedName>
    <definedName name="YC_PTB">"price_to_tangible_book_value"</definedName>
    <definedName name="YC_RD_EXP">"r_and_d_expense"</definedName>
    <definedName name="YC_RD_EXP_ANN">"r_and_d_expense_annual"</definedName>
    <definedName name="YC_RD_EXP_TTM">"r_and_d_expense_ttm"</definedName>
    <definedName name="YC_RE">"retained_earnings"</definedName>
    <definedName name="YC_RE_ANN">"retained_earnings_annual"</definedName>
    <definedName name="YC_RECV_TURN">"receivables_turnover"</definedName>
    <definedName name="YC_REV">"revenues"</definedName>
    <definedName name="YC_REV_ANN">"revenues_annual"</definedName>
    <definedName name="YC_REV_ANN_EST">"annual_sales_estimates"</definedName>
    <definedName name="YC_REV_ANN_FWD">"sales_est_0y"</definedName>
    <definedName name="YC_REV_ANN_FWD_1Y">"sales_est_1y"</definedName>
    <definedName name="YC_REV_EST">"quarterly_sales_estimates"</definedName>
    <definedName name="YC_REV_FWD">"sales_est_0q"</definedName>
    <definedName name="YC_REV_FWD_1Q">"sales_est_1q"</definedName>
    <definedName name="YC_REV_FWD_2Q">"sales_est_2q"</definedName>
    <definedName name="YC_REV_FWD_3Q">"sales_est_3q"</definedName>
    <definedName name="YC_REV_TTM">"revenues_ttm"</definedName>
    <definedName name="YC_ROA">"return_on_assets"</definedName>
    <definedName name="YC_ROE">"return_on_equity"</definedName>
    <definedName name="YC_ROIC">"return_on_invested_capital"</definedName>
    <definedName name="YC_SBB">"stock_buyback"</definedName>
    <definedName name="YC_SBB_TTM">"stock_buyback_ttm"</definedName>
    <definedName name="YC_SE">"shareholders_equity"</definedName>
    <definedName name="YC_SE_ANN">"shareholders_equity_annual"</definedName>
    <definedName name="YC_SECTOR">"sector"</definedName>
    <definedName name="YC_SGA_EXP">"sga_expense"</definedName>
    <definedName name="YC_SGA_EXP_ANN">"sga_expense_annual"</definedName>
    <definedName name="YC_SGA_EXP_TTM">"sga_expense_ttm"</definedName>
    <definedName name="YC_SO">"shares_outstanding"</definedName>
    <definedName name="YC_TA">"assets"</definedName>
    <definedName name="YC_TA_ANN">"assets_annual"</definedName>
    <definedName name="YC_TAX_PROV">"provision_for_income_taxes"</definedName>
    <definedName name="YC_TAX_PROV_ANN">"provision_for_income_taxes_annual"</definedName>
    <definedName name="YC_TAX_PROV_TTM">"provision_for_income_taxes_ttm"</definedName>
    <definedName name="YC_TBV">"book_value_of_tangible_equity"</definedName>
    <definedName name="YC_TBV_ANN">"book_value_of_tangible_equity_annual"</definedName>
    <definedName name="YC_TCER">"tangible_common_equity_ratio"</definedName>
    <definedName name="YC_TO_EXP">"total_operating_expense"</definedName>
    <definedName name="YC_TO_EXP_ANN">"total_operating_expense_annual"</definedName>
    <definedName name="YC_TO_EXP_TTM">"total_operating_expense_ttm"</definedName>
    <definedName name="YC_TOT_CHG_INVEST">"net_change_in_invest_total"</definedName>
    <definedName name="YC_TOT_CHG_INVEST_ANN">"net_change_in_invest_total_annual"</definedName>
    <definedName name="YC_TOT_CHG_INVEST_TTM">"net_change_in_invest_total_ttm"</definedName>
    <definedName name="YC_TOT_CHG_LT_INVEST">"net_change_in_lt_investments"</definedName>
    <definedName name="YC_TOT_CHG_LT_INVEST_ANN">"net_change_in_lt_investments_annual"</definedName>
    <definedName name="YC_TOT_CHG_LT_INVEST_TTM">"net_change_in_lt_investments_ttm"</definedName>
    <definedName name="YC_TOT_CS_DIV">"common_stock_dividends_paid"</definedName>
    <definedName name="YC_TOT_CS_DIV_ANN">"common_stock_dividends_paid_annual"</definedName>
    <definedName name="YC_TOT_CS_DIV_TTM">"common_stock_dividends_paid_ttm"</definedName>
    <definedName name="YC_TOT_EQEQUIV">"equity_equivalent"</definedName>
    <definedName name="YC_TOT_EQEQUIV_ANN">"equity_equivalent_annual"</definedName>
    <definedName name="YC_TOT_LIABSE">"total_liab_shareholder_equity"</definedName>
    <definedName name="YC_TOT_LIABSE_ANN">"total_liab_shareholder_equity_annual"</definedName>
    <definedName name="YC_TOT_LT_INVEST">"long_term_investments"</definedName>
    <definedName name="YC_TOT_LT_INVEST_ANN">"long_term_investments_annual"</definedName>
    <definedName name="YC_TOT_LT_LIAB">"total_long_term_liab"</definedName>
    <definedName name="YC_TOT_LT_LIAB_ANN">"total_long_term_liab_annual"</definedName>
    <definedName name="YC_TOT_NCI_TTM">"total_non_cash_items_ttm"</definedName>
    <definedName name="YC_TOT_NDBT_ISS">"debt_issuance_net_total"</definedName>
    <definedName name="YC_TOT_NDBT_ISS_ANN">"debt_issuance_net_total_annual"</definedName>
    <definedName name="YC_TOT_NDBT_ISS_TTM">"debt_issuance_net_total_ttm"</definedName>
    <definedName name="YC_TOT_NE_ISS">"net_common_equity_issued"</definedName>
    <definedName name="YC_TOT_NE_ISS_ANN">"net_common_equity_issued_annual"</definedName>
    <definedName name="YC_TOT_NE_ISS_TTM">"net_common_equity_issued_ttm"</definedName>
    <definedName name="YC_TOT_PS">"total_preferred_stock"</definedName>
    <definedName name="YC_TOT_PS_ANN">"total_preferred_stock_annual"</definedName>
    <definedName name="YC_TOT_PS_DIV">"preferred_stock_dividends_paid"</definedName>
    <definedName name="YC_TOT_PS_DIV_ANN">"preferred_stock_dividends_paid_annual"</definedName>
    <definedName name="YC_TOT_PS_DIV_TTM">"preferred_stock_dividends_paid_ttm"</definedName>
    <definedName name="YC_TOT_RETPRICE">"total_return_price"</definedName>
    <definedName name="YC_TS">"treasury_stock"</definedName>
    <definedName name="YC_TS_ANN">"treasury_stock_annual"</definedName>
    <definedName name="YC_URL">"url"</definedName>
    <definedName name="YC_VOL">"volume"</definedName>
    <definedName name="year">#REF!</definedName>
    <definedName name="Year1CashInterest">SUMPRODUCT(#REF!,#REF!)</definedName>
    <definedName name="yearconvention">#REF!</definedName>
    <definedName name="yikiukui" hidden="1">{"summary1",#N/A,TRUE,"Comps";"summary2",#N/A,TRUE,"Comps";"summary3",#N/A,TRUE,"Comps"}</definedName>
    <definedName name="YR1EPS">#REF!</definedName>
    <definedName name="YR2EPS">#REF!</definedName>
    <definedName name="ytjy" hidden="1">[0]!ytjy</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57" l="1"/>
  <c r="T5" i="57"/>
  <c r="U67" i="57"/>
  <c r="U68" i="57" s="1"/>
  <c r="H7" i="80" s="1"/>
  <c r="G11" i="80"/>
  <c r="V67" i="57" l="1"/>
  <c r="W67" i="57" s="1"/>
  <c r="X67" i="57"/>
  <c r="W68" i="57"/>
  <c r="H8" i="80" s="1"/>
  <c r="V68" i="57"/>
  <c r="F7" i="80" s="1"/>
  <c r="G7" i="80" s="1"/>
  <c r="O22" i="67"/>
  <c r="N22" i="67"/>
  <c r="M22" i="67"/>
  <c r="L22" i="67"/>
  <c r="K22" i="67"/>
  <c r="J22" i="67"/>
  <c r="I22" i="67"/>
  <c r="O25" i="67"/>
  <c r="N25" i="67"/>
  <c r="M25" i="67"/>
  <c r="L25" i="67"/>
  <c r="K25" i="67"/>
  <c r="J25" i="67"/>
  <c r="I25" i="67"/>
  <c r="G25" i="67"/>
  <c r="G22" i="67"/>
  <c r="G23" i="67"/>
  <c r="O15" i="67"/>
  <c r="N15" i="67"/>
  <c r="M15" i="67"/>
  <c r="L15" i="67"/>
  <c r="K15" i="67"/>
  <c r="J15" i="67"/>
  <c r="I15" i="67"/>
  <c r="G15" i="67"/>
  <c r="G12" i="67"/>
  <c r="O12" i="67"/>
  <c r="N12" i="67"/>
  <c r="M12" i="67"/>
  <c r="L12" i="67"/>
  <c r="C34" i="67" s="1"/>
  <c r="K12" i="67"/>
  <c r="J12" i="67"/>
  <c r="I12" i="67"/>
  <c r="Y67" i="57" l="1"/>
  <c r="X68" i="57"/>
  <c r="F8" i="80" s="1"/>
  <c r="G8" i="80" s="1"/>
  <c r="D34" i="67"/>
  <c r="Z67" i="57" l="1"/>
  <c r="Z68" i="57" s="1"/>
  <c r="F9" i="80" s="1"/>
  <c r="Y68" i="57"/>
  <c r="H9" i="80" s="1"/>
  <c r="G9" i="80" l="1"/>
  <c r="AB43" i="36" l="1"/>
  <c r="AB44" i="36" s="1"/>
  <c r="AB45" i="36" s="1"/>
  <c r="AB46" i="36" s="1"/>
  <c r="AB47" i="36" s="1"/>
  <c r="AB48" i="36" s="1"/>
  <c r="AB49" i="36" s="1"/>
  <c r="AB50" i="36" s="1"/>
  <c r="AB51" i="36" s="1"/>
  <c r="AB24" i="36"/>
  <c r="AB25" i="36" s="1"/>
  <c r="AB26" i="36" s="1"/>
  <c r="AB27" i="36" s="1"/>
  <c r="AB28" i="36" s="1"/>
  <c r="AB29" i="36" s="1"/>
  <c r="AB30" i="36" s="1"/>
  <c r="AB31" i="36" s="1"/>
  <c r="AB32" i="36" s="1"/>
  <c r="AB7" i="36"/>
  <c r="AB8" i="36" s="1"/>
  <c r="AB9" i="36" s="1"/>
  <c r="AB10" i="36" s="1"/>
  <c r="AB11" i="36" s="1"/>
  <c r="AB12" i="36" s="1"/>
  <c r="AB13" i="36" s="1"/>
  <c r="AB14" i="36" s="1"/>
  <c r="AB15" i="36" s="1"/>
  <c r="V38" i="57" l="1"/>
  <c r="V37" i="57"/>
  <c r="AB36" i="57"/>
  <c r="AC36" i="57" s="1"/>
  <c r="V35" i="57"/>
  <c r="Y65" i="79"/>
  <c r="W65" i="79"/>
  <c r="Y64" i="79"/>
  <c r="W64" i="79"/>
  <c r="Y63" i="79"/>
  <c r="W63" i="79"/>
  <c r="Y62" i="79"/>
  <c r="W62" i="79"/>
  <c r="Y61" i="79"/>
  <c r="W61" i="79"/>
  <c r="Y60" i="79"/>
  <c r="W60" i="79"/>
  <c r="Y59" i="79"/>
  <c r="W59" i="79"/>
  <c r="Y58" i="79"/>
  <c r="W58" i="79"/>
  <c r="Y57" i="79"/>
  <c r="W57" i="79"/>
  <c r="Y56" i="79"/>
  <c r="W56" i="79"/>
  <c r="Y55" i="79"/>
  <c r="W55" i="79"/>
  <c r="Y54" i="79"/>
  <c r="W54" i="79"/>
  <c r="Y53" i="79"/>
  <c r="W53" i="79"/>
  <c r="Y52" i="79"/>
  <c r="W52" i="79"/>
  <c r="Y51" i="79"/>
  <c r="W51" i="79"/>
  <c r="Y50" i="79"/>
  <c r="W50" i="79"/>
  <c r="F51" i="79"/>
  <c r="Y49" i="79"/>
  <c r="W49" i="79"/>
  <c r="F50" i="79"/>
  <c r="Y48" i="79"/>
  <c r="W48" i="79"/>
  <c r="F49" i="79"/>
  <c r="Y47" i="79"/>
  <c r="W47" i="79"/>
  <c r="Y46" i="79"/>
  <c r="W46" i="79"/>
  <c r="Y45" i="79"/>
  <c r="W45" i="79"/>
  <c r="F46" i="79"/>
  <c r="Y44" i="79"/>
  <c r="W44" i="79"/>
  <c r="Y43" i="79"/>
  <c r="W43" i="79"/>
  <c r="Y42" i="79"/>
  <c r="W42" i="79"/>
  <c r="Y41" i="79"/>
  <c r="W41" i="79"/>
  <c r="Y40" i="79"/>
  <c r="W40" i="79"/>
  <c r="Y39" i="79"/>
  <c r="W39" i="79"/>
  <c r="F40" i="79"/>
  <c r="Y38" i="79"/>
  <c r="W38" i="79"/>
  <c r="Y37" i="79"/>
  <c r="W37" i="79"/>
  <c r="Y36" i="79"/>
  <c r="W36" i="79"/>
  <c r="Y35" i="79"/>
  <c r="W35" i="79"/>
  <c r="Y34" i="79"/>
  <c r="W34" i="79"/>
  <c r="Y33" i="79"/>
  <c r="W33" i="79"/>
  <c r="Y32" i="79"/>
  <c r="W32" i="79"/>
  <c r="Y31" i="79"/>
  <c r="W31" i="79"/>
  <c r="Y30" i="79"/>
  <c r="W30" i="79"/>
  <c r="Y29" i="79"/>
  <c r="W29" i="79"/>
  <c r="V36" i="57" l="1"/>
  <c r="F52" i="79"/>
  <c r="Y28" i="79"/>
  <c r="W28" i="79"/>
  <c r="Y27" i="79"/>
  <c r="W27" i="79"/>
  <c r="Y26" i="79"/>
  <c r="W26" i="79"/>
  <c r="Y25" i="79"/>
  <c r="W25" i="79"/>
  <c r="Y24" i="79"/>
  <c r="W24" i="79"/>
  <c r="Y23" i="79" l="1"/>
  <c r="W23" i="79"/>
  <c r="Y22" i="79" l="1"/>
  <c r="W22" i="79"/>
  <c r="Y21" i="79" l="1"/>
  <c r="W21" i="79"/>
  <c r="Y20" i="79"/>
  <c r="W20" i="79"/>
  <c r="Y19" i="79"/>
  <c r="W19" i="79"/>
  <c r="Y18" i="79"/>
  <c r="W18" i="79"/>
  <c r="Y17" i="79" l="1"/>
  <c r="W17" i="79"/>
  <c r="Y16" i="79"/>
  <c r="W16" i="79"/>
  <c r="Y15" i="79"/>
  <c r="W15" i="79"/>
  <c r="Y14" i="79"/>
  <c r="W14" i="79"/>
  <c r="Y13" i="79"/>
  <c r="W13" i="79"/>
  <c r="Y12" i="79"/>
  <c r="W12" i="79"/>
  <c r="E12" i="79"/>
  <c r="D12" i="79"/>
  <c r="Y11" i="79"/>
  <c r="W11" i="79"/>
  <c r="Y10" i="79"/>
  <c r="W10" i="79"/>
  <c r="Y9" i="79"/>
  <c r="W9" i="79"/>
  <c r="Y8" i="79"/>
  <c r="W8" i="79"/>
  <c r="Y7" i="79"/>
  <c r="W7" i="79"/>
  <c r="Y6" i="79"/>
  <c r="W6" i="79"/>
  <c r="D48" i="67"/>
  <c r="C39" i="67" s="1"/>
  <c r="C48" i="67"/>
  <c r="O26" i="67"/>
  <c r="N26" i="67"/>
  <c r="M26" i="67"/>
  <c r="L26" i="67"/>
  <c r="K26" i="67"/>
  <c r="J26" i="67"/>
  <c r="I26" i="67"/>
  <c r="G26" i="67"/>
  <c r="O16" i="67"/>
  <c r="N16" i="67"/>
  <c r="M16" i="67"/>
  <c r="L16" i="67"/>
  <c r="D43" i="67" s="1"/>
  <c r="K16" i="67"/>
  <c r="J16" i="67"/>
  <c r="I16" i="67"/>
  <c r="C19" i="79" s="1"/>
  <c r="G16" i="67"/>
  <c r="C23" i="79" s="1"/>
  <c r="Q29" i="67"/>
  <c r="H29" i="67" s="1"/>
  <c r="R29" i="67"/>
  <c r="O24" i="67"/>
  <c r="N24" i="67"/>
  <c r="M24" i="67"/>
  <c r="L24" i="67"/>
  <c r="K24" i="67"/>
  <c r="J24" i="67"/>
  <c r="I24" i="67"/>
  <c r="G24" i="67"/>
  <c r="O23" i="67"/>
  <c r="N23" i="67"/>
  <c r="M23" i="67"/>
  <c r="L23" i="67"/>
  <c r="K23" i="67"/>
  <c r="J23" i="67"/>
  <c r="I23" i="67"/>
  <c r="O14" i="67"/>
  <c r="O13" i="67"/>
  <c r="N14" i="67"/>
  <c r="N13" i="67"/>
  <c r="M14" i="67"/>
  <c r="M13" i="67"/>
  <c r="L14" i="67"/>
  <c r="L13" i="67"/>
  <c r="K14" i="67"/>
  <c r="K13" i="67"/>
  <c r="J14" i="67"/>
  <c r="J13" i="67"/>
  <c r="I14" i="67"/>
  <c r="I13" i="67"/>
  <c r="G14" i="67"/>
  <c r="G13" i="67"/>
  <c r="G23" i="57"/>
  <c r="F23" i="57"/>
  <c r="E23" i="57"/>
  <c r="H23" i="57"/>
  <c r="J23" i="57"/>
  <c r="H61" i="76"/>
  <c r="G61" i="76"/>
  <c r="F61" i="76"/>
  <c r="E61" i="76"/>
  <c r="D61" i="76"/>
  <c r="H55" i="76"/>
  <c r="G55" i="76"/>
  <c r="F55" i="76"/>
  <c r="E55" i="76"/>
  <c r="H54" i="76"/>
  <c r="G54" i="76"/>
  <c r="F54" i="76"/>
  <c r="E54" i="76"/>
  <c r="D55" i="76"/>
  <c r="D54" i="76"/>
  <c r="H43" i="76"/>
  <c r="G43" i="76"/>
  <c r="F43" i="76"/>
  <c r="E43" i="76"/>
  <c r="H42" i="76"/>
  <c r="G42" i="76"/>
  <c r="F42" i="76"/>
  <c r="E42" i="76"/>
  <c r="D43" i="76"/>
  <c r="D42" i="76"/>
  <c r="E22" i="57"/>
  <c r="E18" i="57"/>
  <c r="E15" i="57"/>
  <c r="E21" i="57" s="1"/>
  <c r="E9" i="57"/>
  <c r="H68" i="77"/>
  <c r="G68" i="77"/>
  <c r="F68" i="77"/>
  <c r="E68" i="77"/>
  <c r="H65" i="77"/>
  <c r="G65" i="77"/>
  <c r="F65" i="77"/>
  <c r="E65" i="77"/>
  <c r="H64" i="77"/>
  <c r="H66" i="77" s="1"/>
  <c r="G64" i="77"/>
  <c r="G66" i="77" s="1"/>
  <c r="F64" i="77"/>
  <c r="E64" i="77"/>
  <c r="H61" i="77"/>
  <c r="G61" i="77"/>
  <c r="F61" i="77"/>
  <c r="E61" i="77"/>
  <c r="H58" i="77"/>
  <c r="G58" i="77"/>
  <c r="F58" i="77"/>
  <c r="E58" i="77"/>
  <c r="D68" i="77"/>
  <c r="D65" i="77"/>
  <c r="D64" i="77"/>
  <c r="D61" i="77"/>
  <c r="D58" i="77"/>
  <c r="H51" i="77"/>
  <c r="G51" i="77"/>
  <c r="F51" i="77"/>
  <c r="E51" i="77"/>
  <c r="H47" i="77"/>
  <c r="G47" i="77"/>
  <c r="F47" i="77"/>
  <c r="E47" i="77"/>
  <c r="H46" i="77"/>
  <c r="G46" i="77"/>
  <c r="F46" i="77"/>
  <c r="E46" i="77"/>
  <c r="H45" i="77"/>
  <c r="G45" i="77"/>
  <c r="F45" i="77"/>
  <c r="E45" i="77"/>
  <c r="H41" i="77"/>
  <c r="G41" i="77"/>
  <c r="F41" i="77"/>
  <c r="E41" i="77"/>
  <c r="H40" i="77"/>
  <c r="G40" i="77"/>
  <c r="F40" i="77"/>
  <c r="E40" i="77"/>
  <c r="H39" i="77"/>
  <c r="G39" i="77"/>
  <c r="F39" i="77"/>
  <c r="E39" i="77"/>
  <c r="H36" i="77"/>
  <c r="G36" i="77"/>
  <c r="F36" i="77"/>
  <c r="E36" i="77"/>
  <c r="H35" i="77"/>
  <c r="G35" i="77"/>
  <c r="F35" i="77"/>
  <c r="E35" i="77"/>
  <c r="H34" i="77"/>
  <c r="G34" i="77"/>
  <c r="F34" i="77"/>
  <c r="E34" i="77"/>
  <c r="D51" i="77"/>
  <c r="D47" i="77"/>
  <c r="D46" i="77"/>
  <c r="D45" i="77"/>
  <c r="D48" i="77" s="1"/>
  <c r="D41" i="77"/>
  <c r="D40" i="77"/>
  <c r="D39" i="77"/>
  <c r="D36" i="77"/>
  <c r="D34" i="77"/>
  <c r="D35" i="77"/>
  <c r="J25" i="77"/>
  <c r="H25" i="77"/>
  <c r="G25" i="77"/>
  <c r="F25" i="77"/>
  <c r="H22" i="77"/>
  <c r="G22" i="77"/>
  <c r="F22" i="77"/>
  <c r="E22" i="77"/>
  <c r="H21" i="77"/>
  <c r="G21" i="77"/>
  <c r="F21" i="77"/>
  <c r="E21" i="77"/>
  <c r="H18" i="77"/>
  <c r="G18" i="77"/>
  <c r="F18" i="77"/>
  <c r="E18" i="77"/>
  <c r="H17" i="77"/>
  <c r="G17" i="77"/>
  <c r="F17" i="77"/>
  <c r="E17" i="77"/>
  <c r="H14" i="77"/>
  <c r="H12" i="76" s="1"/>
  <c r="G14" i="77"/>
  <c r="G12" i="76" s="1"/>
  <c r="F14" i="77"/>
  <c r="F12" i="76" s="1"/>
  <c r="E14" i="77"/>
  <c r="E12" i="76" s="1"/>
  <c r="H13" i="77"/>
  <c r="H11" i="76" s="1"/>
  <c r="G13" i="77"/>
  <c r="G11" i="76" s="1"/>
  <c r="F13" i="77"/>
  <c r="F11" i="76" s="1"/>
  <c r="E13" i="77"/>
  <c r="E11" i="76" s="1"/>
  <c r="H12" i="77"/>
  <c r="H10" i="76" s="1"/>
  <c r="G12" i="77"/>
  <c r="G10" i="76" s="1"/>
  <c r="F12" i="77"/>
  <c r="F10" i="76" s="1"/>
  <c r="E12" i="77"/>
  <c r="E10" i="76" s="1"/>
  <c r="H11" i="77"/>
  <c r="H9" i="76" s="1"/>
  <c r="G11" i="77"/>
  <c r="G9" i="76" s="1"/>
  <c r="F11" i="77"/>
  <c r="F9" i="76" s="1"/>
  <c r="E11" i="77"/>
  <c r="E9" i="76" s="1"/>
  <c r="H8" i="77"/>
  <c r="G8" i="77"/>
  <c r="F8" i="77"/>
  <c r="E8" i="77"/>
  <c r="D22" i="77"/>
  <c r="D21" i="77"/>
  <c r="D18" i="77"/>
  <c r="D17" i="77"/>
  <c r="D14" i="77"/>
  <c r="D12" i="76" s="1"/>
  <c r="D13" i="77"/>
  <c r="D11" i="76" s="1"/>
  <c r="D12" i="77"/>
  <c r="D10" i="76" s="1"/>
  <c r="D11" i="77"/>
  <c r="D9" i="76" s="1"/>
  <c r="D8" i="77"/>
  <c r="I45" i="36"/>
  <c r="K25" i="77" s="1"/>
  <c r="E56" i="77"/>
  <c r="F56" i="77" s="1"/>
  <c r="G56" i="77" s="1"/>
  <c r="H56" i="77" s="1"/>
  <c r="J56" i="77" s="1"/>
  <c r="K56" i="77" s="1"/>
  <c r="L56" i="77" s="1"/>
  <c r="M56" i="77" s="1"/>
  <c r="N56" i="77" s="1"/>
  <c r="E32" i="77"/>
  <c r="F32" i="77" s="1"/>
  <c r="G32" i="77" s="1"/>
  <c r="H32" i="77" s="1"/>
  <c r="J32" i="77" s="1"/>
  <c r="K32" i="77" s="1"/>
  <c r="L32" i="77" s="1"/>
  <c r="M32" i="77" s="1"/>
  <c r="N32" i="77" s="1"/>
  <c r="E6" i="77"/>
  <c r="F6" i="77" s="1"/>
  <c r="G6" i="77" s="1"/>
  <c r="H6" i="77" s="1"/>
  <c r="J6" i="77" s="1"/>
  <c r="K6" i="77" s="1"/>
  <c r="L6" i="77" s="1"/>
  <c r="M6" i="77" s="1"/>
  <c r="N6" i="77" s="1"/>
  <c r="E20" i="76"/>
  <c r="F20" i="76" s="1"/>
  <c r="G20" i="76" s="1"/>
  <c r="H20" i="76" s="1"/>
  <c r="J20" i="76" s="1"/>
  <c r="K20" i="76" s="1"/>
  <c r="L20" i="76" s="1"/>
  <c r="M20" i="76" s="1"/>
  <c r="N20" i="76" s="1"/>
  <c r="E6" i="76"/>
  <c r="F6" i="76" s="1"/>
  <c r="G6" i="76" s="1"/>
  <c r="H6" i="76" s="1"/>
  <c r="J6" i="76" s="1"/>
  <c r="K6" i="76" s="1"/>
  <c r="L6" i="76" s="1"/>
  <c r="M6" i="76" s="1"/>
  <c r="N6" i="76" s="1"/>
  <c r="D6" i="71"/>
  <c r="E6" i="71" s="1"/>
  <c r="D64" i="55"/>
  <c r="D63" i="55"/>
  <c r="D62" i="55"/>
  <c r="D54" i="55"/>
  <c r="D53" i="55"/>
  <c r="D55" i="55" s="1"/>
  <c r="D46" i="55"/>
  <c r="D45" i="55"/>
  <c r="D50" i="55" s="1"/>
  <c r="D38" i="55"/>
  <c r="D31" i="55"/>
  <c r="D30" i="55"/>
  <c r="D29" i="55"/>
  <c r="D27" i="55"/>
  <c r="M20" i="55"/>
  <c r="N17" i="55"/>
  <c r="O17" i="55" s="1"/>
  <c r="P17" i="55" s="1"/>
  <c r="Q17" i="55" s="1"/>
  <c r="R17" i="55" s="1"/>
  <c r="D17" i="55"/>
  <c r="M16" i="55"/>
  <c r="D15" i="55"/>
  <c r="D14" i="55"/>
  <c r="D12" i="55"/>
  <c r="D11" i="55"/>
  <c r="D9" i="55"/>
  <c r="M35" i="55" s="1"/>
  <c r="M36" i="55" s="1"/>
  <c r="M19" i="55"/>
  <c r="D37" i="77" l="1"/>
  <c r="D52" i="77"/>
  <c r="D77" i="77" s="1"/>
  <c r="D39" i="67"/>
  <c r="J45" i="36"/>
  <c r="F48" i="79"/>
  <c r="F53" i="79"/>
  <c r="C17" i="79"/>
  <c r="S29" i="67"/>
  <c r="E37" i="77"/>
  <c r="E42" i="77" s="1"/>
  <c r="F37" i="77"/>
  <c r="F42" i="77" s="1"/>
  <c r="E66" i="77"/>
  <c r="E48" i="77"/>
  <c r="E52" i="77" s="1"/>
  <c r="E77" i="77" s="1"/>
  <c r="H37" i="77"/>
  <c r="H42" i="77" s="1"/>
  <c r="D66" i="77"/>
  <c r="G48" i="77"/>
  <c r="G52" i="77" s="1"/>
  <c r="G77" i="77" s="1"/>
  <c r="H48" i="77"/>
  <c r="H52" i="77" s="1"/>
  <c r="H77" i="77" s="1"/>
  <c r="G37" i="77"/>
  <c r="G42" i="77" s="1"/>
  <c r="F48" i="77"/>
  <c r="F52" i="77" s="1"/>
  <c r="F77" i="77" s="1"/>
  <c r="F66" i="77"/>
  <c r="D42" i="77"/>
  <c r="F6" i="71"/>
  <c r="M32" i="55"/>
  <c r="M33" i="55" s="1"/>
  <c r="M29" i="55"/>
  <c r="D56" i="55"/>
  <c r="D65" i="55"/>
  <c r="D34" i="55"/>
  <c r="M28" i="55" s="1"/>
  <c r="K45" i="36" l="1"/>
  <c r="L25" i="77"/>
  <c r="F29" i="67"/>
  <c r="T29" i="67"/>
  <c r="G6" i="71"/>
  <c r="M50" i="55"/>
  <c r="D66" i="55"/>
  <c r="L45" i="36" l="1"/>
  <c r="N25" i="77" s="1"/>
  <c r="M25" i="77"/>
  <c r="I6" i="71"/>
  <c r="M48" i="55"/>
  <c r="J6" i="71" l="1"/>
  <c r="K6" i="71" l="1"/>
  <c r="L6" i="71" l="1"/>
  <c r="M6" i="71" l="1"/>
  <c r="R21" i="67"/>
  <c r="Q21" i="67"/>
  <c r="H21" i="67" s="1"/>
  <c r="Q20" i="67"/>
  <c r="R19" i="67"/>
  <c r="S19" i="67" s="1"/>
  <c r="T19" i="67" s="1"/>
  <c r="H19" i="67"/>
  <c r="R11" i="67"/>
  <c r="S11" i="67" s="1"/>
  <c r="T11" i="67" s="1"/>
  <c r="H11" i="67"/>
  <c r="Q10" i="67"/>
  <c r="S10" i="67" s="1"/>
  <c r="R9" i="67"/>
  <c r="Q9" i="67"/>
  <c r="H9" i="67" s="1"/>
  <c r="R8" i="67"/>
  <c r="Q8" i="67"/>
  <c r="H8" i="67" s="1"/>
  <c r="R5" i="67"/>
  <c r="S5" i="67" s="1"/>
  <c r="H5" i="67"/>
  <c r="C20" i="79" s="1"/>
  <c r="K85" i="44"/>
  <c r="J85" i="44"/>
  <c r="I85" i="44"/>
  <c r="G85" i="44"/>
  <c r="F85" i="44"/>
  <c r="E85" i="44"/>
  <c r="D85" i="44"/>
  <c r="C85" i="44"/>
  <c r="K82" i="44"/>
  <c r="J82" i="44"/>
  <c r="I82" i="44"/>
  <c r="C82" i="44"/>
  <c r="L79" i="44"/>
  <c r="H79" i="44"/>
  <c r="L75" i="44"/>
  <c r="K75" i="44"/>
  <c r="J75" i="44"/>
  <c r="I75" i="44"/>
  <c r="H75" i="44"/>
  <c r="G75" i="44"/>
  <c r="F75" i="44"/>
  <c r="E75" i="44"/>
  <c r="D75" i="44"/>
  <c r="C75" i="44"/>
  <c r="G71" i="44"/>
  <c r="G82" i="44" s="1"/>
  <c r="F71" i="44"/>
  <c r="F82" i="44" s="1"/>
  <c r="E71" i="44"/>
  <c r="D71" i="44"/>
  <c r="C71" i="44"/>
  <c r="L66" i="44"/>
  <c r="K66" i="44"/>
  <c r="J66" i="44"/>
  <c r="I66" i="44"/>
  <c r="H66" i="44"/>
  <c r="G65" i="44"/>
  <c r="F65" i="44"/>
  <c r="E65" i="44"/>
  <c r="C65" i="44"/>
  <c r="K63" i="44"/>
  <c r="J63" i="44"/>
  <c r="I63" i="44"/>
  <c r="L62" i="44"/>
  <c r="H62" i="44"/>
  <c r="K59" i="44"/>
  <c r="K79" i="44" s="1"/>
  <c r="J59" i="44"/>
  <c r="J62" i="44" s="1"/>
  <c r="I59" i="44"/>
  <c r="E56" i="44"/>
  <c r="F56" i="44" s="1"/>
  <c r="G56" i="44" s="1"/>
  <c r="H56" i="44" s="1"/>
  <c r="I56" i="44" s="1"/>
  <c r="J56" i="44" s="1"/>
  <c r="K56" i="44" s="1"/>
  <c r="L56" i="44" s="1"/>
  <c r="D56" i="44"/>
  <c r="Y55" i="44"/>
  <c r="X55" i="44"/>
  <c r="W55" i="44"/>
  <c r="V55" i="44"/>
  <c r="U55" i="44"/>
  <c r="Y51" i="44"/>
  <c r="Y50" i="44"/>
  <c r="V47" i="44"/>
  <c r="W47" i="44" s="1"/>
  <c r="X47" i="44" s="1"/>
  <c r="Y47" i="44" s="1"/>
  <c r="Z47" i="44" s="1"/>
  <c r="AA47" i="44" s="1"/>
  <c r="AB47" i="44" s="1"/>
  <c r="AC47" i="44" s="1"/>
  <c r="AD47" i="44" s="1"/>
  <c r="G45" i="44"/>
  <c r="F45" i="44"/>
  <c r="E45" i="44"/>
  <c r="D45" i="44"/>
  <c r="G40" i="44"/>
  <c r="F40" i="44"/>
  <c r="E40" i="44"/>
  <c r="D40" i="44"/>
  <c r="C40" i="44"/>
  <c r="AD37" i="44"/>
  <c r="AA37" i="44"/>
  <c r="AB37" i="44" s="1"/>
  <c r="AC37" i="44" s="1"/>
  <c r="Y34" i="44"/>
  <c r="X34" i="44"/>
  <c r="W34" i="44"/>
  <c r="V34" i="44"/>
  <c r="X33" i="44"/>
  <c r="X35" i="44" s="1"/>
  <c r="G32" i="44"/>
  <c r="F32" i="44"/>
  <c r="E32" i="44"/>
  <c r="D32" i="44"/>
  <c r="C32" i="44"/>
  <c r="X27" i="44"/>
  <c r="Y27" i="44" s="1"/>
  <c r="Z27" i="44" s="1"/>
  <c r="Y24" i="44"/>
  <c r="X24" i="44"/>
  <c r="W24" i="44"/>
  <c r="Y22" i="44"/>
  <c r="X22" i="44"/>
  <c r="W22" i="44"/>
  <c r="V22" i="44"/>
  <c r="V21" i="44"/>
  <c r="Y15" i="44"/>
  <c r="U15" i="44"/>
  <c r="Y13" i="44"/>
  <c r="Y38" i="44" s="1"/>
  <c r="X13" i="44"/>
  <c r="X21" i="44" s="1"/>
  <c r="W13" i="44"/>
  <c r="V13" i="44"/>
  <c r="U13" i="44"/>
  <c r="G12" i="44"/>
  <c r="F12" i="44"/>
  <c r="F61" i="44" s="1"/>
  <c r="F77" i="44" s="1"/>
  <c r="E12" i="44"/>
  <c r="E61" i="44" s="1"/>
  <c r="E77" i="44" s="1"/>
  <c r="E67" i="44" s="1"/>
  <c r="D12" i="44"/>
  <c r="D84" i="44" s="1"/>
  <c r="C12" i="44"/>
  <c r="Y6" i="44"/>
  <c r="V6" i="44"/>
  <c r="W6" i="44" s="1"/>
  <c r="X6" i="44" s="1"/>
  <c r="H5" i="44"/>
  <c r="I5" i="44" s="1"/>
  <c r="J5" i="44" s="1"/>
  <c r="K5" i="44" s="1"/>
  <c r="L5" i="44" s="1"/>
  <c r="D5" i="44"/>
  <c r="E5" i="44" s="1"/>
  <c r="F5" i="44" s="1"/>
  <c r="G5" i="44" s="1"/>
  <c r="I4" i="44"/>
  <c r="J4" i="44" s="1"/>
  <c r="K4" i="44" s="1"/>
  <c r="L4" i="44" s="1"/>
  <c r="C3" i="44"/>
  <c r="E3" i="44" s="1"/>
  <c r="G73" i="9"/>
  <c r="F73" i="9"/>
  <c r="E73" i="9"/>
  <c r="D73" i="9"/>
  <c r="L71" i="9"/>
  <c r="H71" i="9"/>
  <c r="K70" i="9"/>
  <c r="J70" i="9"/>
  <c r="I70" i="9"/>
  <c r="K69" i="9"/>
  <c r="J69" i="9"/>
  <c r="I69" i="9"/>
  <c r="L68" i="9"/>
  <c r="H68" i="9"/>
  <c r="K67" i="9"/>
  <c r="J67" i="9"/>
  <c r="I67" i="9"/>
  <c r="K66" i="9"/>
  <c r="J66" i="9"/>
  <c r="I66" i="9"/>
  <c r="K64" i="9"/>
  <c r="J64" i="9"/>
  <c r="I64" i="9"/>
  <c r="K63" i="9"/>
  <c r="J63" i="9"/>
  <c r="I63" i="9"/>
  <c r="L61" i="9"/>
  <c r="H61" i="9"/>
  <c r="K60" i="9"/>
  <c r="J60" i="9"/>
  <c r="I60" i="9"/>
  <c r="G60" i="9"/>
  <c r="F60" i="9"/>
  <c r="E60" i="9"/>
  <c r="D60" i="9"/>
  <c r="C60" i="9"/>
  <c r="K59" i="9"/>
  <c r="J59" i="9"/>
  <c r="I59" i="9"/>
  <c r="K58" i="9"/>
  <c r="J58" i="9"/>
  <c r="I58" i="9"/>
  <c r="G58" i="9"/>
  <c r="F58" i="9"/>
  <c r="E58" i="9"/>
  <c r="D58" i="9"/>
  <c r="C58" i="9"/>
  <c r="K57" i="9"/>
  <c r="J57" i="9"/>
  <c r="I57" i="9"/>
  <c r="K56" i="9"/>
  <c r="J56" i="9"/>
  <c r="I56" i="9"/>
  <c r="G55" i="9"/>
  <c r="H55" i="9" s="1"/>
  <c r="I55" i="9" s="1"/>
  <c r="J55" i="9" s="1"/>
  <c r="K55" i="9" s="1"/>
  <c r="L55" i="9" s="1"/>
  <c r="F55" i="9"/>
  <c r="D55" i="9"/>
  <c r="E55" i="9" s="1"/>
  <c r="D49" i="9"/>
  <c r="C49" i="9"/>
  <c r="G48" i="9"/>
  <c r="G50" i="9" s="1"/>
  <c r="G47" i="9"/>
  <c r="F47" i="9"/>
  <c r="E47" i="9"/>
  <c r="D47" i="9"/>
  <c r="C47" i="9"/>
  <c r="G46" i="9"/>
  <c r="F46" i="9"/>
  <c r="F48" i="9" s="1"/>
  <c r="E46" i="9"/>
  <c r="E48" i="9" s="1"/>
  <c r="D46" i="9"/>
  <c r="C46" i="9"/>
  <c r="E45" i="9"/>
  <c r="F45" i="9" s="1"/>
  <c r="G45" i="9" s="1"/>
  <c r="H45" i="9" s="1"/>
  <c r="I45" i="9" s="1"/>
  <c r="J45" i="9" s="1"/>
  <c r="K45" i="9" s="1"/>
  <c r="L45" i="9" s="1"/>
  <c r="D45" i="9"/>
  <c r="G41" i="9"/>
  <c r="F41" i="9"/>
  <c r="E41" i="9"/>
  <c r="D41" i="9"/>
  <c r="C41" i="9"/>
  <c r="H39" i="9"/>
  <c r="I38" i="9"/>
  <c r="J38" i="9" s="1"/>
  <c r="K38" i="9" s="1"/>
  <c r="L38" i="9" s="1"/>
  <c r="H38" i="9"/>
  <c r="J37" i="9"/>
  <c r="K37" i="9" s="1"/>
  <c r="L37" i="9" s="1"/>
  <c r="I37" i="9"/>
  <c r="H37" i="9"/>
  <c r="I36" i="9"/>
  <c r="H36" i="9"/>
  <c r="D33" i="9"/>
  <c r="D42" i="9" s="1"/>
  <c r="G32" i="9"/>
  <c r="F32" i="9"/>
  <c r="F33" i="9" s="1"/>
  <c r="F42" i="9" s="1"/>
  <c r="F43" i="9" s="1"/>
  <c r="E32" i="9"/>
  <c r="E33" i="9" s="1"/>
  <c r="D32" i="9"/>
  <c r="C32" i="9"/>
  <c r="G26" i="9"/>
  <c r="G33" i="9" s="1"/>
  <c r="G42" i="9" s="1"/>
  <c r="F26" i="9"/>
  <c r="E26" i="9"/>
  <c r="D26" i="9"/>
  <c r="C26" i="9"/>
  <c r="G18" i="9"/>
  <c r="F18" i="9"/>
  <c r="D18" i="9"/>
  <c r="C18" i="9"/>
  <c r="G17" i="9"/>
  <c r="F17" i="9"/>
  <c r="E17" i="9"/>
  <c r="D17" i="9"/>
  <c r="G12" i="9"/>
  <c r="G19" i="9" s="1"/>
  <c r="F12" i="9"/>
  <c r="F19" i="9" s="1"/>
  <c r="E12" i="9"/>
  <c r="D12" i="9"/>
  <c r="C12" i="9"/>
  <c r="C19" i="9" s="1"/>
  <c r="E5" i="9"/>
  <c r="F5" i="9" s="1"/>
  <c r="G5" i="9" s="1"/>
  <c r="H5" i="9" s="1"/>
  <c r="I5" i="9" s="1"/>
  <c r="J5" i="9" s="1"/>
  <c r="K5" i="9" s="1"/>
  <c r="L5" i="9" s="1"/>
  <c r="D5" i="9"/>
  <c r="J4" i="9"/>
  <c r="K4" i="9" s="1"/>
  <c r="L4" i="9" s="1"/>
  <c r="I4" i="9"/>
  <c r="C3" i="9"/>
  <c r="E3" i="9" s="1"/>
  <c r="I84" i="36"/>
  <c r="J84" i="36" s="1"/>
  <c r="K84" i="36" s="1"/>
  <c r="L84" i="36" s="1"/>
  <c r="G77" i="36"/>
  <c r="M13" i="55" s="1"/>
  <c r="F77" i="36"/>
  <c r="F26" i="35" s="1"/>
  <c r="E77" i="36"/>
  <c r="E26" i="35" s="1"/>
  <c r="D77" i="36"/>
  <c r="D26" i="35" s="1"/>
  <c r="C77" i="36"/>
  <c r="C26" i="35" s="1"/>
  <c r="D49" i="36"/>
  <c r="E49" i="36" s="1"/>
  <c r="F49" i="36" s="1"/>
  <c r="G49" i="36" s="1"/>
  <c r="H49" i="36" s="1"/>
  <c r="I49" i="36" s="1"/>
  <c r="J49" i="36" s="1"/>
  <c r="K49" i="36" s="1"/>
  <c r="L49" i="36" s="1"/>
  <c r="Q40" i="36"/>
  <c r="P40" i="36"/>
  <c r="O40" i="36"/>
  <c r="N40" i="36"/>
  <c r="Q39" i="36"/>
  <c r="P39" i="36"/>
  <c r="O39" i="36"/>
  <c r="N39" i="36"/>
  <c r="Q36" i="36"/>
  <c r="P36" i="36"/>
  <c r="O36" i="36"/>
  <c r="N36" i="36"/>
  <c r="Q35" i="36"/>
  <c r="P35" i="36"/>
  <c r="O35" i="36"/>
  <c r="N35" i="36"/>
  <c r="Q34" i="36"/>
  <c r="P34" i="36"/>
  <c r="O34" i="36"/>
  <c r="N34" i="36"/>
  <c r="Q28" i="36"/>
  <c r="P28" i="36"/>
  <c r="O28" i="36"/>
  <c r="N28" i="36"/>
  <c r="G25" i="36"/>
  <c r="J12" i="57" s="1"/>
  <c r="F25" i="36"/>
  <c r="E25" i="36"/>
  <c r="G12" i="57" s="1"/>
  <c r="D25" i="36"/>
  <c r="F12" i="57" s="1"/>
  <c r="C25" i="36"/>
  <c r="E12" i="57" s="1"/>
  <c r="Q24" i="36"/>
  <c r="P24" i="36"/>
  <c r="O24" i="36"/>
  <c r="N24" i="36"/>
  <c r="Q23" i="36"/>
  <c r="P23" i="36"/>
  <c r="O23" i="36"/>
  <c r="N23" i="36"/>
  <c r="Q22" i="36"/>
  <c r="P22" i="36"/>
  <c r="O22" i="36"/>
  <c r="N22" i="36"/>
  <c r="Q21" i="36"/>
  <c r="P21" i="36"/>
  <c r="O21" i="36"/>
  <c r="N21" i="36"/>
  <c r="Q20" i="36"/>
  <c r="P20" i="36"/>
  <c r="O20" i="36"/>
  <c r="N20" i="36"/>
  <c r="Q15" i="36"/>
  <c r="P15" i="36"/>
  <c r="O15" i="36"/>
  <c r="N15" i="36"/>
  <c r="G13" i="36"/>
  <c r="J7" i="57" s="1"/>
  <c r="F13" i="36"/>
  <c r="E13" i="36"/>
  <c r="D13" i="36"/>
  <c r="C13" i="36"/>
  <c r="Q12" i="36"/>
  <c r="G13" i="35" s="1"/>
  <c r="P12" i="36"/>
  <c r="O12" i="36"/>
  <c r="E13" i="35" s="1"/>
  <c r="N12" i="36"/>
  <c r="D13" i="35" s="1"/>
  <c r="Q11" i="36"/>
  <c r="G12" i="35" s="1"/>
  <c r="P11" i="36"/>
  <c r="F12" i="35" s="1"/>
  <c r="O11" i="36"/>
  <c r="N11" i="36"/>
  <c r="D12" i="35" s="1"/>
  <c r="Q10" i="36"/>
  <c r="G11" i="35" s="1"/>
  <c r="P10" i="36"/>
  <c r="F11" i="35" s="1"/>
  <c r="O10" i="36"/>
  <c r="E11" i="35" s="1"/>
  <c r="N10" i="36"/>
  <c r="D11" i="35" s="1"/>
  <c r="Q9" i="36"/>
  <c r="G10" i="35" s="1"/>
  <c r="P9" i="36"/>
  <c r="F10" i="35" s="1"/>
  <c r="O9" i="36"/>
  <c r="N9" i="36"/>
  <c r="D10" i="35" s="1"/>
  <c r="Q8" i="36"/>
  <c r="G9" i="35" s="1"/>
  <c r="P8" i="36"/>
  <c r="F9" i="35" s="1"/>
  <c r="O8" i="36"/>
  <c r="E9" i="35" s="1"/>
  <c r="N8" i="36"/>
  <c r="Q7" i="36"/>
  <c r="G8" i="35" s="1"/>
  <c r="P7" i="36"/>
  <c r="F8" i="35" s="1"/>
  <c r="O7" i="36"/>
  <c r="N7" i="36"/>
  <c r="Q6" i="36"/>
  <c r="G7" i="35" s="1"/>
  <c r="P6" i="36"/>
  <c r="O6" i="36"/>
  <c r="E7" i="35" s="1"/>
  <c r="N6" i="36"/>
  <c r="D7" i="35" s="1"/>
  <c r="D5" i="36"/>
  <c r="N5" i="36" s="1"/>
  <c r="N4" i="36"/>
  <c r="I4" i="36"/>
  <c r="J4" i="36" s="1"/>
  <c r="K4" i="36" s="1"/>
  <c r="L4" i="36" s="1"/>
  <c r="C3" i="36"/>
  <c r="E3" i="36" s="1"/>
  <c r="M115" i="52"/>
  <c r="K115" i="52"/>
  <c r="K116" i="52" s="1"/>
  <c r="J115" i="52"/>
  <c r="J116" i="52" s="1"/>
  <c r="I115" i="52"/>
  <c r="I116" i="52" s="1"/>
  <c r="H115" i="52"/>
  <c r="F115" i="52"/>
  <c r="E115" i="52"/>
  <c r="D115" i="52"/>
  <c r="C115" i="52"/>
  <c r="C116" i="52" s="1"/>
  <c r="I114" i="52"/>
  <c r="L113" i="52"/>
  <c r="G113" i="52"/>
  <c r="T112" i="52"/>
  <c r="S112" i="52"/>
  <c r="H112" i="52"/>
  <c r="L111" i="52"/>
  <c r="G111" i="52"/>
  <c r="T110" i="52"/>
  <c r="S110" i="52"/>
  <c r="C110" i="52"/>
  <c r="L109" i="52"/>
  <c r="G109" i="52"/>
  <c r="T108" i="52"/>
  <c r="S108" i="52"/>
  <c r="L107" i="52"/>
  <c r="G107" i="52"/>
  <c r="T106" i="52"/>
  <c r="S106" i="52"/>
  <c r="L105" i="52"/>
  <c r="L115" i="52" s="1"/>
  <c r="G105" i="52"/>
  <c r="T100" i="52"/>
  <c r="S100" i="52"/>
  <c r="E100" i="52"/>
  <c r="L99" i="52"/>
  <c r="G99" i="52"/>
  <c r="M97" i="52"/>
  <c r="M114" i="52" s="1"/>
  <c r="K97" i="52"/>
  <c r="K102" i="52" s="1"/>
  <c r="K118" i="52" s="1"/>
  <c r="K119" i="52" s="1"/>
  <c r="J97" i="52"/>
  <c r="J102" i="52" s="1"/>
  <c r="I97" i="52"/>
  <c r="I102" i="52" s="1"/>
  <c r="H97" i="52"/>
  <c r="H114" i="52" s="1"/>
  <c r="F97" i="52"/>
  <c r="F102" i="52" s="1"/>
  <c r="E97" i="52"/>
  <c r="E114" i="52" s="1"/>
  <c r="D97" i="52"/>
  <c r="D114" i="52" s="1"/>
  <c r="C97" i="52"/>
  <c r="C102" i="52" s="1"/>
  <c r="C118" i="52" s="1"/>
  <c r="C119" i="52" s="1"/>
  <c r="L96" i="52"/>
  <c r="G96" i="52"/>
  <c r="L95" i="52"/>
  <c r="L97" i="52" s="1"/>
  <c r="L102" i="52" s="1"/>
  <c r="G95" i="52"/>
  <c r="G97" i="52" s="1"/>
  <c r="G88" i="52"/>
  <c r="F88" i="52"/>
  <c r="E88" i="52"/>
  <c r="D88" i="52"/>
  <c r="G87" i="52"/>
  <c r="F87" i="52"/>
  <c r="E87" i="52"/>
  <c r="D87" i="52"/>
  <c r="G86" i="52"/>
  <c r="F86" i="52"/>
  <c r="E86" i="52"/>
  <c r="D86" i="52"/>
  <c r="G85" i="52"/>
  <c r="F85" i="52"/>
  <c r="E85" i="52"/>
  <c r="D85" i="52"/>
  <c r="G84" i="52"/>
  <c r="F84" i="52"/>
  <c r="E84" i="52"/>
  <c r="D84" i="52"/>
  <c r="G81" i="52"/>
  <c r="G89" i="52" s="1"/>
  <c r="F81" i="52"/>
  <c r="F89" i="52" s="1"/>
  <c r="E81" i="52"/>
  <c r="D81" i="52"/>
  <c r="C81" i="52"/>
  <c r="K78" i="52" s="1"/>
  <c r="O80" i="52"/>
  <c r="N80" i="52"/>
  <c r="O88" i="52" s="1"/>
  <c r="M80" i="52"/>
  <c r="O79" i="52"/>
  <c r="N79" i="52"/>
  <c r="M79" i="52"/>
  <c r="O78" i="52"/>
  <c r="N78" i="52"/>
  <c r="N86" i="52" s="1"/>
  <c r="M78" i="52"/>
  <c r="O77" i="52"/>
  <c r="N77" i="52"/>
  <c r="N85" i="52" s="1"/>
  <c r="M77" i="52"/>
  <c r="O76" i="52"/>
  <c r="N76" i="52"/>
  <c r="M76" i="52"/>
  <c r="L76" i="52"/>
  <c r="M72" i="52"/>
  <c r="K72" i="52"/>
  <c r="J72" i="52"/>
  <c r="I72" i="52"/>
  <c r="H72" i="52"/>
  <c r="M71" i="52"/>
  <c r="K71" i="52"/>
  <c r="J71" i="52"/>
  <c r="I71" i="52"/>
  <c r="H71" i="52"/>
  <c r="M70" i="52"/>
  <c r="K70" i="52"/>
  <c r="J70" i="52"/>
  <c r="I70" i="52"/>
  <c r="H70" i="52"/>
  <c r="M69" i="52"/>
  <c r="K69" i="52"/>
  <c r="J69" i="52"/>
  <c r="I69" i="52"/>
  <c r="H69" i="52"/>
  <c r="M68" i="52"/>
  <c r="K68" i="52"/>
  <c r="J68" i="52"/>
  <c r="I68" i="52"/>
  <c r="H68" i="52"/>
  <c r="M67" i="52"/>
  <c r="L67" i="52"/>
  <c r="K67" i="52"/>
  <c r="J67" i="52"/>
  <c r="I67" i="52"/>
  <c r="H67" i="52"/>
  <c r="M66" i="52"/>
  <c r="K66" i="52"/>
  <c r="J66" i="52"/>
  <c r="I66" i="52"/>
  <c r="H66" i="52"/>
  <c r="M63" i="52"/>
  <c r="K63" i="52"/>
  <c r="J63" i="52"/>
  <c r="I63" i="52"/>
  <c r="I73" i="52" s="1"/>
  <c r="H63" i="52"/>
  <c r="F63" i="52"/>
  <c r="E63" i="52"/>
  <c r="D63" i="52"/>
  <c r="C63" i="52"/>
  <c r="R62" i="52"/>
  <c r="P62" i="52"/>
  <c r="U62" i="52" s="1"/>
  <c r="O62" i="52"/>
  <c r="T62" i="52" s="1"/>
  <c r="N62" i="52"/>
  <c r="S62" i="52" s="1"/>
  <c r="L62" i="52"/>
  <c r="G62" i="52"/>
  <c r="L72" i="52" s="1"/>
  <c r="R61" i="52"/>
  <c r="P61" i="52"/>
  <c r="U61" i="52" s="1"/>
  <c r="U29" i="52" s="1"/>
  <c r="O61" i="52"/>
  <c r="N61" i="52"/>
  <c r="L61" i="52"/>
  <c r="L71" i="52" s="1"/>
  <c r="G61" i="52"/>
  <c r="R60" i="52"/>
  <c r="P60" i="52"/>
  <c r="U60" i="52" s="1"/>
  <c r="O60" i="52"/>
  <c r="T60" i="52" s="1"/>
  <c r="N60" i="52"/>
  <c r="S60" i="52" s="1"/>
  <c r="L60" i="52"/>
  <c r="G60" i="52"/>
  <c r="R59" i="52"/>
  <c r="P59" i="52"/>
  <c r="U59" i="52" s="1"/>
  <c r="O59" i="52"/>
  <c r="T59" i="52" s="1"/>
  <c r="N59" i="52"/>
  <c r="S59" i="52" s="1"/>
  <c r="L59" i="52"/>
  <c r="L69" i="52" s="1"/>
  <c r="G59" i="52"/>
  <c r="R58" i="52"/>
  <c r="P58" i="52"/>
  <c r="U58" i="52" s="1"/>
  <c r="O58" i="52"/>
  <c r="N58" i="52"/>
  <c r="S58" i="52" s="1"/>
  <c r="L58" i="52"/>
  <c r="L68" i="52" s="1"/>
  <c r="G58" i="52"/>
  <c r="R57" i="52"/>
  <c r="P57" i="52"/>
  <c r="U57" i="52" s="1"/>
  <c r="O57" i="52"/>
  <c r="T57" i="52" s="1"/>
  <c r="N57" i="52"/>
  <c r="S57" i="52" s="1"/>
  <c r="L57" i="52"/>
  <c r="G57" i="52"/>
  <c r="R56" i="52"/>
  <c r="P56" i="52"/>
  <c r="P95" i="52" s="1"/>
  <c r="O56" i="52"/>
  <c r="T56" i="52" s="1"/>
  <c r="N56" i="52"/>
  <c r="L56" i="52"/>
  <c r="G56" i="52"/>
  <c r="M53" i="52"/>
  <c r="K53" i="52"/>
  <c r="J53" i="52"/>
  <c r="I53" i="52"/>
  <c r="H53" i="52"/>
  <c r="H52" i="52"/>
  <c r="M51" i="52"/>
  <c r="K51" i="52"/>
  <c r="J51" i="52"/>
  <c r="I51" i="52"/>
  <c r="H51" i="52"/>
  <c r="M48" i="52"/>
  <c r="K48" i="52"/>
  <c r="J48" i="52"/>
  <c r="I48" i="52"/>
  <c r="H48" i="52"/>
  <c r="M46" i="52"/>
  <c r="K46" i="52"/>
  <c r="J46" i="52"/>
  <c r="I46" i="52"/>
  <c r="H46" i="52"/>
  <c r="M43" i="52"/>
  <c r="K43" i="52"/>
  <c r="J43" i="52"/>
  <c r="I43" i="52"/>
  <c r="H43" i="52"/>
  <c r="T41" i="52"/>
  <c r="T19" i="52" s="1"/>
  <c r="S41" i="52"/>
  <c r="N41" i="52"/>
  <c r="N19" i="52" s="1"/>
  <c r="M41" i="52"/>
  <c r="O41" i="52" s="1"/>
  <c r="O19" i="52" s="1"/>
  <c r="K41" i="52"/>
  <c r="J41" i="52"/>
  <c r="I41" i="52"/>
  <c r="H41" i="52"/>
  <c r="T36" i="52"/>
  <c r="S36" i="52"/>
  <c r="M35" i="52"/>
  <c r="K35" i="52"/>
  <c r="J35" i="52"/>
  <c r="I35" i="52"/>
  <c r="H35" i="52"/>
  <c r="H36" i="52" s="1"/>
  <c r="F35" i="52"/>
  <c r="E35" i="52"/>
  <c r="G35" i="52" s="1"/>
  <c r="D35" i="52"/>
  <c r="C35" i="52"/>
  <c r="M34" i="52"/>
  <c r="K34" i="52"/>
  <c r="K36" i="52" s="1"/>
  <c r="J34" i="52"/>
  <c r="J36" i="52" s="1"/>
  <c r="I34" i="52"/>
  <c r="H34" i="52"/>
  <c r="F34" i="52"/>
  <c r="E34" i="52"/>
  <c r="D34" i="52"/>
  <c r="D36" i="52" s="1"/>
  <c r="C34" i="52"/>
  <c r="T32" i="52"/>
  <c r="S32" i="52"/>
  <c r="N32" i="52"/>
  <c r="M32" i="52"/>
  <c r="O32" i="52" s="1"/>
  <c r="K32" i="52"/>
  <c r="J32" i="52"/>
  <c r="I32" i="52"/>
  <c r="H32" i="52"/>
  <c r="F32" i="52"/>
  <c r="E32" i="52"/>
  <c r="D32" i="52"/>
  <c r="C32" i="52"/>
  <c r="L31" i="52"/>
  <c r="L32" i="52" s="1"/>
  <c r="G31" i="52"/>
  <c r="L53" i="52" s="1"/>
  <c r="M30" i="52"/>
  <c r="K30" i="52"/>
  <c r="J30" i="52"/>
  <c r="I30" i="52"/>
  <c r="H30" i="52"/>
  <c r="L30" i="52" s="1"/>
  <c r="F30" i="52"/>
  <c r="E30" i="52"/>
  <c r="D30" i="52"/>
  <c r="G30" i="52" s="1"/>
  <c r="C30" i="52"/>
  <c r="R29" i="52"/>
  <c r="P29" i="52"/>
  <c r="P51" i="52" s="1"/>
  <c r="L29" i="52"/>
  <c r="L51" i="52" s="1"/>
  <c r="G29" i="52"/>
  <c r="M27" i="52"/>
  <c r="K27" i="52"/>
  <c r="J27" i="52"/>
  <c r="I27" i="52"/>
  <c r="H27" i="52"/>
  <c r="F27" i="52"/>
  <c r="E27" i="52"/>
  <c r="D27" i="52"/>
  <c r="C27" i="52"/>
  <c r="L26" i="52"/>
  <c r="G26" i="52"/>
  <c r="G27" i="52" s="1"/>
  <c r="M25" i="52"/>
  <c r="M47" i="52" s="1"/>
  <c r="K25" i="52"/>
  <c r="J25" i="52"/>
  <c r="I25" i="52"/>
  <c r="H25" i="52"/>
  <c r="L25" i="52" s="1"/>
  <c r="F25" i="52"/>
  <c r="E25" i="52"/>
  <c r="D25" i="52"/>
  <c r="C25" i="52"/>
  <c r="L24" i="52"/>
  <c r="G24" i="52"/>
  <c r="T22" i="52"/>
  <c r="S22" i="52"/>
  <c r="M22" i="52"/>
  <c r="K22" i="52"/>
  <c r="J22" i="52"/>
  <c r="I22" i="52"/>
  <c r="H22" i="52"/>
  <c r="F22" i="52"/>
  <c r="E22" i="52"/>
  <c r="D22" i="52"/>
  <c r="C22" i="52"/>
  <c r="L21" i="52"/>
  <c r="L43" i="52" s="1"/>
  <c r="G21" i="52"/>
  <c r="M20" i="52"/>
  <c r="K20" i="52"/>
  <c r="J20" i="52"/>
  <c r="I20" i="52"/>
  <c r="I42" i="52" s="1"/>
  <c r="H20" i="52"/>
  <c r="H42" i="52" s="1"/>
  <c r="F20" i="52"/>
  <c r="E20" i="52"/>
  <c r="G20" i="52" s="1"/>
  <c r="D20" i="52"/>
  <c r="C20" i="52"/>
  <c r="S19" i="52"/>
  <c r="R19" i="52"/>
  <c r="P19" i="52"/>
  <c r="P21" i="52" s="1"/>
  <c r="L19" i="52"/>
  <c r="G19" i="52"/>
  <c r="B17" i="52"/>
  <c r="D14" i="52"/>
  <c r="N37" i="52" s="1"/>
  <c r="C14" i="52"/>
  <c r="G13" i="52"/>
  <c r="G14" i="52" s="1"/>
  <c r="E13" i="52"/>
  <c r="G12" i="52"/>
  <c r="E12" i="52"/>
  <c r="D9" i="52"/>
  <c r="C9" i="52"/>
  <c r="G8" i="52"/>
  <c r="E8" i="52"/>
  <c r="E9" i="52" s="1"/>
  <c r="H7" i="52"/>
  <c r="G7" i="52"/>
  <c r="E7" i="52"/>
  <c r="F103" i="57"/>
  <c r="F3" i="80" s="1"/>
  <c r="F101" i="57"/>
  <c r="F97" i="57"/>
  <c r="F89" i="57"/>
  <c r="F90" i="57" s="1"/>
  <c r="F87" i="57"/>
  <c r="F86" i="57" s="1"/>
  <c r="J85" i="57"/>
  <c r="K85" i="57" s="1"/>
  <c r="H85" i="57"/>
  <c r="G85" i="57" s="1"/>
  <c r="J79" i="57"/>
  <c r="J80" i="57" s="1"/>
  <c r="C79" i="57"/>
  <c r="C80" i="57" s="1"/>
  <c r="J77" i="57"/>
  <c r="J76" i="57" s="1"/>
  <c r="C77" i="57"/>
  <c r="C76" i="57" s="1"/>
  <c r="N75" i="57"/>
  <c r="O75" i="57" s="1"/>
  <c r="K75" i="57"/>
  <c r="G75" i="57"/>
  <c r="H75" i="57" s="1"/>
  <c r="E75" i="57"/>
  <c r="D75" i="57" s="1"/>
  <c r="J69" i="57"/>
  <c r="J70" i="57" s="1"/>
  <c r="C69" i="57"/>
  <c r="C70" i="57" s="1"/>
  <c r="J67" i="57"/>
  <c r="J66" i="57" s="1"/>
  <c r="C67" i="57"/>
  <c r="C66" i="57" s="1"/>
  <c r="N65" i="57"/>
  <c r="O65" i="57" s="1"/>
  <c r="L65" i="57"/>
  <c r="K65" i="57" s="1"/>
  <c r="G65" i="57"/>
  <c r="H65" i="57" s="1"/>
  <c r="E65" i="57"/>
  <c r="D65" i="57" s="1"/>
  <c r="B58" i="57"/>
  <c r="J52" i="57"/>
  <c r="J53" i="57" s="1"/>
  <c r="C52" i="57"/>
  <c r="C53" i="57" s="1"/>
  <c r="J50" i="57"/>
  <c r="J49" i="57" s="1"/>
  <c r="C50" i="57"/>
  <c r="C49" i="57" s="1"/>
  <c r="N48" i="57"/>
  <c r="O48" i="57" s="1"/>
  <c r="L48" i="57"/>
  <c r="K48" i="57" s="1"/>
  <c r="G48" i="57"/>
  <c r="H48" i="57" s="1"/>
  <c r="E48" i="57"/>
  <c r="D48" i="57" s="1"/>
  <c r="L41" i="57"/>
  <c r="J38" i="57"/>
  <c r="L36" i="57"/>
  <c r="J22" i="57"/>
  <c r="H22" i="57"/>
  <c r="G22" i="57"/>
  <c r="F22" i="57"/>
  <c r="J18" i="57"/>
  <c r="H18" i="57"/>
  <c r="G18" i="57"/>
  <c r="F18" i="57"/>
  <c r="J15" i="57"/>
  <c r="J21" i="57" s="1"/>
  <c r="H15" i="57"/>
  <c r="H21" i="57" s="1"/>
  <c r="G15" i="57"/>
  <c r="G21" i="57" s="1"/>
  <c r="F15" i="57"/>
  <c r="F21" i="57" s="1"/>
  <c r="H12" i="57"/>
  <c r="J9" i="57"/>
  <c r="H9" i="57"/>
  <c r="G9" i="57"/>
  <c r="F9" i="57"/>
  <c r="F7" i="57"/>
  <c r="K6" i="57"/>
  <c r="H6" i="57"/>
  <c r="G6" i="57" s="1"/>
  <c r="F6" i="57" s="1"/>
  <c r="E6" i="57" s="1"/>
  <c r="E4" i="57"/>
  <c r="O3" i="57"/>
  <c r="M3" i="57"/>
  <c r="K127" i="35"/>
  <c r="J127" i="35"/>
  <c r="I127" i="35"/>
  <c r="K125" i="35"/>
  <c r="J125" i="35"/>
  <c r="I125" i="35"/>
  <c r="K124" i="35"/>
  <c r="J124" i="35"/>
  <c r="J100" i="35" s="1"/>
  <c r="I124" i="35"/>
  <c r="K123" i="35"/>
  <c r="J123" i="35"/>
  <c r="I123" i="35"/>
  <c r="K121" i="35"/>
  <c r="J121" i="35"/>
  <c r="I121" i="35"/>
  <c r="K120" i="35"/>
  <c r="J120" i="35"/>
  <c r="I120" i="35"/>
  <c r="K119" i="35"/>
  <c r="J119" i="35"/>
  <c r="I119" i="35"/>
  <c r="K118" i="35"/>
  <c r="J118" i="35"/>
  <c r="I118" i="35"/>
  <c r="K117" i="35"/>
  <c r="J117" i="35"/>
  <c r="I117" i="35"/>
  <c r="K115" i="35"/>
  <c r="J115" i="35"/>
  <c r="I115" i="35"/>
  <c r="K112" i="35"/>
  <c r="J112" i="35"/>
  <c r="I112" i="35"/>
  <c r="K111" i="35"/>
  <c r="J111" i="35"/>
  <c r="I111" i="35"/>
  <c r="K110" i="35"/>
  <c r="J110" i="35"/>
  <c r="I110" i="35"/>
  <c r="K109" i="35"/>
  <c r="J109" i="35"/>
  <c r="I109" i="35"/>
  <c r="K108" i="35"/>
  <c r="J108" i="35"/>
  <c r="I108" i="35"/>
  <c r="K107" i="35"/>
  <c r="J107" i="35"/>
  <c r="I107" i="35"/>
  <c r="K106" i="35"/>
  <c r="J106" i="35"/>
  <c r="I106" i="35"/>
  <c r="L103" i="35"/>
  <c r="I103" i="35"/>
  <c r="H103" i="35"/>
  <c r="L101" i="35"/>
  <c r="I101" i="35"/>
  <c r="H101" i="35"/>
  <c r="L100" i="35"/>
  <c r="I100" i="35"/>
  <c r="H100" i="35"/>
  <c r="L99" i="35"/>
  <c r="I99" i="35"/>
  <c r="H99" i="35"/>
  <c r="L97" i="35"/>
  <c r="L96" i="35"/>
  <c r="L95" i="35"/>
  <c r="L94" i="35"/>
  <c r="L93" i="35"/>
  <c r="L91" i="35"/>
  <c r="L88" i="35"/>
  <c r="L87" i="35"/>
  <c r="L86" i="35"/>
  <c r="L85" i="35"/>
  <c r="L84" i="35"/>
  <c r="L83" i="35"/>
  <c r="L82" i="35"/>
  <c r="D80" i="35"/>
  <c r="E80" i="35" s="1"/>
  <c r="F80" i="35" s="1"/>
  <c r="G80" i="35" s="1"/>
  <c r="H80" i="35" s="1"/>
  <c r="I80" i="35" s="1"/>
  <c r="J80" i="35" s="1"/>
  <c r="K80" i="35" s="1"/>
  <c r="L80" i="35" s="1"/>
  <c r="K78" i="35"/>
  <c r="J78" i="35"/>
  <c r="I78" i="35"/>
  <c r="K76" i="35"/>
  <c r="J76" i="35"/>
  <c r="I76" i="35"/>
  <c r="K75" i="35"/>
  <c r="J75" i="35"/>
  <c r="J51" i="35" s="1"/>
  <c r="I75" i="35"/>
  <c r="K74" i="35"/>
  <c r="J74" i="35"/>
  <c r="I74" i="35"/>
  <c r="K72" i="35"/>
  <c r="J72" i="35"/>
  <c r="I72" i="35"/>
  <c r="K71" i="35"/>
  <c r="J71" i="35"/>
  <c r="I71" i="35"/>
  <c r="K70" i="35"/>
  <c r="J70" i="35"/>
  <c r="I70" i="35"/>
  <c r="K69" i="35"/>
  <c r="J69" i="35"/>
  <c r="I69" i="35"/>
  <c r="K68" i="35"/>
  <c r="J68" i="35"/>
  <c r="I68" i="35"/>
  <c r="K66" i="35"/>
  <c r="J66" i="35"/>
  <c r="I66" i="35"/>
  <c r="K63" i="35"/>
  <c r="J63" i="35"/>
  <c r="I63" i="35"/>
  <c r="K62" i="35"/>
  <c r="J62" i="35"/>
  <c r="I62" i="35"/>
  <c r="K61" i="35"/>
  <c r="J61" i="35"/>
  <c r="I61" i="35"/>
  <c r="K60" i="35"/>
  <c r="J60" i="35"/>
  <c r="I60" i="35"/>
  <c r="K59" i="35"/>
  <c r="J59" i="35"/>
  <c r="I59" i="35"/>
  <c r="K58" i="35"/>
  <c r="J58" i="35"/>
  <c r="I58" i="35"/>
  <c r="K57" i="35"/>
  <c r="J57" i="35"/>
  <c r="I57" i="35"/>
  <c r="L54" i="35"/>
  <c r="I54" i="35"/>
  <c r="H54" i="35"/>
  <c r="L52" i="35"/>
  <c r="I52" i="35"/>
  <c r="H52" i="35"/>
  <c r="L51" i="35"/>
  <c r="I51" i="35"/>
  <c r="H51" i="35"/>
  <c r="L50" i="35"/>
  <c r="I50" i="35"/>
  <c r="H50" i="35"/>
  <c r="L48" i="35"/>
  <c r="L47" i="35"/>
  <c r="L46" i="35"/>
  <c r="L45" i="35"/>
  <c r="L44" i="35"/>
  <c r="L42" i="35"/>
  <c r="L39" i="35"/>
  <c r="L38" i="35"/>
  <c r="L37" i="35"/>
  <c r="L36" i="35"/>
  <c r="L35" i="35"/>
  <c r="L34" i="35"/>
  <c r="L33" i="35"/>
  <c r="E31" i="35"/>
  <c r="F31" i="35" s="1"/>
  <c r="G31" i="35" s="1"/>
  <c r="H31" i="35" s="1"/>
  <c r="I31" i="35" s="1"/>
  <c r="J31" i="35" s="1"/>
  <c r="K31" i="35" s="1"/>
  <c r="L31" i="35" s="1"/>
  <c r="D31" i="35"/>
  <c r="K29" i="35"/>
  <c r="K103" i="35" s="1"/>
  <c r="J29" i="35"/>
  <c r="J103" i="35" s="1"/>
  <c r="K27" i="35"/>
  <c r="K101" i="35" s="1"/>
  <c r="J27" i="35"/>
  <c r="J101" i="35" s="1"/>
  <c r="K26" i="35"/>
  <c r="K100" i="35" s="1"/>
  <c r="J26" i="35"/>
  <c r="K25" i="35"/>
  <c r="J25" i="35"/>
  <c r="F13" i="35"/>
  <c r="E12" i="35"/>
  <c r="E10" i="35"/>
  <c r="D9" i="35"/>
  <c r="E8" i="35"/>
  <c r="D8" i="35"/>
  <c r="F7" i="35"/>
  <c r="E5" i="35"/>
  <c r="F5" i="35" s="1"/>
  <c r="G5" i="35" s="1"/>
  <c r="H5" i="35" s="1"/>
  <c r="I5" i="35" s="1"/>
  <c r="J5" i="35" s="1"/>
  <c r="K5" i="35" s="1"/>
  <c r="L5" i="35" s="1"/>
  <c r="D5" i="35"/>
  <c r="K4" i="35"/>
  <c r="L4" i="35" s="1"/>
  <c r="J4" i="35"/>
  <c r="I4" i="35"/>
  <c r="C66" i="56"/>
  <c r="C65" i="56"/>
  <c r="C64" i="56"/>
  <c r="C63" i="56"/>
  <c r="F62" i="56"/>
  <c r="E62" i="56"/>
  <c r="C62" i="56"/>
  <c r="E56" i="56"/>
  <c r="C56" i="56"/>
  <c r="C55" i="56"/>
  <c r="C54" i="56"/>
  <c r="C53" i="56"/>
  <c r="E53" i="56" s="1"/>
  <c r="C50" i="56"/>
  <c r="C49" i="56"/>
  <c r="C48" i="56"/>
  <c r="C47" i="56"/>
  <c r="C46" i="56"/>
  <c r="C45" i="56"/>
  <c r="C41" i="56"/>
  <c r="C40" i="56"/>
  <c r="C39" i="56"/>
  <c r="C38" i="56"/>
  <c r="C37" i="56"/>
  <c r="M36" i="56"/>
  <c r="M33" i="56"/>
  <c r="C33" i="56"/>
  <c r="E33" i="56" s="1"/>
  <c r="C32" i="56"/>
  <c r="C31" i="56"/>
  <c r="C30" i="56"/>
  <c r="C29" i="56"/>
  <c r="M28" i="56"/>
  <c r="C27" i="56"/>
  <c r="M20" i="56"/>
  <c r="C20" i="56"/>
  <c r="C19" i="56"/>
  <c r="Q18" i="56"/>
  <c r="M18" i="56"/>
  <c r="P18" i="56" s="1"/>
  <c r="C18" i="56"/>
  <c r="C17" i="56"/>
  <c r="M16" i="56"/>
  <c r="N16" i="56" s="1"/>
  <c r="M15" i="56"/>
  <c r="C15" i="56"/>
  <c r="C14" i="56"/>
  <c r="M12" i="56"/>
  <c r="E12" i="56"/>
  <c r="C12" i="56"/>
  <c r="M11" i="56"/>
  <c r="E11" i="56"/>
  <c r="C11" i="56"/>
  <c r="M10" i="56"/>
  <c r="D10" i="56"/>
  <c r="D13" i="56" s="1"/>
  <c r="C10" i="56"/>
  <c r="M9" i="56"/>
  <c r="E9" i="56"/>
  <c r="E10" i="56" s="1"/>
  <c r="E13" i="56" s="1"/>
  <c r="C9" i="56"/>
  <c r="E8" i="56"/>
  <c r="E20" i="56" s="1"/>
  <c r="C8" i="56"/>
  <c r="L47" i="52" l="1"/>
  <c r="G36" i="52"/>
  <c r="V62" i="52"/>
  <c r="I7" i="79"/>
  <c r="U37" i="57"/>
  <c r="L22" i="52"/>
  <c r="L48" i="52"/>
  <c r="I36" i="52"/>
  <c r="I5" i="79"/>
  <c r="U35" i="57"/>
  <c r="K79" i="52"/>
  <c r="O84" i="52"/>
  <c r="C106" i="52"/>
  <c r="E108" i="52"/>
  <c r="I110" i="52"/>
  <c r="M112" i="52"/>
  <c r="N112" i="52" s="1"/>
  <c r="K114" i="52"/>
  <c r="G9" i="52"/>
  <c r="U19" i="52"/>
  <c r="G25" i="52"/>
  <c r="K52" i="52"/>
  <c r="G34" i="52"/>
  <c r="U96" i="52"/>
  <c r="Q60" i="52"/>
  <c r="Q70" i="52" s="1"/>
  <c r="H11" i="35" s="1"/>
  <c r="H86" i="35" s="1"/>
  <c r="H73" i="52"/>
  <c r="I106" i="52"/>
  <c r="H108" i="52"/>
  <c r="K110" i="52"/>
  <c r="M116" i="52"/>
  <c r="P31" i="52"/>
  <c r="P30" i="52" s="1"/>
  <c r="P52" i="52" s="1"/>
  <c r="V60" i="52"/>
  <c r="D102" i="52"/>
  <c r="K106" i="52"/>
  <c r="M108" i="52"/>
  <c r="N108" i="52" s="1"/>
  <c r="L116" i="52"/>
  <c r="I47" i="52"/>
  <c r="E36" i="52"/>
  <c r="U56" i="52"/>
  <c r="J73" i="52"/>
  <c r="I6" i="79"/>
  <c r="U36" i="57"/>
  <c r="U38" i="57"/>
  <c r="I8" i="79"/>
  <c r="O86" i="52"/>
  <c r="L100" i="52"/>
  <c r="L106" i="52"/>
  <c r="E116" i="52"/>
  <c r="J47" i="52"/>
  <c r="K73" i="52"/>
  <c r="L114" i="52"/>
  <c r="F116" i="52"/>
  <c r="L46" i="52"/>
  <c r="F36" i="52"/>
  <c r="L70" i="52"/>
  <c r="H100" i="52"/>
  <c r="C103" i="52"/>
  <c r="C114" i="52"/>
  <c r="H116" i="52"/>
  <c r="R21" i="52"/>
  <c r="R20" i="52" s="1"/>
  <c r="R42" i="52" s="1"/>
  <c r="Q57" i="52"/>
  <c r="Q67" i="52" s="1"/>
  <c r="H8" i="35" s="1"/>
  <c r="V59" i="52"/>
  <c r="Q62" i="52"/>
  <c r="Q72" i="52" s="1"/>
  <c r="H13" i="35" s="1"/>
  <c r="M84" i="52"/>
  <c r="J118" i="52"/>
  <c r="J120" i="52" s="1"/>
  <c r="M100" i="52"/>
  <c r="G115" i="52"/>
  <c r="L110" i="52"/>
  <c r="E112" i="52"/>
  <c r="F98" i="57"/>
  <c r="G52" i="76"/>
  <c r="G49" i="76"/>
  <c r="G50" i="76" s="1"/>
  <c r="G46" i="76"/>
  <c r="G47" i="76" s="1"/>
  <c r="G7" i="77"/>
  <c r="G51" i="76"/>
  <c r="G60" i="76" s="1"/>
  <c r="G44" i="76"/>
  <c r="G45" i="76" s="1"/>
  <c r="H7" i="57"/>
  <c r="H10" i="57" s="1"/>
  <c r="D7" i="71"/>
  <c r="E52" i="76"/>
  <c r="E51" i="76"/>
  <c r="E60" i="76" s="1"/>
  <c r="E44" i="76"/>
  <c r="E45" i="76" s="1"/>
  <c r="E46" i="76"/>
  <c r="E47" i="76" s="1"/>
  <c r="E49" i="76"/>
  <c r="E50" i="76" s="1"/>
  <c r="E7" i="77"/>
  <c r="F51" i="76"/>
  <c r="F60" i="76" s="1"/>
  <c r="F44" i="76"/>
  <c r="F45" i="76" s="1"/>
  <c r="F7" i="77"/>
  <c r="F52" i="76"/>
  <c r="F49" i="76"/>
  <c r="F50" i="76" s="1"/>
  <c r="F46" i="76"/>
  <c r="F47" i="76" s="1"/>
  <c r="H52" i="76"/>
  <c r="H49" i="76"/>
  <c r="H50" i="76" s="1"/>
  <c r="H46" i="76"/>
  <c r="H47" i="76" s="1"/>
  <c r="H44" i="76"/>
  <c r="H45" i="76" s="1"/>
  <c r="H7" i="77"/>
  <c r="D44" i="67"/>
  <c r="H51" i="76"/>
  <c r="H60" i="76" s="1"/>
  <c r="D49" i="76"/>
  <c r="D50" i="76" s="1"/>
  <c r="D7" i="77"/>
  <c r="D44" i="76"/>
  <c r="D45" i="76" s="1"/>
  <c r="E7" i="57"/>
  <c r="F8" i="57" s="1"/>
  <c r="D52" i="76"/>
  <c r="D46" i="76"/>
  <c r="D47" i="76" s="1"/>
  <c r="D51" i="76"/>
  <c r="D60" i="76" s="1"/>
  <c r="J61" i="9"/>
  <c r="J68" i="9"/>
  <c r="J71" i="9"/>
  <c r="D46" i="67"/>
  <c r="C37" i="67" s="1"/>
  <c r="D37" i="67" s="1"/>
  <c r="C46" i="67"/>
  <c r="S9" i="67"/>
  <c r="F9" i="67" s="1"/>
  <c r="T5" i="67"/>
  <c r="F5" i="67"/>
  <c r="S21" i="67"/>
  <c r="T21" i="67" s="1"/>
  <c r="S8" i="67"/>
  <c r="F8" i="67" s="1"/>
  <c r="F36" i="76"/>
  <c r="H36" i="76"/>
  <c r="G36" i="76"/>
  <c r="F10" i="57"/>
  <c r="F11" i="57" s="1"/>
  <c r="C64" i="36"/>
  <c r="C20" i="35" s="1"/>
  <c r="C7" i="71"/>
  <c r="D8" i="71" s="1"/>
  <c r="I71" i="9"/>
  <c r="G7" i="57"/>
  <c r="G10" i="57" s="1"/>
  <c r="G13" i="57" s="1"/>
  <c r="E7" i="71"/>
  <c r="E8" i="71" s="1"/>
  <c r="F68" i="9"/>
  <c r="F7" i="71"/>
  <c r="J10" i="57"/>
  <c r="J11" i="57" s="1"/>
  <c r="G78" i="36"/>
  <c r="G27" i="35" s="1"/>
  <c r="G7" i="71"/>
  <c r="G55" i="36"/>
  <c r="Q13" i="36"/>
  <c r="G14" i="35" s="1"/>
  <c r="K61" i="9"/>
  <c r="N13" i="36"/>
  <c r="D14" i="35" s="1"/>
  <c r="N25" i="36"/>
  <c r="D61" i="44"/>
  <c r="D77" i="44" s="1"/>
  <c r="D67" i="44" s="1"/>
  <c r="K68" i="9"/>
  <c r="K71" i="9"/>
  <c r="G26" i="35"/>
  <c r="G68" i="36"/>
  <c r="G51" i="36"/>
  <c r="F67" i="9"/>
  <c r="G59" i="36"/>
  <c r="M9" i="55" s="1"/>
  <c r="F64" i="36"/>
  <c r="F20" i="35" s="1"/>
  <c r="F81" i="36"/>
  <c r="G71" i="36"/>
  <c r="C82" i="36"/>
  <c r="C29" i="35" s="1"/>
  <c r="F76" i="36"/>
  <c r="F25" i="35" s="1"/>
  <c r="I68" i="9"/>
  <c r="G17" i="36"/>
  <c r="G50" i="36"/>
  <c r="C13" i="56"/>
  <c r="D16" i="56"/>
  <c r="O16" i="56"/>
  <c r="E16" i="56"/>
  <c r="E64" i="55"/>
  <c r="I39" i="9"/>
  <c r="E19" i="56"/>
  <c r="E30" i="56"/>
  <c r="F30" i="56"/>
  <c r="E46" i="56"/>
  <c r="G112" i="52"/>
  <c r="G102" i="52"/>
  <c r="G100" i="52"/>
  <c r="J8" i="57"/>
  <c r="M42" i="52"/>
  <c r="E29" i="56"/>
  <c r="E45" i="56"/>
  <c r="F8" i="56"/>
  <c r="N18" i="56"/>
  <c r="H88" i="35"/>
  <c r="H39" i="35"/>
  <c r="K28" i="57"/>
  <c r="L6" i="57"/>
  <c r="L63" i="52"/>
  <c r="L66" i="52"/>
  <c r="E27" i="56"/>
  <c r="F31" i="56"/>
  <c r="J99" i="35"/>
  <c r="J50" i="35"/>
  <c r="G63" i="52"/>
  <c r="E47" i="56"/>
  <c r="E54" i="56"/>
  <c r="E38" i="56"/>
  <c r="N36" i="56" s="1"/>
  <c r="E55" i="56"/>
  <c r="N20" i="56" s="1"/>
  <c r="E49" i="56"/>
  <c r="K99" i="35"/>
  <c r="K50" i="35"/>
  <c r="E14" i="56"/>
  <c r="O18" i="56"/>
  <c r="E32" i="56"/>
  <c r="E37" i="56"/>
  <c r="F55" i="56"/>
  <c r="O20" i="56" s="1"/>
  <c r="M52" i="52"/>
  <c r="N63" i="52"/>
  <c r="S56" i="52"/>
  <c r="Q56" i="52"/>
  <c r="N95" i="52"/>
  <c r="L41" i="52"/>
  <c r="E15" i="56"/>
  <c r="N29" i="56"/>
  <c r="E50" i="56"/>
  <c r="F56" i="56"/>
  <c r="H83" i="35"/>
  <c r="H34" i="35"/>
  <c r="K51" i="35"/>
  <c r="J54" i="35"/>
  <c r="P43" i="52"/>
  <c r="P20" i="52"/>
  <c r="P42" i="52" s="1"/>
  <c r="T95" i="52"/>
  <c r="M73" i="52"/>
  <c r="W28" i="44"/>
  <c r="E59" i="44"/>
  <c r="E71" i="9"/>
  <c r="E70" i="9"/>
  <c r="E69" i="9"/>
  <c r="E68" i="9"/>
  <c r="E67" i="9"/>
  <c r="E66" i="9"/>
  <c r="E63" i="9"/>
  <c r="E80" i="44"/>
  <c r="E59" i="9"/>
  <c r="E61" i="9" s="1"/>
  <c r="E82" i="36"/>
  <c r="E29" i="35" s="1"/>
  <c r="E65" i="36"/>
  <c r="E21" i="35" s="1"/>
  <c r="E59" i="36"/>
  <c r="E54" i="36"/>
  <c r="E50" i="36"/>
  <c r="E81" i="36"/>
  <c r="E71" i="36"/>
  <c r="E52" i="36"/>
  <c r="E51" i="36"/>
  <c r="E17" i="36"/>
  <c r="O13" i="36"/>
  <c r="E14" i="35" s="1"/>
  <c r="E56" i="9"/>
  <c r="E78" i="36"/>
  <c r="E27" i="35" s="1"/>
  <c r="E53" i="36"/>
  <c r="E63" i="36"/>
  <c r="E19" i="35" s="1"/>
  <c r="E57" i="9"/>
  <c r="E76" i="36"/>
  <c r="E25" i="35" s="1"/>
  <c r="E64" i="36"/>
  <c r="E20" i="35" s="1"/>
  <c r="E66" i="36"/>
  <c r="E22" i="35" s="1"/>
  <c r="E55" i="36"/>
  <c r="E56" i="36"/>
  <c r="E39" i="56"/>
  <c r="K54" i="35"/>
  <c r="E14" i="52"/>
  <c r="O22" i="52"/>
  <c r="O21" i="52" s="1"/>
  <c r="O43" i="52" s="1"/>
  <c r="N22" i="52"/>
  <c r="N21" i="52" s="1"/>
  <c r="K47" i="52"/>
  <c r="Q19" i="52"/>
  <c r="Q41" i="52" s="1"/>
  <c r="O96" i="52"/>
  <c r="T58" i="52"/>
  <c r="T96" i="52" s="1"/>
  <c r="Q58" i="52"/>
  <c r="Q68" i="52" s="1"/>
  <c r="H9" i="35" s="1"/>
  <c r="R8" i="36" s="1"/>
  <c r="H8" i="36" s="1"/>
  <c r="S61" i="52"/>
  <c r="N29" i="52"/>
  <c r="N31" i="52" s="1"/>
  <c r="Q61" i="52"/>
  <c r="Q71" i="52" s="1"/>
  <c r="H12" i="35" s="1"/>
  <c r="O63" i="52"/>
  <c r="G116" i="52"/>
  <c r="G110" i="52"/>
  <c r="F39" i="56"/>
  <c r="E48" i="56"/>
  <c r="G62" i="56"/>
  <c r="V19" i="52"/>
  <c r="S21" i="52"/>
  <c r="S43" i="52" s="1"/>
  <c r="G22" i="52"/>
  <c r="I52" i="52"/>
  <c r="V57" i="52"/>
  <c r="V67" i="52" s="1"/>
  <c r="I8" i="35" s="1"/>
  <c r="R63" i="52"/>
  <c r="T61" i="52"/>
  <c r="T29" i="52" s="1"/>
  <c r="O29" i="52"/>
  <c r="P63" i="52"/>
  <c r="N87" i="52"/>
  <c r="N81" i="52"/>
  <c r="O87" i="52"/>
  <c r="E31" i="56"/>
  <c r="F48" i="56"/>
  <c r="J52" i="35"/>
  <c r="J82" i="36"/>
  <c r="H78" i="36"/>
  <c r="J77" i="36"/>
  <c r="L76" i="36"/>
  <c r="L64" i="36"/>
  <c r="H82" i="36"/>
  <c r="H77" i="36"/>
  <c r="J76" i="36"/>
  <c r="L67" i="36"/>
  <c r="L63" i="36"/>
  <c r="L78" i="36"/>
  <c r="H76" i="36"/>
  <c r="L66" i="36"/>
  <c r="L61" i="36"/>
  <c r="K78" i="36"/>
  <c r="K82" i="36"/>
  <c r="I78" i="36"/>
  <c r="I82" i="36"/>
  <c r="R12" i="36"/>
  <c r="H12" i="36" s="1"/>
  <c r="V10" i="36"/>
  <c r="L77" i="36"/>
  <c r="K76" i="36"/>
  <c r="Q12" i="55" s="1"/>
  <c r="V12" i="36"/>
  <c r="L65" i="36"/>
  <c r="R7" i="36"/>
  <c r="H7" i="36" s="1"/>
  <c r="V11" i="36"/>
  <c r="V6" i="36"/>
  <c r="J78" i="36"/>
  <c r="I76" i="36"/>
  <c r="V9" i="36"/>
  <c r="L82" i="36"/>
  <c r="I77" i="36"/>
  <c r="R11" i="36"/>
  <c r="H11" i="36" s="1"/>
  <c r="V8" i="36"/>
  <c r="K77" i="36"/>
  <c r="V7" i="36"/>
  <c r="T21" i="52"/>
  <c r="R30" i="52"/>
  <c r="R51" i="52"/>
  <c r="R31" i="52"/>
  <c r="J52" i="52"/>
  <c r="L34" i="52"/>
  <c r="P53" i="52"/>
  <c r="U95" i="52"/>
  <c r="U97" i="52" s="1"/>
  <c r="U63" i="52"/>
  <c r="U51" i="52"/>
  <c r="U31" i="52"/>
  <c r="O81" i="52"/>
  <c r="O85" i="52"/>
  <c r="D118" i="52"/>
  <c r="D103" i="52"/>
  <c r="E64" i="56"/>
  <c r="K52" i="35"/>
  <c r="S96" i="52"/>
  <c r="P96" i="52"/>
  <c r="F103" i="52"/>
  <c r="F118" i="52"/>
  <c r="K42" i="52"/>
  <c r="L52" i="52"/>
  <c r="C36" i="52"/>
  <c r="J42" i="52"/>
  <c r="R43" i="52"/>
  <c r="E68" i="36"/>
  <c r="O25" i="36"/>
  <c r="E67" i="36"/>
  <c r="E23" i="35" s="1"/>
  <c r="N84" i="52"/>
  <c r="R96" i="52"/>
  <c r="V96" i="52" s="1"/>
  <c r="I118" i="52"/>
  <c r="I103" i="52"/>
  <c r="J103" i="52"/>
  <c r="G108" i="52"/>
  <c r="F10" i="67"/>
  <c r="T10" i="67"/>
  <c r="H8" i="52"/>
  <c r="M36" i="52"/>
  <c r="P97" i="52"/>
  <c r="O95" i="52"/>
  <c r="L118" i="52"/>
  <c r="L103" i="52"/>
  <c r="K103" i="52"/>
  <c r="G114" i="52"/>
  <c r="G32" i="52"/>
  <c r="H47" i="52"/>
  <c r="C120" i="52"/>
  <c r="K120" i="52"/>
  <c r="R95" i="52"/>
  <c r="Q59" i="52"/>
  <c r="Q69" i="52" s="1"/>
  <c r="H10" i="35" s="1"/>
  <c r="K77" i="52"/>
  <c r="K81" i="52" s="1"/>
  <c r="K80" i="52"/>
  <c r="K76" i="52"/>
  <c r="L84" i="52" s="1"/>
  <c r="D112" i="52"/>
  <c r="D108" i="52"/>
  <c r="D100" i="52"/>
  <c r="D106" i="52"/>
  <c r="L108" i="52"/>
  <c r="L35" i="52"/>
  <c r="L36" i="52" s="1"/>
  <c r="L77" i="52"/>
  <c r="M85" i="52" s="1"/>
  <c r="L80" i="52"/>
  <c r="D89" i="52"/>
  <c r="L78" i="52"/>
  <c r="L86" i="52" s="1"/>
  <c r="L79" i="52"/>
  <c r="L87" i="52" s="1"/>
  <c r="N88" i="52"/>
  <c r="D116" i="52"/>
  <c r="L20" i="52"/>
  <c r="L42" i="52" s="1"/>
  <c r="L27" i="52"/>
  <c r="N96" i="52"/>
  <c r="M81" i="52"/>
  <c r="M87" i="52"/>
  <c r="E89" i="52"/>
  <c r="F114" i="52"/>
  <c r="F110" i="52"/>
  <c r="F106" i="52"/>
  <c r="F112" i="52"/>
  <c r="F108" i="52"/>
  <c r="F100" i="52"/>
  <c r="G106" i="52"/>
  <c r="D110" i="52"/>
  <c r="L112" i="52"/>
  <c r="O112" i="52"/>
  <c r="C59" i="44"/>
  <c r="C71" i="9"/>
  <c r="C70" i="9"/>
  <c r="C69" i="9"/>
  <c r="C80" i="44"/>
  <c r="C59" i="9"/>
  <c r="C61" i="9" s="1"/>
  <c r="C57" i="9"/>
  <c r="C56" i="9"/>
  <c r="C67" i="9"/>
  <c r="U56" i="44"/>
  <c r="C78" i="36"/>
  <c r="C27" i="35" s="1"/>
  <c r="C71" i="36"/>
  <c r="C66" i="36"/>
  <c r="C22" i="35" s="1"/>
  <c r="C55" i="36"/>
  <c r="C51" i="36"/>
  <c r="C67" i="36"/>
  <c r="C23" i="35" s="1"/>
  <c r="C56" i="36"/>
  <c r="C81" i="36"/>
  <c r="C65" i="36"/>
  <c r="C21" i="35" s="1"/>
  <c r="C50" i="36"/>
  <c r="C68" i="9"/>
  <c r="C66" i="9"/>
  <c r="C63" i="9"/>
  <c r="C53" i="36"/>
  <c r="C52" i="36"/>
  <c r="C59" i="36"/>
  <c r="C64" i="9"/>
  <c r="C54" i="36"/>
  <c r="C17" i="36"/>
  <c r="C76" i="36"/>
  <c r="C25" i="35" s="1"/>
  <c r="C63" i="36"/>
  <c r="C19" i="35" s="1"/>
  <c r="E102" i="52"/>
  <c r="M102" i="52"/>
  <c r="J106" i="52"/>
  <c r="J110" i="52"/>
  <c r="J114" i="52"/>
  <c r="D68" i="9"/>
  <c r="D67" i="9"/>
  <c r="D66" i="9"/>
  <c r="D63" i="9"/>
  <c r="D80" i="44"/>
  <c r="D81" i="36"/>
  <c r="D76" i="36"/>
  <c r="D25" i="35" s="1"/>
  <c r="D64" i="36"/>
  <c r="D20" i="35" s="1"/>
  <c r="D53" i="36"/>
  <c r="D71" i="9"/>
  <c r="D59" i="44"/>
  <c r="D57" i="9"/>
  <c r="D67" i="36"/>
  <c r="D23" i="35" s="1"/>
  <c r="D63" i="36"/>
  <c r="D19" i="35" s="1"/>
  <c r="D56" i="36"/>
  <c r="D78" i="36"/>
  <c r="D27" i="35" s="1"/>
  <c r="D71" i="36"/>
  <c r="D66" i="36"/>
  <c r="D22" i="35" s="1"/>
  <c r="D70" i="9"/>
  <c r="D59" i="9"/>
  <c r="D61" i="9" s="1"/>
  <c r="D65" i="36"/>
  <c r="D21" i="35" s="1"/>
  <c r="D50" i="36"/>
  <c r="D52" i="36"/>
  <c r="D51" i="36"/>
  <c r="D56" i="9"/>
  <c r="D82" i="36"/>
  <c r="D29" i="35" s="1"/>
  <c r="D55" i="36"/>
  <c r="F68" i="36"/>
  <c r="P25" i="36"/>
  <c r="F62" i="55"/>
  <c r="J36" i="9"/>
  <c r="I35" i="44"/>
  <c r="F68" i="44"/>
  <c r="F67" i="44"/>
  <c r="I100" i="52"/>
  <c r="H102" i="52"/>
  <c r="E106" i="52"/>
  <c r="M106" i="52"/>
  <c r="I108" i="52"/>
  <c r="E110" i="52"/>
  <c r="M110" i="52"/>
  <c r="I112" i="52"/>
  <c r="D64" i="9"/>
  <c r="E50" i="9"/>
  <c r="D69" i="9"/>
  <c r="J100" i="52"/>
  <c r="J108" i="52"/>
  <c r="J112" i="52"/>
  <c r="D17" i="36"/>
  <c r="D54" i="36"/>
  <c r="D59" i="36"/>
  <c r="G43" i="9"/>
  <c r="C100" i="52"/>
  <c r="K100" i="52"/>
  <c r="C108" i="52"/>
  <c r="K108" i="52"/>
  <c r="C112" i="52"/>
  <c r="K112" i="52"/>
  <c r="E5" i="36"/>
  <c r="C68" i="36"/>
  <c r="H106" i="52"/>
  <c r="H110" i="52"/>
  <c r="D19" i="9"/>
  <c r="D43" i="9"/>
  <c r="D68" i="36"/>
  <c r="G56" i="36"/>
  <c r="G67" i="36"/>
  <c r="G23" i="35" s="1"/>
  <c r="C33" i="9"/>
  <c r="C42" i="9" s="1"/>
  <c r="C43" i="9" s="1"/>
  <c r="F50" i="9"/>
  <c r="F54" i="36"/>
  <c r="G66" i="36"/>
  <c r="G22" i="35" s="1"/>
  <c r="F64" i="9"/>
  <c r="E42" i="9"/>
  <c r="Q25" i="36"/>
  <c r="G54" i="36"/>
  <c r="G63" i="36"/>
  <c r="G82" i="36"/>
  <c r="G29" i="35" s="1"/>
  <c r="AA27" i="44"/>
  <c r="T39" i="44"/>
  <c r="F59" i="44"/>
  <c r="F71" i="9"/>
  <c r="F70" i="9"/>
  <c r="F69" i="9"/>
  <c r="F80" i="44"/>
  <c r="F59" i="9"/>
  <c r="F61" i="9" s="1"/>
  <c r="F57" i="9"/>
  <c r="F56" i="9"/>
  <c r="F79" i="44"/>
  <c r="F62" i="44"/>
  <c r="X28" i="44"/>
  <c r="F66" i="9"/>
  <c r="F67" i="36"/>
  <c r="F23" i="35" s="1"/>
  <c r="F63" i="36"/>
  <c r="F19" i="35" s="1"/>
  <c r="F56" i="36"/>
  <c r="F52" i="36"/>
  <c r="F63" i="9"/>
  <c r="F78" i="36"/>
  <c r="F27" i="35" s="1"/>
  <c r="F71" i="36"/>
  <c r="F66" i="36"/>
  <c r="F22" i="35" s="1"/>
  <c r="F55" i="36"/>
  <c r="F82" i="36"/>
  <c r="F29" i="35" s="1"/>
  <c r="F65" i="36"/>
  <c r="F21" i="35" s="1"/>
  <c r="F59" i="36"/>
  <c r="F53" i="36"/>
  <c r="W15" i="44"/>
  <c r="W33" i="44"/>
  <c r="W35" i="44" s="1"/>
  <c r="W21" i="44"/>
  <c r="W23" i="44" s="1"/>
  <c r="D8" i="55"/>
  <c r="G68" i="9"/>
  <c r="G67" i="9"/>
  <c r="G66" i="9"/>
  <c r="G63" i="9"/>
  <c r="G80" i="44"/>
  <c r="G59" i="9"/>
  <c r="G61" i="9" s="1"/>
  <c r="G57" i="9"/>
  <c r="G56" i="9"/>
  <c r="G59" i="44"/>
  <c r="G71" i="9"/>
  <c r="G70" i="9"/>
  <c r="G69" i="9"/>
  <c r="G62" i="44"/>
  <c r="G79" i="44"/>
  <c r="G81" i="36"/>
  <c r="G76" i="36"/>
  <c r="G64" i="36"/>
  <c r="G20" i="35" s="1"/>
  <c r="G53" i="36"/>
  <c r="P13" i="36"/>
  <c r="F14" i="35" s="1"/>
  <c r="F17" i="36"/>
  <c r="F50" i="36"/>
  <c r="F51" i="36"/>
  <c r="G52" i="36"/>
  <c r="G65" i="36"/>
  <c r="C48" i="9"/>
  <c r="X23" i="44"/>
  <c r="Y28" i="44"/>
  <c r="X56" i="44"/>
  <c r="D48" i="9"/>
  <c r="G84" i="44"/>
  <c r="G61" i="44"/>
  <c r="G77" i="44" s="1"/>
  <c r="Z38" i="44"/>
  <c r="V56" i="44"/>
  <c r="W56" i="44"/>
  <c r="C79" i="44"/>
  <c r="S20" i="67"/>
  <c r="H20" i="67"/>
  <c r="H23" i="67" s="1"/>
  <c r="D79" i="44"/>
  <c r="E64" i="9"/>
  <c r="E62" i="55"/>
  <c r="H35" i="44"/>
  <c r="Y56" i="44"/>
  <c r="Z56" i="44" s="1"/>
  <c r="E68" i="44"/>
  <c r="E69" i="44" s="1"/>
  <c r="E82" i="44"/>
  <c r="E79" i="44"/>
  <c r="C62" i="44"/>
  <c r="C61" i="44"/>
  <c r="C77" i="44" s="1"/>
  <c r="C67" i="44" s="1"/>
  <c r="D39" i="55"/>
  <c r="G64" i="9"/>
  <c r="E18" i="9"/>
  <c r="E19" i="9" s="1"/>
  <c r="I61" i="9"/>
  <c r="D62" i="44"/>
  <c r="V15" i="44"/>
  <c r="V33" i="44"/>
  <c r="V35" i="44" s="1"/>
  <c r="J79" i="44"/>
  <c r="G5" i="67"/>
  <c r="X15" i="44"/>
  <c r="E62" i="44"/>
  <c r="T9" i="67"/>
  <c r="F19" i="67"/>
  <c r="Y33" i="44"/>
  <c r="Y35" i="44" s="1"/>
  <c r="D82" i="44"/>
  <c r="E84" i="44"/>
  <c r="F11" i="67"/>
  <c r="Y21" i="44"/>
  <c r="Y23" i="44" s="1"/>
  <c r="I62" i="44"/>
  <c r="D65" i="44"/>
  <c r="I79" i="44"/>
  <c r="F84" i="44"/>
  <c r="H10" i="67"/>
  <c r="H13" i="67" s="1"/>
  <c r="Y49" i="44"/>
  <c r="K62" i="44"/>
  <c r="O108" i="52" l="1"/>
  <c r="R10" i="36"/>
  <c r="H10" i="36" s="1"/>
  <c r="T63" i="52"/>
  <c r="H37" i="35"/>
  <c r="J119" i="52"/>
  <c r="V41" i="52"/>
  <c r="O97" i="52"/>
  <c r="O111" i="52" s="1"/>
  <c r="V70" i="52"/>
  <c r="I11" i="35" s="1"/>
  <c r="S10" i="36" s="1"/>
  <c r="U21" i="52"/>
  <c r="U43" i="52" s="1"/>
  <c r="U20" i="52"/>
  <c r="V72" i="52"/>
  <c r="I13" i="35" s="1"/>
  <c r="N100" i="52"/>
  <c r="O100" i="52"/>
  <c r="V39" i="57"/>
  <c r="J9" i="79"/>
  <c r="C27" i="79" s="1"/>
  <c r="F39" i="79" s="1"/>
  <c r="I7" i="57"/>
  <c r="D45" i="67"/>
  <c r="C35" i="67"/>
  <c r="H22" i="67"/>
  <c r="H25" i="67"/>
  <c r="H15" i="67"/>
  <c r="D47" i="67"/>
  <c r="D49" i="67" s="1"/>
  <c r="D50" i="67" s="1"/>
  <c r="H12" i="67"/>
  <c r="D7" i="76"/>
  <c r="D9" i="77"/>
  <c r="E7" i="76"/>
  <c r="E9" i="77"/>
  <c r="I10" i="57"/>
  <c r="G7" i="76"/>
  <c r="G9" i="77"/>
  <c r="H7" i="76"/>
  <c r="H9" i="77"/>
  <c r="F9" i="77"/>
  <c r="F7" i="76"/>
  <c r="E10" i="57"/>
  <c r="E8" i="57"/>
  <c r="G11" i="57"/>
  <c r="H26" i="67"/>
  <c r="H16" i="67"/>
  <c r="H24" i="67"/>
  <c r="H14" i="67"/>
  <c r="F21" i="67"/>
  <c r="T8" i="67"/>
  <c r="J13" i="57"/>
  <c r="J16" i="57" s="1"/>
  <c r="F13" i="57"/>
  <c r="F14" i="57" s="1"/>
  <c r="F8" i="71"/>
  <c r="G8" i="57"/>
  <c r="H8" i="57"/>
  <c r="W29" i="44"/>
  <c r="D68" i="44"/>
  <c r="D69" i="44" s="1"/>
  <c r="Q17" i="36"/>
  <c r="G8" i="71"/>
  <c r="R10" i="55"/>
  <c r="R11" i="55"/>
  <c r="G57" i="36"/>
  <c r="F57" i="36"/>
  <c r="P12" i="55"/>
  <c r="G61" i="36"/>
  <c r="G17" i="35" s="1"/>
  <c r="G18" i="36"/>
  <c r="G31" i="36"/>
  <c r="H57" i="76" s="1"/>
  <c r="X29" i="44"/>
  <c r="N12" i="55"/>
  <c r="R12" i="55"/>
  <c r="M103" i="52"/>
  <c r="M118" i="52"/>
  <c r="E18" i="56"/>
  <c r="E17" i="56"/>
  <c r="G67" i="44"/>
  <c r="G68" i="44"/>
  <c r="F61" i="36"/>
  <c r="F17" i="35" s="1"/>
  <c r="F31" i="36"/>
  <c r="P17" i="36"/>
  <c r="F18" i="36"/>
  <c r="M10" i="55"/>
  <c r="G19" i="35"/>
  <c r="D61" i="36"/>
  <c r="D17" i="35" s="1"/>
  <c r="N17" i="36"/>
  <c r="D31" i="36"/>
  <c r="D18" i="36"/>
  <c r="E103" i="52"/>
  <c r="E118" i="52"/>
  <c r="D120" i="52"/>
  <c r="D119" i="52"/>
  <c r="U111" i="52"/>
  <c r="U107" i="52"/>
  <c r="U99" i="52"/>
  <c r="U102" i="52" s="1"/>
  <c r="U109" i="52"/>
  <c r="U105" i="52"/>
  <c r="T43" i="52"/>
  <c r="E61" i="36"/>
  <c r="E17" i="35" s="1"/>
  <c r="O17" i="36"/>
  <c r="E31" i="36"/>
  <c r="E18" i="36"/>
  <c r="O20" i="52"/>
  <c r="O42" i="52" s="1"/>
  <c r="Q66" i="52"/>
  <c r="H7" i="35" s="1"/>
  <c r="Q63" i="52"/>
  <c r="N30" i="56"/>
  <c r="N37" i="56" s="1"/>
  <c r="AA38" i="44"/>
  <c r="O13" i="55"/>
  <c r="T73" i="52"/>
  <c r="T34" i="52"/>
  <c r="Y29" i="44"/>
  <c r="Z29" i="44" s="1"/>
  <c r="AA29" i="44" s="1"/>
  <c r="AB29" i="44" s="1"/>
  <c r="AC29" i="44" s="1"/>
  <c r="AD29" i="44" s="1"/>
  <c r="AA56" i="44"/>
  <c r="T20" i="67"/>
  <c r="F20" i="67"/>
  <c r="H36" i="35"/>
  <c r="H85" i="35"/>
  <c r="F119" i="52"/>
  <c r="F120" i="52"/>
  <c r="T20" i="52"/>
  <c r="P13" i="55"/>
  <c r="N53" i="52"/>
  <c r="S95" i="52"/>
  <c r="S97" i="52" s="1"/>
  <c r="S63" i="52"/>
  <c r="V56" i="52"/>
  <c r="E40" i="56"/>
  <c r="V69" i="52"/>
  <c r="I10" i="35" s="1"/>
  <c r="F54" i="56"/>
  <c r="F38" i="56"/>
  <c r="O36" i="56" s="1"/>
  <c r="O29" i="56"/>
  <c r="F32" i="56"/>
  <c r="F14" i="56"/>
  <c r="F9" i="56"/>
  <c r="F10" i="56" s="1"/>
  <c r="F13" i="56" s="1"/>
  <c r="F16" i="56" s="1"/>
  <c r="F20" i="56"/>
  <c r="G8" i="56"/>
  <c r="F53" i="56"/>
  <c r="F46" i="56"/>
  <c r="F15" i="56"/>
  <c r="F11" i="56"/>
  <c r="F33" i="56"/>
  <c r="F12" i="56"/>
  <c r="P16" i="56"/>
  <c r="C50" i="9"/>
  <c r="O110" i="52"/>
  <c r="N110" i="52"/>
  <c r="F69" i="44"/>
  <c r="R97" i="52"/>
  <c r="V95" i="52"/>
  <c r="V97" i="52" s="1"/>
  <c r="M86" i="52"/>
  <c r="N13" i="55"/>
  <c r="U42" i="52"/>
  <c r="N73" i="52"/>
  <c r="N34" i="52"/>
  <c r="F37" i="56"/>
  <c r="F40" i="56" s="1"/>
  <c r="H13" i="57"/>
  <c r="H11" i="57"/>
  <c r="F64" i="55"/>
  <c r="J39" i="9"/>
  <c r="I83" i="35"/>
  <c r="I34" i="35"/>
  <c r="K8" i="35"/>
  <c r="J8" i="35"/>
  <c r="Y52" i="44"/>
  <c r="D50" i="9"/>
  <c r="E43" i="9"/>
  <c r="C61" i="36"/>
  <c r="C17" i="35" s="1"/>
  <c r="C31" i="36"/>
  <c r="C18" i="36"/>
  <c r="P111" i="52"/>
  <c r="P107" i="52"/>
  <c r="P99" i="52"/>
  <c r="P102" i="52"/>
  <c r="P109" i="52"/>
  <c r="P105" i="52"/>
  <c r="I120" i="52"/>
  <c r="I119" i="52"/>
  <c r="U53" i="52"/>
  <c r="U30" i="52"/>
  <c r="U52" i="52" s="1"/>
  <c r="I10" i="36"/>
  <c r="P34" i="52"/>
  <c r="P73" i="52"/>
  <c r="O73" i="52"/>
  <c r="O34" i="52"/>
  <c r="L73" i="52"/>
  <c r="F19" i="56"/>
  <c r="H118" i="52"/>
  <c r="H103" i="52"/>
  <c r="R52" i="52"/>
  <c r="C39" i="55"/>
  <c r="D40" i="55"/>
  <c r="M11" i="55"/>
  <c r="G21" i="35"/>
  <c r="M12" i="55"/>
  <c r="G25" i="35"/>
  <c r="C57" i="36"/>
  <c r="O99" i="52"/>
  <c r="O102" i="52" s="1"/>
  <c r="O36" i="52"/>
  <c r="M37" i="52"/>
  <c r="R53" i="52"/>
  <c r="Q13" i="55"/>
  <c r="R9" i="36"/>
  <c r="H9" i="36" s="1"/>
  <c r="O12" i="55"/>
  <c r="S7" i="36"/>
  <c r="I7" i="36" s="1"/>
  <c r="R13" i="55"/>
  <c r="O51" i="52"/>
  <c r="S20" i="52"/>
  <c r="H87" i="35"/>
  <c r="H38" i="35"/>
  <c r="O31" i="52"/>
  <c r="O53" i="52" s="1"/>
  <c r="G16" i="57"/>
  <c r="G14" i="57"/>
  <c r="F50" i="56"/>
  <c r="G103" i="52"/>
  <c r="G118" i="52"/>
  <c r="M17" i="56"/>
  <c r="C16" i="56"/>
  <c r="U73" i="52"/>
  <c r="U34" i="52"/>
  <c r="C49" i="55"/>
  <c r="C47" i="55"/>
  <c r="M38" i="55"/>
  <c r="C32" i="55"/>
  <c r="C45" i="55"/>
  <c r="C38" i="55"/>
  <c r="C29" i="55"/>
  <c r="C33" i="55"/>
  <c r="C20" i="55"/>
  <c r="C19" i="55"/>
  <c r="D10" i="55"/>
  <c r="C53" i="55"/>
  <c r="C46" i="55"/>
  <c r="C63" i="55"/>
  <c r="M30" i="55"/>
  <c r="M31" i="55" s="1"/>
  <c r="C48" i="55"/>
  <c r="C8" i="55"/>
  <c r="C37" i="55"/>
  <c r="C31" i="55"/>
  <c r="C9" i="55"/>
  <c r="C11" i="55"/>
  <c r="C15" i="55"/>
  <c r="M15" i="55"/>
  <c r="C12" i="55"/>
  <c r="C62" i="55"/>
  <c r="C50" i="55"/>
  <c r="C14" i="55"/>
  <c r="C64" i="55"/>
  <c r="C54" i="55"/>
  <c r="C30" i="55"/>
  <c r="C17" i="55"/>
  <c r="C27" i="55"/>
  <c r="C55" i="55"/>
  <c r="C56" i="55"/>
  <c r="C65" i="55"/>
  <c r="C66" i="55"/>
  <c r="O5" i="36"/>
  <c r="F5" i="36"/>
  <c r="O106" i="52"/>
  <c r="N106" i="52"/>
  <c r="N105" i="52" s="1"/>
  <c r="G62" i="55"/>
  <c r="J35" i="44"/>
  <c r="K36" i="9"/>
  <c r="L88" i="52"/>
  <c r="L120" i="52"/>
  <c r="L119" i="52"/>
  <c r="I86" i="35"/>
  <c r="I37" i="35"/>
  <c r="K11" i="35"/>
  <c r="J11" i="35"/>
  <c r="T51" i="52"/>
  <c r="T31" i="52"/>
  <c r="T53" i="52" s="1"/>
  <c r="H62" i="56"/>
  <c r="Q29" i="52"/>
  <c r="Q51" i="52" s="1"/>
  <c r="N30" i="52"/>
  <c r="N51" i="52"/>
  <c r="E57" i="36"/>
  <c r="F64" i="56"/>
  <c r="L28" i="57"/>
  <c r="M6" i="57"/>
  <c r="F45" i="56"/>
  <c r="H84" i="35"/>
  <c r="H35" i="35"/>
  <c r="Q95" i="52"/>
  <c r="Q97" i="52" s="1"/>
  <c r="N97" i="52"/>
  <c r="C68" i="44"/>
  <c r="C69" i="44" s="1"/>
  <c r="T40" i="44"/>
  <c r="AB27" i="44"/>
  <c r="D57" i="36"/>
  <c r="Q96" i="52"/>
  <c r="L81" i="52"/>
  <c r="L85" i="52"/>
  <c r="M88" i="52"/>
  <c r="V21" i="52"/>
  <c r="V58" i="52"/>
  <c r="V68" i="52" s="1"/>
  <c r="I9" i="35" s="1"/>
  <c r="R73" i="52"/>
  <c r="R34" i="52"/>
  <c r="F49" i="56"/>
  <c r="V61" i="52"/>
  <c r="V71" i="52" s="1"/>
  <c r="I12" i="35" s="1"/>
  <c r="S29" i="52"/>
  <c r="N43" i="52"/>
  <c r="Q21" i="52"/>
  <c r="N20" i="52"/>
  <c r="T97" i="52"/>
  <c r="F47" i="56"/>
  <c r="F29" i="56"/>
  <c r="F27" i="56"/>
  <c r="O105" i="52" l="1"/>
  <c r="T30" i="52"/>
  <c r="T52" i="52" s="1"/>
  <c r="O109" i="52"/>
  <c r="I88" i="35"/>
  <c r="I39" i="35"/>
  <c r="K13" i="35"/>
  <c r="J13" i="35"/>
  <c r="S12" i="36"/>
  <c r="I12" i="36" s="1"/>
  <c r="T42" i="52"/>
  <c r="Q105" i="52"/>
  <c r="O30" i="52"/>
  <c r="O52" i="52" s="1"/>
  <c r="O107" i="52"/>
  <c r="C36" i="67"/>
  <c r="C38" i="67" s="1"/>
  <c r="C40" i="67" s="1"/>
  <c r="H10" i="80" s="1"/>
  <c r="D36" i="67"/>
  <c r="D38" i="67" s="1"/>
  <c r="D40" i="67" s="1"/>
  <c r="F10" i="80" s="1"/>
  <c r="C21" i="79"/>
  <c r="C24" i="79" s="1"/>
  <c r="C25" i="79" s="1"/>
  <c r="H28" i="76"/>
  <c r="H35" i="76"/>
  <c r="G15" i="71" s="1"/>
  <c r="C9" i="71"/>
  <c r="C10" i="71" s="1"/>
  <c r="D57" i="76"/>
  <c r="G28" i="76"/>
  <c r="G35" i="76"/>
  <c r="F15" i="71" s="1"/>
  <c r="G15" i="77"/>
  <c r="G8" i="76"/>
  <c r="G21" i="76" s="1"/>
  <c r="E15" i="77"/>
  <c r="E8" i="76"/>
  <c r="E21" i="76" s="1"/>
  <c r="E13" i="57"/>
  <c r="E11" i="57"/>
  <c r="F9" i="71"/>
  <c r="F10" i="71" s="1"/>
  <c r="G57" i="76"/>
  <c r="F28" i="76"/>
  <c r="F35" i="76"/>
  <c r="E15" i="71" s="1"/>
  <c r="D9" i="71"/>
  <c r="D10" i="71" s="1"/>
  <c r="E57" i="76"/>
  <c r="F8" i="76"/>
  <c r="F21" i="76" s="1"/>
  <c r="F15" i="77"/>
  <c r="D15" i="77"/>
  <c r="D8" i="76"/>
  <c r="D21" i="76" s="1"/>
  <c r="E9" i="71"/>
  <c r="E10" i="71" s="1"/>
  <c r="F57" i="76"/>
  <c r="H15" i="77"/>
  <c r="H8" i="76"/>
  <c r="H21" i="76" s="1"/>
  <c r="E28" i="76"/>
  <c r="F16" i="57"/>
  <c r="O42" i="57"/>
  <c r="J14" i="57"/>
  <c r="G69" i="44"/>
  <c r="L121" i="52"/>
  <c r="G9" i="71"/>
  <c r="G10" i="71" s="1"/>
  <c r="G32" i="36"/>
  <c r="G74" i="36"/>
  <c r="G37" i="36"/>
  <c r="G27" i="36"/>
  <c r="F17" i="56"/>
  <c r="F18" i="56" s="1"/>
  <c r="U103" i="52"/>
  <c r="O103" i="52"/>
  <c r="Q106" i="52"/>
  <c r="H19" i="35" s="1"/>
  <c r="P24" i="52"/>
  <c r="P35" i="52"/>
  <c r="K83" i="35"/>
  <c r="K34" i="35"/>
  <c r="U7" i="36"/>
  <c r="N109" i="52"/>
  <c r="Q109" i="52" s="1"/>
  <c r="Q110" i="52" s="1"/>
  <c r="H21" i="35" s="1"/>
  <c r="E119" i="52"/>
  <c r="E120" i="52"/>
  <c r="P18" i="36"/>
  <c r="Q18" i="36"/>
  <c r="E63" i="56"/>
  <c r="N28" i="56"/>
  <c r="N31" i="56" s="1"/>
  <c r="P103" i="52"/>
  <c r="H16" i="57"/>
  <c r="H14" i="57"/>
  <c r="V22" i="52"/>
  <c r="V43" i="52"/>
  <c r="N52" i="52"/>
  <c r="Q30" i="52"/>
  <c r="Q52" i="52" s="1"/>
  <c r="S51" i="52"/>
  <c r="S31" i="52"/>
  <c r="S30" i="52" s="1"/>
  <c r="V29" i="52"/>
  <c r="V51" i="52" s="1"/>
  <c r="P5" i="36"/>
  <c r="G5" i="36"/>
  <c r="U35" i="52"/>
  <c r="U24" i="52"/>
  <c r="G19" i="57"/>
  <c r="G17" i="57"/>
  <c r="H119" i="52"/>
  <c r="H120" i="52"/>
  <c r="R102" i="52"/>
  <c r="R109" i="52"/>
  <c r="R105" i="52"/>
  <c r="R111" i="52"/>
  <c r="R107" i="52"/>
  <c r="R99" i="52"/>
  <c r="V66" i="52"/>
  <c r="I7" i="35" s="1"/>
  <c r="V63" i="52"/>
  <c r="AB56" i="44"/>
  <c r="AB38" i="44"/>
  <c r="Q34" i="52"/>
  <c r="Q24" i="52" s="1"/>
  <c r="Q46" i="52" s="1"/>
  <c r="Q73" i="52"/>
  <c r="N18" i="36"/>
  <c r="F74" i="36"/>
  <c r="F27" i="36"/>
  <c r="F32" i="36"/>
  <c r="F37" i="36"/>
  <c r="P31" i="36"/>
  <c r="Q31" i="36"/>
  <c r="F17" i="57"/>
  <c r="F19" i="57"/>
  <c r="I87" i="35"/>
  <c r="K12" i="35"/>
  <c r="I38" i="35"/>
  <c r="J12" i="35"/>
  <c r="S11" i="36"/>
  <c r="I11" i="36" s="1"/>
  <c r="T41" i="44"/>
  <c r="AC27" i="44"/>
  <c r="J86" i="35"/>
  <c r="J37" i="35"/>
  <c r="T10" i="36"/>
  <c r="J10" i="36" s="1"/>
  <c r="N24" i="52"/>
  <c r="N35" i="52"/>
  <c r="S73" i="52"/>
  <c r="S34" i="52"/>
  <c r="H33" i="35"/>
  <c r="H82" i="35"/>
  <c r="R6" i="36"/>
  <c r="H6" i="36" s="1"/>
  <c r="D74" i="36"/>
  <c r="D27" i="36"/>
  <c r="N31" i="36"/>
  <c r="D32" i="36"/>
  <c r="D37" i="36"/>
  <c r="M28" i="57"/>
  <c r="N6" i="57"/>
  <c r="I62" i="56"/>
  <c r="K37" i="35"/>
  <c r="K86" i="35"/>
  <c r="U10" i="36"/>
  <c r="H62" i="55"/>
  <c r="K35" i="44"/>
  <c r="L36" i="9"/>
  <c r="C40" i="55"/>
  <c r="D41" i="55"/>
  <c r="S107" i="52"/>
  <c r="S99" i="52"/>
  <c r="S102" i="52" s="1"/>
  <c r="S111" i="52"/>
  <c r="S105" i="52"/>
  <c r="S109" i="52"/>
  <c r="J19" i="57"/>
  <c r="J17" i="57"/>
  <c r="R24" i="52"/>
  <c r="R35" i="52"/>
  <c r="O24" i="52"/>
  <c r="O35" i="52"/>
  <c r="G64" i="55"/>
  <c r="K39" i="9"/>
  <c r="P30" i="56"/>
  <c r="Q16" i="56"/>
  <c r="N19" i="56"/>
  <c r="O18" i="36"/>
  <c r="M119" i="52"/>
  <c r="M120" i="52"/>
  <c r="T109" i="52"/>
  <c r="T105" i="52"/>
  <c r="T99" i="52"/>
  <c r="T102" i="52" s="1"/>
  <c r="T111" i="52"/>
  <c r="T107" i="52"/>
  <c r="D13" i="55"/>
  <c r="M40" i="55"/>
  <c r="C10" i="55"/>
  <c r="G119" i="52"/>
  <c r="G120" i="52"/>
  <c r="G121" i="52"/>
  <c r="S42" i="52"/>
  <c r="V20" i="52"/>
  <c r="C37" i="36"/>
  <c r="C32" i="36"/>
  <c r="C27" i="36"/>
  <c r="C74" i="36"/>
  <c r="O30" i="56"/>
  <c r="O37" i="56" s="1"/>
  <c r="G54" i="56"/>
  <c r="G48" i="56"/>
  <c r="P29" i="56"/>
  <c r="G55" i="56"/>
  <c r="P20" i="56" s="1"/>
  <c r="G20" i="56"/>
  <c r="H8" i="56"/>
  <c r="G33" i="56"/>
  <c r="G46" i="56"/>
  <c r="G15" i="56"/>
  <c r="G38" i="56"/>
  <c r="P36" i="56" s="1"/>
  <c r="P37" i="56" s="1"/>
  <c r="G11" i="56"/>
  <c r="G10" i="56"/>
  <c r="G13" i="56" s="1"/>
  <c r="G16" i="56" s="1"/>
  <c r="G47" i="56"/>
  <c r="G9" i="56"/>
  <c r="G31" i="56"/>
  <c r="G12" i="56"/>
  <c r="G64" i="56"/>
  <c r="G53" i="56"/>
  <c r="G14" i="56"/>
  <c r="G29" i="56"/>
  <c r="G30" i="56"/>
  <c r="G45" i="56"/>
  <c r="G39" i="56"/>
  <c r="G50" i="56"/>
  <c r="G19" i="56"/>
  <c r="G37" i="56"/>
  <c r="G27" i="56"/>
  <c r="G32" i="56"/>
  <c r="G56" i="56"/>
  <c r="G49" i="56"/>
  <c r="K10" i="35"/>
  <c r="J10" i="35"/>
  <c r="I36" i="35"/>
  <c r="I85" i="35"/>
  <c r="S9" i="36"/>
  <c r="I9" i="36" s="1"/>
  <c r="Q31" i="52"/>
  <c r="T35" i="52"/>
  <c r="T24" i="52"/>
  <c r="E27" i="36"/>
  <c r="E74" i="36"/>
  <c r="E32" i="36"/>
  <c r="E37" i="36"/>
  <c r="O31" i="36"/>
  <c r="Q43" i="52"/>
  <c r="Q22" i="52"/>
  <c r="N42" i="52"/>
  <c r="Q20" i="52"/>
  <c r="Q42" i="52" s="1"/>
  <c r="I84" i="35"/>
  <c r="I35" i="35"/>
  <c r="K9" i="35"/>
  <c r="J9" i="35"/>
  <c r="S8" i="36"/>
  <c r="I8" i="36" s="1"/>
  <c r="N102" i="52"/>
  <c r="N99" i="52"/>
  <c r="Q99" i="52" s="1"/>
  <c r="Q100" i="52" s="1"/>
  <c r="N107" i="52"/>
  <c r="Q107" i="52" s="1"/>
  <c r="Q108" i="52" s="1"/>
  <c r="H20" i="35" s="1"/>
  <c r="N111" i="52"/>
  <c r="Q111" i="52" s="1"/>
  <c r="Q112" i="52" s="1"/>
  <c r="H22" i="35" s="1"/>
  <c r="J34" i="35"/>
  <c r="J83" i="35"/>
  <c r="T7" i="36"/>
  <c r="J7" i="36" s="1"/>
  <c r="T12" i="36" l="1"/>
  <c r="J12" i="36" s="1"/>
  <c r="K12" i="36" s="1"/>
  <c r="J39" i="35"/>
  <c r="J88" i="35"/>
  <c r="U12" i="36"/>
  <c r="K39" i="35"/>
  <c r="K88" i="35"/>
  <c r="G10" i="80"/>
  <c r="F41" i="79"/>
  <c r="F42" i="79" s="1"/>
  <c r="F43" i="79" s="1"/>
  <c r="F54" i="79" s="1"/>
  <c r="F55" i="79" s="1"/>
  <c r="C29" i="79"/>
  <c r="C30" i="79" s="1"/>
  <c r="C31" i="79" s="1"/>
  <c r="C11" i="71"/>
  <c r="C12" i="71" s="1"/>
  <c r="D28" i="77"/>
  <c r="D14" i="76" s="1"/>
  <c r="D56" i="76"/>
  <c r="G19" i="77"/>
  <c r="G23" i="77" s="1"/>
  <c r="G64" i="76" s="1"/>
  <c r="G13" i="76"/>
  <c r="D19" i="77"/>
  <c r="D23" i="77" s="1"/>
  <c r="D64" i="76" s="1"/>
  <c r="D13" i="76"/>
  <c r="F19" i="77"/>
  <c r="F23" i="77" s="1"/>
  <c r="F64" i="76" s="1"/>
  <c r="F13" i="76"/>
  <c r="F11" i="71"/>
  <c r="F12" i="71" s="1"/>
  <c r="G28" i="77"/>
  <c r="G14" i="76" s="1"/>
  <c r="G56" i="76"/>
  <c r="E16" i="57"/>
  <c r="E14" i="57"/>
  <c r="D11" i="71"/>
  <c r="D12" i="71" s="1"/>
  <c r="E28" i="77"/>
  <c r="E14" i="76" s="1"/>
  <c r="E56" i="76"/>
  <c r="G11" i="71"/>
  <c r="G12" i="71" s="1"/>
  <c r="C44" i="67"/>
  <c r="H28" i="77"/>
  <c r="H14" i="76" s="1"/>
  <c r="H56" i="76"/>
  <c r="H13" i="76"/>
  <c r="H19" i="77"/>
  <c r="H23" i="77" s="1"/>
  <c r="H64" i="76" s="1"/>
  <c r="I13" i="57"/>
  <c r="E19" i="77"/>
  <c r="E23" i="77" s="1"/>
  <c r="E64" i="76" s="1"/>
  <c r="E13" i="76"/>
  <c r="E11" i="71"/>
  <c r="E12" i="71" s="1"/>
  <c r="F28" i="77"/>
  <c r="F14" i="76" s="1"/>
  <c r="F56" i="76"/>
  <c r="J25" i="57"/>
  <c r="H65" i="76" s="1"/>
  <c r="F25" i="57"/>
  <c r="E65" i="76" s="1"/>
  <c r="G25" i="57"/>
  <c r="F65" i="76" s="1"/>
  <c r="G51" i="9"/>
  <c r="G70" i="36"/>
  <c r="G29" i="36"/>
  <c r="G84" i="36"/>
  <c r="G79" i="36"/>
  <c r="G42" i="36"/>
  <c r="G46" i="36" s="1"/>
  <c r="G13" i="71" s="1"/>
  <c r="O32" i="36"/>
  <c r="T103" i="52"/>
  <c r="K7" i="36"/>
  <c r="K10" i="36"/>
  <c r="S52" i="52"/>
  <c r="V30" i="52"/>
  <c r="V52" i="52" s="1"/>
  <c r="O28" i="56"/>
  <c r="O31" i="56" s="1"/>
  <c r="O19" i="56"/>
  <c r="E51" i="9"/>
  <c r="E70" i="36"/>
  <c r="E29" i="36"/>
  <c r="O27" i="36"/>
  <c r="T46" i="52"/>
  <c r="H55" i="56"/>
  <c r="Q20" i="56" s="1"/>
  <c r="H49" i="56"/>
  <c r="H15" i="56"/>
  <c r="H38" i="56"/>
  <c r="Q36" i="56" s="1"/>
  <c r="H11" i="56"/>
  <c r="H33" i="56"/>
  <c r="H47" i="56"/>
  <c r="H14" i="56"/>
  <c r="H10" i="56"/>
  <c r="H9" i="56"/>
  <c r="H54" i="56"/>
  <c r="H31" i="56"/>
  <c r="H12" i="56"/>
  <c r="H64" i="56"/>
  <c r="H20" i="56"/>
  <c r="Q29" i="56"/>
  <c r="I8" i="56"/>
  <c r="H50" i="56"/>
  <c r="H29" i="56"/>
  <c r="H45" i="56"/>
  <c r="H48" i="56"/>
  <c r="H37" i="56"/>
  <c r="H19" i="56"/>
  <c r="H32" i="56"/>
  <c r="H56" i="56"/>
  <c r="H27" i="56"/>
  <c r="H46" i="56"/>
  <c r="H30" i="56"/>
  <c r="H39" i="56"/>
  <c r="H53" i="56"/>
  <c r="C51" i="9"/>
  <c r="C29" i="36"/>
  <c r="C70" i="36"/>
  <c r="R16" i="56"/>
  <c r="I62" i="55"/>
  <c r="L35" i="44"/>
  <c r="H13" i="36"/>
  <c r="T42" i="44"/>
  <c r="AD27" i="44"/>
  <c r="T43" i="44" s="1"/>
  <c r="AC56" i="44"/>
  <c r="R103" i="52"/>
  <c r="N103" i="52"/>
  <c r="N115" i="52"/>
  <c r="T118" i="52"/>
  <c r="T26" i="52"/>
  <c r="R118" i="52"/>
  <c r="R26" i="52"/>
  <c r="N28" i="57"/>
  <c r="O6" i="57"/>
  <c r="V34" i="52"/>
  <c r="V73" i="52"/>
  <c r="F63" i="56"/>
  <c r="E65" i="56"/>
  <c r="E66" i="56" s="1"/>
  <c r="E41" i="56" s="1"/>
  <c r="E28" i="56" s="1"/>
  <c r="E34" i="56" s="1"/>
  <c r="N33" i="56" s="1"/>
  <c r="G17" i="56"/>
  <c r="G18" i="56" s="1"/>
  <c r="J84" i="35"/>
  <c r="J35" i="35"/>
  <c r="T8" i="36"/>
  <c r="J8" i="36" s="1"/>
  <c r="V42" i="52"/>
  <c r="C13" i="55"/>
  <c r="M41" i="55"/>
  <c r="M51" i="55"/>
  <c r="D16" i="55"/>
  <c r="Q102" i="52"/>
  <c r="D84" i="36"/>
  <c r="D79" i="36"/>
  <c r="D42" i="36"/>
  <c r="N37" i="36"/>
  <c r="S24" i="52"/>
  <c r="S35" i="52"/>
  <c r="N118" i="52"/>
  <c r="N26" i="52"/>
  <c r="Q35" i="52"/>
  <c r="Q36" i="52" s="1"/>
  <c r="J87" i="35"/>
  <c r="J38" i="35"/>
  <c r="T11" i="36"/>
  <c r="J11" i="36" s="1"/>
  <c r="V99" i="52"/>
  <c r="P118" i="52"/>
  <c r="P26" i="52"/>
  <c r="C42" i="36"/>
  <c r="C84" i="36"/>
  <c r="C79" i="36"/>
  <c r="R46" i="52"/>
  <c r="R25" i="52"/>
  <c r="K84" i="35"/>
  <c r="K35" i="35"/>
  <c r="U8" i="36"/>
  <c r="G40" i="56"/>
  <c r="O118" i="52"/>
  <c r="O26" i="52"/>
  <c r="O25" i="52" s="1"/>
  <c r="O47" i="52" s="1"/>
  <c r="N32" i="36"/>
  <c r="N46" i="52"/>
  <c r="N25" i="52"/>
  <c r="F84" i="36"/>
  <c r="F79" i="36"/>
  <c r="F42" i="36"/>
  <c r="F46" i="36" s="1"/>
  <c r="F13" i="71" s="1"/>
  <c r="P37" i="36"/>
  <c r="Q37" i="36"/>
  <c r="V107" i="52"/>
  <c r="V108" i="52" s="1"/>
  <c r="I20" i="35" s="1"/>
  <c r="H19" i="57"/>
  <c r="H17" i="57"/>
  <c r="P46" i="52"/>
  <c r="P25" i="52"/>
  <c r="P47" i="52" s="1"/>
  <c r="H64" i="55"/>
  <c r="L39" i="9"/>
  <c r="I64" i="55" s="1"/>
  <c r="S103" i="52"/>
  <c r="S53" i="52"/>
  <c r="V31" i="52"/>
  <c r="H94" i="35"/>
  <c r="H45" i="35"/>
  <c r="H64" i="36"/>
  <c r="O46" i="52"/>
  <c r="K87" i="35"/>
  <c r="K38" i="35"/>
  <c r="U11" i="36"/>
  <c r="P32" i="36"/>
  <c r="Q32" i="36"/>
  <c r="AC38" i="44"/>
  <c r="V111" i="52"/>
  <c r="V112" i="52" s="1"/>
  <c r="I22" i="35" s="1"/>
  <c r="U46" i="52"/>
  <c r="Q32" i="52"/>
  <c r="Q53" i="52"/>
  <c r="K7" i="35"/>
  <c r="I82" i="35"/>
  <c r="J7" i="35"/>
  <c r="I33" i="35"/>
  <c r="S6" i="36"/>
  <c r="I6" i="36" s="1"/>
  <c r="H47" i="35"/>
  <c r="H96" i="35"/>
  <c r="H66" i="36"/>
  <c r="E84" i="36"/>
  <c r="O37" i="36"/>
  <c r="E79" i="36"/>
  <c r="E42" i="36"/>
  <c r="E46" i="36" s="1"/>
  <c r="E13" i="71" s="1"/>
  <c r="J85" i="35"/>
  <c r="J36" i="35"/>
  <c r="T9" i="36"/>
  <c r="J9" i="36" s="1"/>
  <c r="M49" i="55"/>
  <c r="M55" i="55" s="1"/>
  <c r="C41" i="55"/>
  <c r="M37" i="55"/>
  <c r="M54" i="55" s="1"/>
  <c r="D51" i="9"/>
  <c r="D29" i="36"/>
  <c r="N29" i="36" s="1"/>
  <c r="N27" i="36"/>
  <c r="D70" i="36"/>
  <c r="F51" i="9"/>
  <c r="F70" i="36"/>
  <c r="F29" i="36"/>
  <c r="P27" i="36"/>
  <c r="Q27" i="36"/>
  <c r="V105" i="52"/>
  <c r="U118" i="52"/>
  <c r="U26" i="52"/>
  <c r="H44" i="35"/>
  <c r="H93" i="35"/>
  <c r="H63" i="36"/>
  <c r="K85" i="35"/>
  <c r="K36" i="35"/>
  <c r="U9" i="36"/>
  <c r="V109" i="52"/>
  <c r="V110" i="52" s="1"/>
  <c r="I21" i="35" s="1"/>
  <c r="Q5" i="36"/>
  <c r="H5" i="36"/>
  <c r="H95" i="35"/>
  <c r="H46" i="35"/>
  <c r="H65" i="36"/>
  <c r="C45" i="67" l="1"/>
  <c r="C47" i="67" s="1"/>
  <c r="C49" i="67" s="1"/>
  <c r="C50" i="67" s="1"/>
  <c r="H26" i="77"/>
  <c r="H15" i="76"/>
  <c r="H76" i="77"/>
  <c r="D22" i="76"/>
  <c r="D39" i="76"/>
  <c r="H22" i="76"/>
  <c r="H29" i="76"/>
  <c r="H39" i="76"/>
  <c r="D76" i="77"/>
  <c r="D15" i="76"/>
  <c r="D24" i="76" s="1"/>
  <c r="D59" i="76" s="1"/>
  <c r="D62" i="76" s="1"/>
  <c r="H30" i="76"/>
  <c r="H23" i="76"/>
  <c r="H38" i="76"/>
  <c r="G23" i="76"/>
  <c r="G38" i="76"/>
  <c r="F16" i="71" s="1"/>
  <c r="G30" i="76"/>
  <c r="F30" i="76"/>
  <c r="F23" i="76"/>
  <c r="F38" i="76"/>
  <c r="E16" i="71" s="1"/>
  <c r="G26" i="77"/>
  <c r="G76" i="77"/>
  <c r="G15" i="76"/>
  <c r="E29" i="76"/>
  <c r="E22" i="76"/>
  <c r="E39" i="76"/>
  <c r="D23" i="76"/>
  <c r="D38" i="76"/>
  <c r="C16" i="71" s="1"/>
  <c r="E19" i="57"/>
  <c r="E25" i="57" s="1"/>
  <c r="D65" i="76" s="1"/>
  <c r="E17" i="57"/>
  <c r="E15" i="76"/>
  <c r="E76" i="77"/>
  <c r="F22" i="76"/>
  <c r="F29" i="76"/>
  <c r="F39" i="76"/>
  <c r="G22" i="76"/>
  <c r="G29" i="76"/>
  <c r="G39" i="76"/>
  <c r="E23" i="76"/>
  <c r="E30" i="76"/>
  <c r="E38" i="76"/>
  <c r="D16" i="71" s="1"/>
  <c r="F15" i="76"/>
  <c r="F76" i="77"/>
  <c r="F26" i="77"/>
  <c r="F34" i="76" s="1"/>
  <c r="E14" i="71" s="1"/>
  <c r="I16" i="57"/>
  <c r="H25" i="57"/>
  <c r="G65" i="76" s="1"/>
  <c r="I7" i="71"/>
  <c r="I8" i="71" s="1"/>
  <c r="J7" i="77"/>
  <c r="G86" i="36"/>
  <c r="G10" i="44"/>
  <c r="G43" i="36"/>
  <c r="N10" i="55"/>
  <c r="G52" i="9"/>
  <c r="G53" i="9"/>
  <c r="K9" i="36"/>
  <c r="P28" i="56"/>
  <c r="P31" i="56" s="1"/>
  <c r="P19" i="56"/>
  <c r="I13" i="36"/>
  <c r="K11" i="36"/>
  <c r="K22" i="35"/>
  <c r="J22" i="35"/>
  <c r="I47" i="35"/>
  <c r="I96" i="35"/>
  <c r="I66" i="36"/>
  <c r="V53" i="52"/>
  <c r="V32" i="52"/>
  <c r="V100" i="52"/>
  <c r="V102" i="52"/>
  <c r="V103" i="52" s="1"/>
  <c r="I17" i="35" s="1"/>
  <c r="S46" i="52"/>
  <c r="L12" i="36"/>
  <c r="R120" i="52"/>
  <c r="R119" i="52"/>
  <c r="AD56" i="44"/>
  <c r="O29" i="36"/>
  <c r="Q25" i="52"/>
  <c r="Q47" i="52" s="1"/>
  <c r="N47" i="52"/>
  <c r="J82" i="35"/>
  <c r="J33" i="35"/>
  <c r="T6" i="36"/>
  <c r="J6" i="36" s="1"/>
  <c r="AD38" i="44"/>
  <c r="D10" i="44"/>
  <c r="D86" i="36"/>
  <c r="D43" i="36"/>
  <c r="N42" i="36"/>
  <c r="T48" i="52"/>
  <c r="T27" i="52"/>
  <c r="E52" i="9"/>
  <c r="E53" i="9"/>
  <c r="L10" i="36"/>
  <c r="P29" i="36"/>
  <c r="Q29" i="36"/>
  <c r="I94" i="35"/>
  <c r="K20" i="35"/>
  <c r="I45" i="35"/>
  <c r="J20" i="35"/>
  <c r="I64" i="36"/>
  <c r="C10" i="44"/>
  <c r="C86" i="36"/>
  <c r="C43" i="36"/>
  <c r="N34" i="56"/>
  <c r="N39" i="56" s="1"/>
  <c r="N41" i="56" s="1"/>
  <c r="T120" i="52"/>
  <c r="T119" i="52"/>
  <c r="Q30" i="56"/>
  <c r="D52" i="9"/>
  <c r="D53" i="9"/>
  <c r="R5" i="36"/>
  <c r="I5" i="36"/>
  <c r="K8" i="36"/>
  <c r="G63" i="56"/>
  <c r="F65" i="56"/>
  <c r="F66" i="56" s="1"/>
  <c r="F41" i="56" s="1"/>
  <c r="F28" i="56" s="1"/>
  <c r="F34" i="56" s="1"/>
  <c r="O33" i="56" s="1"/>
  <c r="O34" i="56" s="1"/>
  <c r="O39" i="56" s="1"/>
  <c r="O41" i="56" s="1"/>
  <c r="B37" i="57"/>
  <c r="O28" i="57"/>
  <c r="L34" i="57"/>
  <c r="N116" i="52"/>
  <c r="N113" i="52"/>
  <c r="I55" i="56"/>
  <c r="R20" i="56" s="1"/>
  <c r="I49" i="56"/>
  <c r="I39" i="56"/>
  <c r="I14" i="56"/>
  <c r="R29" i="56"/>
  <c r="I20" i="56"/>
  <c r="I15" i="56"/>
  <c r="I10" i="56"/>
  <c r="I9" i="56"/>
  <c r="I54" i="56"/>
  <c r="I38" i="56"/>
  <c r="R36" i="56" s="1"/>
  <c r="I11" i="56"/>
  <c r="I31" i="56"/>
  <c r="I12" i="56"/>
  <c r="I48" i="56"/>
  <c r="I27" i="56"/>
  <c r="I50" i="56"/>
  <c r="I37" i="56"/>
  <c r="I32" i="56"/>
  <c r="I56" i="56"/>
  <c r="I19" i="56"/>
  <c r="I33" i="56"/>
  <c r="I46" i="56"/>
  <c r="I53" i="56"/>
  <c r="I47" i="56"/>
  <c r="I30" i="56"/>
  <c r="I45" i="56"/>
  <c r="I29" i="56"/>
  <c r="I64" i="56"/>
  <c r="H13" i="56"/>
  <c r="H16" i="56" s="1"/>
  <c r="L7" i="36"/>
  <c r="U48" i="52"/>
  <c r="U27" i="52"/>
  <c r="O48" i="52"/>
  <c r="O27" i="52"/>
  <c r="Q26" i="52"/>
  <c r="N27" i="52"/>
  <c r="N48" i="52"/>
  <c r="E8" i="55"/>
  <c r="H27" i="44"/>
  <c r="J64" i="77" s="1"/>
  <c r="H80" i="44"/>
  <c r="H71" i="44"/>
  <c r="H61" i="44"/>
  <c r="H16" i="9"/>
  <c r="J40" i="77" s="1"/>
  <c r="H25" i="9"/>
  <c r="H11" i="9"/>
  <c r="J36" i="77" s="1"/>
  <c r="Z28" i="44"/>
  <c r="Z30" i="44" s="1"/>
  <c r="H29" i="9"/>
  <c r="H31" i="9"/>
  <c r="H9" i="9"/>
  <c r="H24" i="9"/>
  <c r="H17" i="9"/>
  <c r="J41" i="77" s="1"/>
  <c r="H22" i="36"/>
  <c r="J13" i="77" s="1"/>
  <c r="J11" i="76" s="1"/>
  <c r="H34" i="36"/>
  <c r="H8" i="9"/>
  <c r="H23" i="36"/>
  <c r="H36" i="36"/>
  <c r="H20" i="36"/>
  <c r="J11" i="77" s="1"/>
  <c r="J9" i="76" s="1"/>
  <c r="R13" i="36"/>
  <c r="H21" i="36"/>
  <c r="H40" i="36"/>
  <c r="K7" i="57"/>
  <c r="H51" i="36"/>
  <c r="Z55" i="44"/>
  <c r="H52" i="36"/>
  <c r="H54" i="36"/>
  <c r="H55" i="36"/>
  <c r="H56" i="36"/>
  <c r="H53" i="36"/>
  <c r="F52" i="9"/>
  <c r="F53" i="9"/>
  <c r="F43" i="36"/>
  <c r="F86" i="36"/>
  <c r="F10" i="44"/>
  <c r="P42" i="36"/>
  <c r="Q42" i="36"/>
  <c r="O119" i="52"/>
  <c r="O120" i="52"/>
  <c r="O115" i="52"/>
  <c r="V24" i="52"/>
  <c r="V46" i="52" s="1"/>
  <c r="P48" i="52"/>
  <c r="P27" i="52"/>
  <c r="N119" i="52"/>
  <c r="N120" i="52"/>
  <c r="Q103" i="52"/>
  <c r="H17" i="35" s="1"/>
  <c r="R48" i="52"/>
  <c r="R27" i="52"/>
  <c r="H50" i="36"/>
  <c r="C52" i="9"/>
  <c r="C53" i="9"/>
  <c r="T25" i="52"/>
  <c r="T47" i="52" s="1"/>
  <c r="K82" i="35"/>
  <c r="K33" i="35"/>
  <c r="U6" i="36"/>
  <c r="J21" i="35"/>
  <c r="I95" i="35"/>
  <c r="I46" i="35"/>
  <c r="K21" i="35"/>
  <c r="I65" i="36"/>
  <c r="U119" i="52"/>
  <c r="U120" i="52"/>
  <c r="U115" i="52"/>
  <c r="V106" i="52"/>
  <c r="I19" i="35" s="1"/>
  <c r="E10" i="44"/>
  <c r="E86" i="36"/>
  <c r="E43" i="36"/>
  <c r="O42" i="36"/>
  <c r="U25" i="52"/>
  <c r="U47" i="52" s="1"/>
  <c r="Q37" i="56"/>
  <c r="R47" i="52"/>
  <c r="P119" i="52"/>
  <c r="P120" i="52"/>
  <c r="P115" i="52"/>
  <c r="S118" i="52"/>
  <c r="S26" i="52"/>
  <c r="V26" i="52" s="1"/>
  <c r="D18" i="55"/>
  <c r="C16" i="55"/>
  <c r="V35" i="52"/>
  <c r="R115" i="52"/>
  <c r="H40" i="56"/>
  <c r="T115" i="52"/>
  <c r="I19" i="57" l="1"/>
  <c r="G24" i="76"/>
  <c r="G59" i="76" s="1"/>
  <c r="G62" i="76" s="1"/>
  <c r="G31" i="76"/>
  <c r="G32" i="76"/>
  <c r="G34" i="76"/>
  <c r="F14" i="71" s="1"/>
  <c r="N5" i="67"/>
  <c r="G16" i="71"/>
  <c r="E31" i="76"/>
  <c r="E24" i="76"/>
  <c r="E59" i="76" s="1"/>
  <c r="E62" i="76" s="1"/>
  <c r="F24" i="76"/>
  <c r="F59" i="76" s="1"/>
  <c r="F62" i="76" s="1"/>
  <c r="F31" i="76"/>
  <c r="H31" i="76"/>
  <c r="H24" i="76"/>
  <c r="H59" i="76" s="1"/>
  <c r="H62" i="76" s="1"/>
  <c r="H32" i="76"/>
  <c r="H34" i="76"/>
  <c r="G14" i="71" s="1"/>
  <c r="C24" i="44"/>
  <c r="D60" i="77"/>
  <c r="D62" i="77" s="1"/>
  <c r="D24" i="44"/>
  <c r="E60" i="77"/>
  <c r="E62" i="77" s="1"/>
  <c r="E24" i="44"/>
  <c r="F60" i="77"/>
  <c r="F62" i="77" s="1"/>
  <c r="G24" i="44"/>
  <c r="G44" i="44" s="1"/>
  <c r="H60" i="77"/>
  <c r="H62" i="77" s="1"/>
  <c r="F24" i="44"/>
  <c r="G60" i="77"/>
  <c r="G62" i="77" s="1"/>
  <c r="J44" i="76"/>
  <c r="J45" i="76" s="1"/>
  <c r="K7" i="77"/>
  <c r="K7" i="76" s="1"/>
  <c r="R36" i="36"/>
  <c r="J18" i="77"/>
  <c r="R23" i="36"/>
  <c r="J34" i="77"/>
  <c r="R40" i="36"/>
  <c r="J22" i="77"/>
  <c r="R21" i="36"/>
  <c r="J12" i="77"/>
  <c r="J10" i="76" s="1"/>
  <c r="J7" i="76"/>
  <c r="J47" i="77"/>
  <c r="I50" i="36"/>
  <c r="J7" i="71"/>
  <c r="J8" i="71" s="1"/>
  <c r="N43" i="36"/>
  <c r="O43" i="36"/>
  <c r="V48" i="52"/>
  <c r="V27" i="52"/>
  <c r="M42" i="55"/>
  <c r="M43" i="55"/>
  <c r="M53" i="55" s="1"/>
  <c r="M56" i="55" s="1"/>
  <c r="M44" i="55"/>
  <c r="C18" i="55"/>
  <c r="M18" i="55"/>
  <c r="N8" i="55"/>
  <c r="H14" i="35"/>
  <c r="E30" i="55"/>
  <c r="N30" i="55" s="1"/>
  <c r="N31" i="55" s="1"/>
  <c r="H18" i="44"/>
  <c r="I13" i="56"/>
  <c r="I16" i="56" s="1"/>
  <c r="L8" i="36"/>
  <c r="J45" i="35"/>
  <c r="J94" i="35"/>
  <c r="J64" i="36"/>
  <c r="U116" i="52"/>
  <c r="U113" i="52"/>
  <c r="U114" i="52" s="1"/>
  <c r="S48" i="52"/>
  <c r="S27" i="52"/>
  <c r="P43" i="36"/>
  <c r="Q43" i="36"/>
  <c r="E11" i="55"/>
  <c r="H13" i="44"/>
  <c r="H38" i="44" s="1"/>
  <c r="R20" i="36"/>
  <c r="R22" i="36"/>
  <c r="N114" i="52"/>
  <c r="J13" i="36"/>
  <c r="K6" i="36"/>
  <c r="E39" i="55"/>
  <c r="H28" i="44"/>
  <c r="Q48" i="52"/>
  <c r="Q27" i="52"/>
  <c r="H17" i="56"/>
  <c r="H18" i="56" s="1"/>
  <c r="S5" i="36"/>
  <c r="J5" i="36"/>
  <c r="K45" i="35"/>
  <c r="K94" i="35"/>
  <c r="K64" i="36"/>
  <c r="R30" i="56"/>
  <c r="R37" i="56" s="1"/>
  <c r="D44" i="44"/>
  <c r="D86" i="44"/>
  <c r="T113" i="52"/>
  <c r="T114" i="52" s="1"/>
  <c r="T116" i="52"/>
  <c r="H30" i="44"/>
  <c r="P116" i="52"/>
  <c r="P113" i="52"/>
  <c r="P114" i="52" s="1"/>
  <c r="H91" i="35"/>
  <c r="H42" i="35"/>
  <c r="H61" i="36"/>
  <c r="E46" i="55"/>
  <c r="H22" i="44"/>
  <c r="H12" i="44"/>
  <c r="H84" i="44" s="1"/>
  <c r="H77" i="44"/>
  <c r="H67" i="44" s="1"/>
  <c r="H28" i="36"/>
  <c r="F8" i="55"/>
  <c r="I80" i="44"/>
  <c r="AA28" i="44"/>
  <c r="AA30" i="44" s="1"/>
  <c r="AA48" i="44" s="1"/>
  <c r="I24" i="9"/>
  <c r="I31" i="9"/>
  <c r="I8" i="9"/>
  <c r="I29" i="9"/>
  <c r="I9" i="9"/>
  <c r="I17" i="9"/>
  <c r="K41" i="77" s="1"/>
  <c r="I22" i="36"/>
  <c r="K13" i="77" s="1"/>
  <c r="K11" i="76" s="1"/>
  <c r="I34" i="36"/>
  <c r="I23" i="36"/>
  <c r="I11" i="9"/>
  <c r="K36" i="77" s="1"/>
  <c r="I25" i="9"/>
  <c r="I40" i="36"/>
  <c r="S13" i="36"/>
  <c r="I21" i="36"/>
  <c r="I16" i="9"/>
  <c r="I36" i="36"/>
  <c r="L7" i="57"/>
  <c r="I27" i="44"/>
  <c r="K64" i="77" s="1"/>
  <c r="I61" i="44"/>
  <c r="I71" i="44"/>
  <c r="AA55" i="44"/>
  <c r="I51" i="36"/>
  <c r="I56" i="36"/>
  <c r="I54" i="36"/>
  <c r="I52" i="36"/>
  <c r="I55" i="36"/>
  <c r="I53" i="36"/>
  <c r="O116" i="52"/>
  <c r="O113" i="52"/>
  <c r="O114" i="52" s="1"/>
  <c r="K95" i="35"/>
  <c r="K46" i="35"/>
  <c r="K65" i="36"/>
  <c r="E29" i="55"/>
  <c r="H29" i="44"/>
  <c r="H65" i="44"/>
  <c r="E44" i="44"/>
  <c r="E86" i="44"/>
  <c r="K8" i="57"/>
  <c r="S25" i="52"/>
  <c r="J96" i="35"/>
  <c r="J47" i="35"/>
  <c r="J66" i="36"/>
  <c r="E27" i="55"/>
  <c r="H46" i="9"/>
  <c r="H45" i="44"/>
  <c r="E54" i="55"/>
  <c r="K22" i="57"/>
  <c r="I40" i="56"/>
  <c r="C86" i="44"/>
  <c r="C44" i="44"/>
  <c r="C49" i="44" s="1"/>
  <c r="C51" i="44" s="1"/>
  <c r="C53" i="44" s="1"/>
  <c r="I91" i="35"/>
  <c r="K17" i="35"/>
  <c r="I42" i="35"/>
  <c r="J17" i="35"/>
  <c r="I61" i="36"/>
  <c r="K96" i="35"/>
  <c r="K47" i="35"/>
  <c r="K66" i="36"/>
  <c r="L9" i="36"/>
  <c r="S120" i="52"/>
  <c r="S119" i="52"/>
  <c r="S115" i="52"/>
  <c r="R113" i="52"/>
  <c r="R116" i="52"/>
  <c r="V118" i="52"/>
  <c r="V36" i="52"/>
  <c r="K19" i="35"/>
  <c r="J19" i="35"/>
  <c r="I93" i="35"/>
  <c r="I44" i="35"/>
  <c r="I63" i="36"/>
  <c r="O10" i="55" s="1"/>
  <c r="J95" i="35"/>
  <c r="J46" i="35"/>
  <c r="J65" i="36"/>
  <c r="H57" i="36"/>
  <c r="F86" i="44"/>
  <c r="F44" i="44"/>
  <c r="E14" i="55"/>
  <c r="H73" i="9"/>
  <c r="R34" i="36"/>
  <c r="Z48" i="44"/>
  <c r="Z49" i="44" s="1"/>
  <c r="G65" i="56"/>
  <c r="G66" i="56" s="1"/>
  <c r="G41" i="56" s="1"/>
  <c r="G28" i="56" s="1"/>
  <c r="G34" i="56" s="1"/>
  <c r="P33" i="56" s="1"/>
  <c r="P34" i="56" s="1"/>
  <c r="P39" i="56" s="1"/>
  <c r="P41" i="56" s="1"/>
  <c r="L11" i="36"/>
  <c r="AD42" i="36" l="1" a="1"/>
  <c r="AD50" i="36" s="1"/>
  <c r="H73" i="77"/>
  <c r="H16" i="76" s="1"/>
  <c r="H70" i="77"/>
  <c r="H71" i="77" s="1"/>
  <c r="G18" i="71"/>
  <c r="G86" i="44"/>
  <c r="D18" i="71"/>
  <c r="E70" i="77"/>
  <c r="E71" i="77" s="1"/>
  <c r="E73" i="77"/>
  <c r="E16" i="76" s="1"/>
  <c r="E25" i="76" s="1"/>
  <c r="E18" i="71"/>
  <c r="F73" i="77"/>
  <c r="F16" i="76" s="1"/>
  <c r="F70" i="77"/>
  <c r="F71" i="77" s="1"/>
  <c r="G73" i="77"/>
  <c r="G16" i="76" s="1"/>
  <c r="G70" i="77"/>
  <c r="G71" i="77" s="1"/>
  <c r="F18" i="71"/>
  <c r="D70" i="77"/>
  <c r="D71" i="77" s="1"/>
  <c r="D78" i="77" s="1"/>
  <c r="C18" i="71"/>
  <c r="D73" i="77"/>
  <c r="D16" i="76" s="1"/>
  <c r="D25" i="76" s="1"/>
  <c r="K44" i="76"/>
  <c r="K45" i="76" s="1"/>
  <c r="K35" i="76"/>
  <c r="J15" i="71" s="1"/>
  <c r="K28" i="76"/>
  <c r="J28" i="76"/>
  <c r="J35" i="76"/>
  <c r="I15" i="71" s="1"/>
  <c r="K47" i="77"/>
  <c r="H15" i="9"/>
  <c r="E38" i="55" s="1"/>
  <c r="S23" i="36"/>
  <c r="S21" i="36"/>
  <c r="K12" i="77"/>
  <c r="K10" i="76" s="1"/>
  <c r="I28" i="44"/>
  <c r="K40" i="77"/>
  <c r="H32" i="44"/>
  <c r="J65" i="77"/>
  <c r="J66" i="77" s="1"/>
  <c r="S36" i="36"/>
  <c r="K18" i="77"/>
  <c r="S40" i="36"/>
  <c r="K22" i="77"/>
  <c r="K34" i="77"/>
  <c r="K7" i="71"/>
  <c r="K8" i="71" s="1"/>
  <c r="L7" i="77"/>
  <c r="H59" i="36"/>
  <c r="N9" i="55" s="1"/>
  <c r="I20" i="36"/>
  <c r="G46" i="44"/>
  <c r="G49" i="44"/>
  <c r="G51" i="44" s="1"/>
  <c r="I57" i="36"/>
  <c r="I59" i="36" s="1"/>
  <c r="I15" i="36" s="1"/>
  <c r="K8" i="77" s="1"/>
  <c r="K9" i="77" s="1"/>
  <c r="Q28" i="56"/>
  <c r="Q31" i="56" s="1"/>
  <c r="Q19" i="56"/>
  <c r="H63" i="56"/>
  <c r="L22" i="57"/>
  <c r="F29" i="55"/>
  <c r="H71" i="36"/>
  <c r="R28" i="36"/>
  <c r="K15" i="57"/>
  <c r="K21" i="57" s="1"/>
  <c r="T5" i="36"/>
  <c r="K5" i="36"/>
  <c r="F54" i="55"/>
  <c r="L6" i="36"/>
  <c r="K13" i="36"/>
  <c r="I17" i="56"/>
  <c r="I18" i="56"/>
  <c r="F30" i="55"/>
  <c r="O30" i="55" s="1"/>
  <c r="O31" i="55" s="1"/>
  <c r="F27" i="55"/>
  <c r="I45" i="44"/>
  <c r="I46" i="9"/>
  <c r="D49" i="44"/>
  <c r="D51" i="44" s="1"/>
  <c r="D53" i="44" s="1"/>
  <c r="D46" i="44"/>
  <c r="G8" i="55"/>
  <c r="J80" i="44"/>
  <c r="AB28" i="44"/>
  <c r="AB30" i="44" s="1"/>
  <c r="J25" i="9"/>
  <c r="J11" i="9"/>
  <c r="L36" i="77" s="1"/>
  <c r="J9" i="9"/>
  <c r="J29" i="44" s="1"/>
  <c r="J17" i="9"/>
  <c r="L41" i="77" s="1"/>
  <c r="J24" i="9"/>
  <c r="J34" i="36"/>
  <c r="J23" i="36"/>
  <c r="J8" i="9"/>
  <c r="J29" i="9"/>
  <c r="J16" i="9"/>
  <c r="J22" i="36"/>
  <c r="L13" i="77" s="1"/>
  <c r="L11" i="76" s="1"/>
  <c r="T13" i="36"/>
  <c r="J21" i="36"/>
  <c r="J36" i="36"/>
  <c r="J40" i="36"/>
  <c r="M7" i="57"/>
  <c r="J31" i="9"/>
  <c r="J61" i="44"/>
  <c r="J27" i="44"/>
  <c r="L64" i="77" s="1"/>
  <c r="J71" i="44"/>
  <c r="J51" i="36"/>
  <c r="J54" i="36"/>
  <c r="AB55" i="44"/>
  <c r="J56" i="36"/>
  <c r="J53" i="36"/>
  <c r="J52" i="36"/>
  <c r="J55" i="36"/>
  <c r="I18" i="44"/>
  <c r="E49" i="44"/>
  <c r="E51" i="44" s="1"/>
  <c r="E53" i="44" s="1"/>
  <c r="E46" i="44"/>
  <c r="R114" i="52"/>
  <c r="S47" i="52"/>
  <c r="V25" i="52"/>
  <c r="V47" i="52" s="1"/>
  <c r="H68" i="44"/>
  <c r="H69" i="44" s="1"/>
  <c r="J50" i="36"/>
  <c r="F49" i="44"/>
  <c r="F51" i="44" s="1"/>
  <c r="F53" i="44" s="1"/>
  <c r="F46" i="44"/>
  <c r="J91" i="35"/>
  <c r="J42" i="35"/>
  <c r="J61" i="36"/>
  <c r="J93" i="35"/>
  <c r="J44" i="35"/>
  <c r="J63" i="36"/>
  <c r="P10" i="55" s="1"/>
  <c r="K93" i="35"/>
  <c r="K44" i="35"/>
  <c r="K63" i="36"/>
  <c r="Q10" i="55" s="1"/>
  <c r="K91" i="35"/>
  <c r="K42" i="35"/>
  <c r="K61" i="36"/>
  <c r="I29" i="44"/>
  <c r="F39" i="55"/>
  <c r="F14" i="55"/>
  <c r="I73" i="9"/>
  <c r="S34" i="36"/>
  <c r="F46" i="55"/>
  <c r="I22" i="44"/>
  <c r="I30" i="44"/>
  <c r="Q113" i="52"/>
  <c r="I65" i="44"/>
  <c r="L8" i="57"/>
  <c r="S113" i="52"/>
  <c r="S114" i="52" s="1"/>
  <c r="S116" i="52"/>
  <c r="AA49" i="44"/>
  <c r="V119" i="52"/>
  <c r="V120" i="52"/>
  <c r="I12" i="44"/>
  <c r="I77" i="44"/>
  <c r="I67" i="44" s="1"/>
  <c r="I28" i="36"/>
  <c r="O8" i="55"/>
  <c r="I14" i="35"/>
  <c r="S22" i="36"/>
  <c r="O18" i="55"/>
  <c r="N18" i="55"/>
  <c r="Q18" i="55"/>
  <c r="P18" i="55"/>
  <c r="V113" i="52" l="1"/>
  <c r="AD45" i="36"/>
  <c r="AD49" i="36"/>
  <c r="AD47" i="36"/>
  <c r="AD44" i="36"/>
  <c r="AD51" i="36"/>
  <c r="AD48" i="36"/>
  <c r="AD46" i="36"/>
  <c r="AD42" i="36"/>
  <c r="AD43" i="36"/>
  <c r="E78" i="77"/>
  <c r="N16" i="55"/>
  <c r="G78" i="77"/>
  <c r="G25" i="76"/>
  <c r="G37" i="76"/>
  <c r="G40" i="76"/>
  <c r="F17" i="71" s="1"/>
  <c r="F78" i="77"/>
  <c r="H78" i="77"/>
  <c r="F25" i="76"/>
  <c r="F40" i="76"/>
  <c r="E17" i="71" s="1"/>
  <c r="F37" i="76"/>
  <c r="H25" i="76"/>
  <c r="H40" i="76"/>
  <c r="G17" i="71" s="1"/>
  <c r="H37" i="76"/>
  <c r="H18" i="9"/>
  <c r="I84" i="44"/>
  <c r="L47" i="77"/>
  <c r="L44" i="76"/>
  <c r="L45" i="76" s="1"/>
  <c r="J39" i="77"/>
  <c r="J52" i="76"/>
  <c r="L7" i="71"/>
  <c r="L8" i="71" s="1"/>
  <c r="M7" i="77"/>
  <c r="K65" i="77"/>
  <c r="K66" i="77" s="1"/>
  <c r="K8" i="76"/>
  <c r="K21" i="76" s="1"/>
  <c r="T36" i="36"/>
  <c r="L18" i="77"/>
  <c r="S20" i="36"/>
  <c r="K11" i="77"/>
  <c r="K9" i="76" s="1"/>
  <c r="J28" i="44"/>
  <c r="L40" i="77"/>
  <c r="H15" i="36"/>
  <c r="J8" i="77" s="1"/>
  <c r="J9" i="77" s="1"/>
  <c r="I13" i="44"/>
  <c r="I38" i="44" s="1"/>
  <c r="L34" i="77"/>
  <c r="L7" i="76"/>
  <c r="T21" i="36"/>
  <c r="L12" i="77"/>
  <c r="L10" i="76" s="1"/>
  <c r="F11" i="55"/>
  <c r="T40" i="36"/>
  <c r="L22" i="77"/>
  <c r="T23" i="36"/>
  <c r="O9" i="55"/>
  <c r="I32" i="44"/>
  <c r="J20" i="36"/>
  <c r="G53" i="44"/>
  <c r="H7" i="44"/>
  <c r="J58" i="77" s="1"/>
  <c r="G30" i="55"/>
  <c r="P30" i="55" s="1"/>
  <c r="P31" i="55" s="1"/>
  <c r="I15" i="9"/>
  <c r="K52" i="76" s="1"/>
  <c r="G27" i="55"/>
  <c r="J46" i="9"/>
  <c r="J45" i="44"/>
  <c r="AB48" i="44"/>
  <c r="H8" i="55"/>
  <c r="K80" i="44"/>
  <c r="K31" i="9"/>
  <c r="K8" i="9"/>
  <c r="K29" i="9"/>
  <c r="AC28" i="44"/>
  <c r="AC30" i="44" s="1"/>
  <c r="AC48" i="44" s="1"/>
  <c r="K17" i="9"/>
  <c r="M41" i="77" s="1"/>
  <c r="K27" i="44"/>
  <c r="M64" i="77" s="1"/>
  <c r="K23" i="36"/>
  <c r="K11" i="9"/>
  <c r="M36" i="77" s="1"/>
  <c r="K20" i="36"/>
  <c r="M11" i="77" s="1"/>
  <c r="M9" i="76" s="1"/>
  <c r="K36" i="36"/>
  <c r="K24" i="9"/>
  <c r="K22" i="36"/>
  <c r="M13" i="77" s="1"/>
  <c r="M11" i="76" s="1"/>
  <c r="U13" i="36"/>
  <c r="K21" i="36"/>
  <c r="K34" i="36"/>
  <c r="K9" i="9"/>
  <c r="K29" i="44" s="1"/>
  <c r="K25" i="9"/>
  <c r="N7" i="57"/>
  <c r="K40" i="36"/>
  <c r="K16" i="9"/>
  <c r="K71" i="44"/>
  <c r="K61" i="44"/>
  <c r="AC55" i="44"/>
  <c r="K54" i="36"/>
  <c r="K56" i="36"/>
  <c r="K51" i="36"/>
  <c r="K55" i="36"/>
  <c r="K52" i="36"/>
  <c r="K53" i="36"/>
  <c r="AB49" i="44"/>
  <c r="Q114" i="52"/>
  <c r="H23" i="35" s="1"/>
  <c r="Q115" i="52"/>
  <c r="M22" i="57"/>
  <c r="J18" i="44"/>
  <c r="L13" i="36"/>
  <c r="AC6" i="36" s="1" a="1"/>
  <c r="E40" i="55"/>
  <c r="N15" i="55"/>
  <c r="N38" i="55"/>
  <c r="F9" i="55"/>
  <c r="I10" i="9"/>
  <c r="I23" i="9"/>
  <c r="S15" i="36"/>
  <c r="L9" i="57"/>
  <c r="L10" i="57" s="1"/>
  <c r="I17" i="36"/>
  <c r="V114" i="52"/>
  <c r="I23" i="35" s="1"/>
  <c r="V115" i="52"/>
  <c r="V116" i="52" s="1"/>
  <c r="J77" i="44"/>
  <c r="J67" i="44" s="1"/>
  <c r="J12" i="44"/>
  <c r="J28" i="36"/>
  <c r="P8" i="55"/>
  <c r="J14" i="35"/>
  <c r="G14" i="55"/>
  <c r="J73" i="9"/>
  <c r="T34" i="36"/>
  <c r="K50" i="36"/>
  <c r="U5" i="36"/>
  <c r="L5" i="36"/>
  <c r="V5" i="36" s="1"/>
  <c r="T22" i="36"/>
  <c r="G46" i="55"/>
  <c r="J22" i="44"/>
  <c r="R19" i="56"/>
  <c r="R28" i="56"/>
  <c r="R31" i="56" s="1"/>
  <c r="I63" i="56"/>
  <c r="I65" i="56" s="1"/>
  <c r="I66" i="56" s="1"/>
  <c r="I41" i="56" s="1"/>
  <c r="I28" i="56" s="1"/>
  <c r="I34" i="56" s="1"/>
  <c r="R33" i="56" s="1"/>
  <c r="H65" i="56"/>
  <c r="H66" i="56" s="1"/>
  <c r="H41" i="56" s="1"/>
  <c r="H28" i="56" s="1"/>
  <c r="H34" i="56" s="1"/>
  <c r="Q33" i="56" s="1"/>
  <c r="I71" i="36"/>
  <c r="S28" i="36"/>
  <c r="L15" i="57"/>
  <c r="L21" i="57" s="1"/>
  <c r="J65" i="44"/>
  <c r="J57" i="36"/>
  <c r="J59" i="36" s="1"/>
  <c r="G39" i="55"/>
  <c r="M8" i="57"/>
  <c r="I68" i="44"/>
  <c r="I69" i="44" s="1"/>
  <c r="G54" i="55"/>
  <c r="G29" i="55"/>
  <c r="J30" i="44"/>
  <c r="AC6" i="36" l="1"/>
  <c r="AC7" i="36"/>
  <c r="AC9" i="36"/>
  <c r="AC13" i="36"/>
  <c r="AC14" i="36"/>
  <c r="AC12" i="36"/>
  <c r="AC10" i="36"/>
  <c r="AC8" i="36"/>
  <c r="AC15" i="36"/>
  <c r="AC11" i="36"/>
  <c r="J32" i="44"/>
  <c r="M44" i="76"/>
  <c r="M45" i="76" s="1"/>
  <c r="N7" i="77"/>
  <c r="N7" i="76" s="1"/>
  <c r="K45" i="77"/>
  <c r="K46" i="76"/>
  <c r="K47" i="76" s="1"/>
  <c r="K35" i="77"/>
  <c r="K37" i="77" s="1"/>
  <c r="K49" i="76"/>
  <c r="K50" i="76" s="1"/>
  <c r="L35" i="76"/>
  <c r="K15" i="71" s="1"/>
  <c r="L28" i="76"/>
  <c r="E9" i="55"/>
  <c r="E10" i="55" s="1"/>
  <c r="U23" i="36"/>
  <c r="H17" i="36"/>
  <c r="R17" i="36" s="1"/>
  <c r="U21" i="36"/>
  <c r="M12" i="77"/>
  <c r="M10" i="76" s="1"/>
  <c r="J13" i="44"/>
  <c r="J38" i="44" s="1"/>
  <c r="L11" i="77"/>
  <c r="L9" i="76" s="1"/>
  <c r="L65" i="77"/>
  <c r="L66" i="77" s="1"/>
  <c r="K9" i="57"/>
  <c r="K10" i="57" s="1"/>
  <c r="K11" i="57" s="1"/>
  <c r="H10" i="9"/>
  <c r="K28" i="44"/>
  <c r="M40" i="77"/>
  <c r="H23" i="9"/>
  <c r="E45" i="55" s="1"/>
  <c r="E50" i="55" s="1"/>
  <c r="U40" i="36"/>
  <c r="M22" i="77"/>
  <c r="M7" i="76"/>
  <c r="J8" i="76"/>
  <c r="J21" i="76" s="1"/>
  <c r="M47" i="77"/>
  <c r="R15" i="36"/>
  <c r="U36" i="36"/>
  <c r="M18" i="77"/>
  <c r="M34" i="77"/>
  <c r="O16" i="55"/>
  <c r="K39" i="77"/>
  <c r="K30" i="44"/>
  <c r="L50" i="36"/>
  <c r="M7" i="71"/>
  <c r="M8" i="71" s="1"/>
  <c r="G11" i="55"/>
  <c r="T20" i="36"/>
  <c r="AC49" i="44"/>
  <c r="H11" i="55"/>
  <c r="U20" i="36"/>
  <c r="K13" i="44"/>
  <c r="K38" i="44" s="1"/>
  <c r="H27" i="55"/>
  <c r="K45" i="44"/>
  <c r="K46" i="9"/>
  <c r="I18" i="36"/>
  <c r="K77" i="44"/>
  <c r="K67" i="44" s="1"/>
  <c r="K12" i="44"/>
  <c r="K28" i="36"/>
  <c r="H29" i="55"/>
  <c r="H30" i="55"/>
  <c r="Q30" i="55" s="1"/>
  <c r="Q31" i="55" s="1"/>
  <c r="I97" i="35"/>
  <c r="I48" i="35"/>
  <c r="K23" i="35"/>
  <c r="J23" i="35"/>
  <c r="I67" i="36"/>
  <c r="H39" i="55"/>
  <c r="I8" i="55"/>
  <c r="AD28" i="44"/>
  <c r="AD30" i="44" s="1"/>
  <c r="AD48" i="44" s="1"/>
  <c r="L80" i="44"/>
  <c r="L71" i="44"/>
  <c r="L25" i="9"/>
  <c r="L11" i="9"/>
  <c r="N44" i="76" s="1"/>
  <c r="N45" i="76" s="1"/>
  <c r="L9" i="9"/>
  <c r="I29" i="55" s="1"/>
  <c r="L61" i="44"/>
  <c r="L27" i="44"/>
  <c r="N64" i="77" s="1"/>
  <c r="L16" i="9"/>
  <c r="N40" i="77" s="1"/>
  <c r="L24" i="9"/>
  <c r="L8" i="9"/>
  <c r="L24" i="36"/>
  <c r="L20" i="36"/>
  <c r="N11" i="77" s="1"/>
  <c r="N9" i="76" s="1"/>
  <c r="L36" i="36"/>
  <c r="L29" i="9"/>
  <c r="L40" i="36"/>
  <c r="L21" i="36"/>
  <c r="AC42" i="36" s="1" a="1"/>
  <c r="L31" i="9"/>
  <c r="L34" i="36"/>
  <c r="L23" i="36"/>
  <c r="V13" i="36"/>
  <c r="L17" i="9"/>
  <c r="N41" i="77" s="1"/>
  <c r="O7" i="57"/>
  <c r="L22" i="36"/>
  <c r="N13" i="77" s="1"/>
  <c r="N11" i="76" s="1"/>
  <c r="AD55" i="44"/>
  <c r="L54" i="36"/>
  <c r="L51" i="36"/>
  <c r="L56" i="36"/>
  <c r="L52" i="36"/>
  <c r="L55" i="36"/>
  <c r="L53" i="36"/>
  <c r="H14" i="55"/>
  <c r="K73" i="9"/>
  <c r="U34" i="36"/>
  <c r="F45" i="55"/>
  <c r="F50" i="55" s="1"/>
  <c r="I26" i="9"/>
  <c r="K43" i="76" s="1"/>
  <c r="Q8" i="55"/>
  <c r="K14" i="35"/>
  <c r="N22" i="57"/>
  <c r="R39" i="56"/>
  <c r="K57" i="36"/>
  <c r="K59" i="36" s="1"/>
  <c r="F31" i="55"/>
  <c r="O35" i="55" s="1"/>
  <c r="O36" i="55" s="1"/>
  <c r="I12" i="9"/>
  <c r="Q116" i="52"/>
  <c r="Q118" i="52"/>
  <c r="N8" i="57"/>
  <c r="U22" i="36"/>
  <c r="F38" i="55"/>
  <c r="J84" i="44"/>
  <c r="I18" i="9"/>
  <c r="J15" i="9"/>
  <c r="K65" i="44"/>
  <c r="F10" i="55"/>
  <c r="H97" i="35"/>
  <c r="H48" i="35"/>
  <c r="H67" i="36"/>
  <c r="H46" i="55"/>
  <c r="K22" i="44"/>
  <c r="K18" i="44"/>
  <c r="L11" i="57"/>
  <c r="R34" i="56"/>
  <c r="Q34" i="56"/>
  <c r="Q39" i="56" s="1"/>
  <c r="Q41" i="56" s="1"/>
  <c r="P9" i="55"/>
  <c r="J15" i="36"/>
  <c r="L8" i="77" s="1"/>
  <c r="L9" i="77" s="1"/>
  <c r="J68" i="44"/>
  <c r="J69" i="44" s="1"/>
  <c r="T28" i="36"/>
  <c r="J71" i="36"/>
  <c r="M15" i="57"/>
  <c r="M21" i="57" s="1"/>
  <c r="H54" i="55"/>
  <c r="AC43" i="36" l="1"/>
  <c r="AC47" i="36"/>
  <c r="AC50" i="36"/>
  <c r="AC51" i="36"/>
  <c r="AC45" i="36"/>
  <c r="AC42" i="36"/>
  <c r="AC49" i="36"/>
  <c r="AC48" i="36"/>
  <c r="AC46" i="36"/>
  <c r="AC44" i="36"/>
  <c r="S17" i="36"/>
  <c r="I21" i="44"/>
  <c r="H21" i="44"/>
  <c r="Y39" i="44" a="1"/>
  <c r="AD43" i="44" s="1"/>
  <c r="K32" i="44"/>
  <c r="K42" i="77"/>
  <c r="N34" i="77"/>
  <c r="J45" i="77"/>
  <c r="J46" i="76"/>
  <c r="J47" i="76" s="1"/>
  <c r="L39" i="77"/>
  <c r="L52" i="76"/>
  <c r="K42" i="76"/>
  <c r="J35" i="77"/>
  <c r="J37" i="77" s="1"/>
  <c r="J42" i="77" s="1"/>
  <c r="J49" i="76"/>
  <c r="J50" i="76" s="1"/>
  <c r="M35" i="76"/>
  <c r="L15" i="71" s="1"/>
  <c r="M28" i="76"/>
  <c r="N35" i="76"/>
  <c r="M15" i="71" s="1"/>
  <c r="N28" i="76"/>
  <c r="H26" i="9"/>
  <c r="J43" i="76" s="1"/>
  <c r="P16" i="55"/>
  <c r="H18" i="36"/>
  <c r="S18" i="36" s="1"/>
  <c r="V36" i="36"/>
  <c r="N18" i="77"/>
  <c r="L8" i="76"/>
  <c r="L21" i="76" s="1"/>
  <c r="I30" i="55"/>
  <c r="R30" i="55" s="1"/>
  <c r="R31" i="55" s="1"/>
  <c r="N36" i="77"/>
  <c r="H12" i="9"/>
  <c r="V40" i="36"/>
  <c r="N22" i="77"/>
  <c r="V23" i="36"/>
  <c r="N14" i="77"/>
  <c r="N12" i="76" s="1"/>
  <c r="I19" i="44"/>
  <c r="N47" i="77"/>
  <c r="H19" i="44"/>
  <c r="V21" i="36"/>
  <c r="N12" i="77"/>
  <c r="N10" i="76" s="1"/>
  <c r="E31" i="55"/>
  <c r="N35" i="55" s="1"/>
  <c r="N36" i="55" s="1"/>
  <c r="M65" i="77"/>
  <c r="M66" i="77" s="1"/>
  <c r="I19" i="9"/>
  <c r="K51" i="76" s="1"/>
  <c r="K60" i="76" s="1"/>
  <c r="L30" i="44"/>
  <c r="L57" i="36"/>
  <c r="L59" i="36" s="1"/>
  <c r="L15" i="36" s="1"/>
  <c r="N8" i="77" s="1"/>
  <c r="N9" i="77" s="1"/>
  <c r="I39" i="55"/>
  <c r="K68" i="44"/>
  <c r="K69" i="44" s="1"/>
  <c r="O32" i="55"/>
  <c r="O33" i="55" s="1"/>
  <c r="N32" i="55"/>
  <c r="N33" i="55" s="1"/>
  <c r="F40" i="55"/>
  <c r="O15" i="55"/>
  <c r="O38" i="55"/>
  <c r="R8" i="55"/>
  <c r="L14" i="35"/>
  <c r="I54" i="55"/>
  <c r="L77" i="44"/>
  <c r="L67" i="44" s="1"/>
  <c r="L12" i="44"/>
  <c r="L28" i="36"/>
  <c r="I24" i="36"/>
  <c r="K14" i="77" s="1"/>
  <c r="O11" i="55"/>
  <c r="O40" i="55"/>
  <c r="J97" i="35"/>
  <c r="J48" i="35"/>
  <c r="J67" i="36"/>
  <c r="K71" i="36"/>
  <c r="U28" i="36"/>
  <c r="N15" i="57"/>
  <c r="N21" i="57" s="1"/>
  <c r="K48" i="35"/>
  <c r="K97" i="35"/>
  <c r="K67" i="36"/>
  <c r="Q9" i="55"/>
  <c r="K15" i="36"/>
  <c r="M8" i="77" s="1"/>
  <c r="M9" i="77" s="1"/>
  <c r="AD49" i="44"/>
  <c r="I11" i="55"/>
  <c r="L13" i="44"/>
  <c r="L38" i="44" s="1"/>
  <c r="V20" i="36"/>
  <c r="L25" i="36"/>
  <c r="R40" i="56"/>
  <c r="R41" i="56" s="1"/>
  <c r="M44" i="56" s="1"/>
  <c r="M46" i="56" s="1"/>
  <c r="M48" i="56" s="1"/>
  <c r="M57" i="56" s="1"/>
  <c r="M59" i="56" s="1"/>
  <c r="M60" i="56" s="1"/>
  <c r="N40" i="55"/>
  <c r="I14" i="55"/>
  <c r="L73" i="9"/>
  <c r="V34" i="36"/>
  <c r="I27" i="55"/>
  <c r="L45" i="44"/>
  <c r="L46" i="9"/>
  <c r="L65" i="44"/>
  <c r="H24" i="36"/>
  <c r="J14" i="77" s="1"/>
  <c r="N11" i="55"/>
  <c r="G38" i="55"/>
  <c r="K84" i="44"/>
  <c r="K15" i="9"/>
  <c r="M52" i="76" s="1"/>
  <c r="J18" i="9"/>
  <c r="I12" i="55"/>
  <c r="V22" i="36"/>
  <c r="I46" i="55"/>
  <c r="L22" i="44"/>
  <c r="L18" i="44"/>
  <c r="G9" i="55"/>
  <c r="J23" i="9"/>
  <c r="J10" i="9"/>
  <c r="T15" i="36"/>
  <c r="M9" i="57"/>
  <c r="M10" i="57" s="1"/>
  <c r="J17" i="36"/>
  <c r="Q120" i="52"/>
  <c r="Q119" i="52"/>
  <c r="O8" i="57"/>
  <c r="P7" i="57"/>
  <c r="L28" i="44"/>
  <c r="O22" i="57"/>
  <c r="L29" i="44"/>
  <c r="K61" i="77" l="1"/>
  <c r="R18" i="36"/>
  <c r="AB41" i="44"/>
  <c r="AC41" i="44" s="1"/>
  <c r="AD41" i="44" s="1"/>
  <c r="AA40" i="44"/>
  <c r="AB40" i="44" s="1"/>
  <c r="AC40" i="44" s="1"/>
  <c r="AD40" i="44" s="1"/>
  <c r="AC42" i="44"/>
  <c r="AD42" i="44" s="1"/>
  <c r="Y39" i="44"/>
  <c r="Z39" i="44" s="1"/>
  <c r="AA39" i="44" s="1"/>
  <c r="J61" i="77"/>
  <c r="L35" i="77"/>
  <c r="L37" i="77" s="1"/>
  <c r="L42" i="77" s="1"/>
  <c r="L49" i="76"/>
  <c r="L50" i="76" s="1"/>
  <c r="H19" i="9"/>
  <c r="J51" i="76" s="1"/>
  <c r="J60" i="76" s="1"/>
  <c r="J42" i="76"/>
  <c r="L45" i="77"/>
  <c r="L46" i="76"/>
  <c r="L47" i="76" s="1"/>
  <c r="K23" i="57"/>
  <c r="R9" i="55"/>
  <c r="N65" i="77"/>
  <c r="N66" i="77" s="1"/>
  <c r="Q16" i="55"/>
  <c r="M39" i="77"/>
  <c r="M8" i="76"/>
  <c r="M21" i="76" s="1"/>
  <c r="L23" i="57"/>
  <c r="K12" i="76"/>
  <c r="K15" i="77"/>
  <c r="K13" i="76" s="1"/>
  <c r="J12" i="76"/>
  <c r="J15" i="77"/>
  <c r="J13" i="76" s="1"/>
  <c r="N15" i="77"/>
  <c r="N13" i="76" s="1"/>
  <c r="N8" i="76"/>
  <c r="N21" i="76" s="1"/>
  <c r="L32" i="44"/>
  <c r="G10" i="55"/>
  <c r="M11" i="57"/>
  <c r="L68" i="36"/>
  <c r="O12" i="57"/>
  <c r="H9" i="55"/>
  <c r="K23" i="9"/>
  <c r="K10" i="9"/>
  <c r="U15" i="36"/>
  <c r="N9" i="57"/>
  <c r="N10" i="57" s="1"/>
  <c r="K17" i="36"/>
  <c r="S24" i="36"/>
  <c r="F12" i="55"/>
  <c r="F13" i="55" s="1"/>
  <c r="I25" i="36"/>
  <c r="G40" i="55"/>
  <c r="P15" i="55"/>
  <c r="P38" i="55"/>
  <c r="L71" i="36"/>
  <c r="V28" i="36"/>
  <c r="O15" i="57"/>
  <c r="O21" i="57" s="1"/>
  <c r="H38" i="55"/>
  <c r="K18" i="9"/>
  <c r="L84" i="44"/>
  <c r="L15" i="9"/>
  <c r="G31" i="55"/>
  <c r="P35" i="55" s="1"/>
  <c r="P36" i="55" s="1"/>
  <c r="J12" i="9"/>
  <c r="J19" i="44"/>
  <c r="Q11" i="55"/>
  <c r="K24" i="36"/>
  <c r="M14" i="77" s="1"/>
  <c r="M12" i="76" s="1"/>
  <c r="P11" i="55"/>
  <c r="J24" i="36"/>
  <c r="L14" i="77" s="1"/>
  <c r="J18" i="36"/>
  <c r="T18" i="36" s="1"/>
  <c r="T17" i="36"/>
  <c r="G45" i="55"/>
  <c r="G50" i="55" s="1"/>
  <c r="J21" i="44"/>
  <c r="J26" i="9"/>
  <c r="L43" i="76" s="1"/>
  <c r="R24" i="36"/>
  <c r="E12" i="55"/>
  <c r="E13" i="55" s="1"/>
  <c r="H25" i="36"/>
  <c r="I9" i="55"/>
  <c r="L23" i="9"/>
  <c r="L10" i="9"/>
  <c r="V15" i="36"/>
  <c r="O9" i="57"/>
  <c r="O10" i="57" s="1"/>
  <c r="L17" i="36"/>
  <c r="L68" i="44"/>
  <c r="L69" i="44" s="1"/>
  <c r="Z44" i="44" l="1"/>
  <c r="Z50" i="44" s="1"/>
  <c r="N35" i="77"/>
  <c r="N37" i="77" s="1"/>
  <c r="N49" i="76"/>
  <c r="N50" i="76" s="1"/>
  <c r="N45" i="77"/>
  <c r="N46" i="76"/>
  <c r="N47" i="76" s="1"/>
  <c r="N39" i="77"/>
  <c r="N52" i="76"/>
  <c r="J19" i="9"/>
  <c r="L51" i="76" s="1"/>
  <c r="L60" i="76" s="1"/>
  <c r="L42" i="76"/>
  <c r="M35" i="77"/>
  <c r="M37" i="77" s="1"/>
  <c r="M42" i="77" s="1"/>
  <c r="M49" i="76"/>
  <c r="M50" i="76" s="1"/>
  <c r="M45" i="77"/>
  <c r="M46" i="76"/>
  <c r="M47" i="76" s="1"/>
  <c r="N22" i="76"/>
  <c r="N39" i="76"/>
  <c r="J22" i="76"/>
  <c r="J29" i="76"/>
  <c r="J39" i="76"/>
  <c r="K22" i="76"/>
  <c r="K39" i="76"/>
  <c r="K29" i="76"/>
  <c r="R16" i="55"/>
  <c r="L12" i="76"/>
  <c r="L15" i="77"/>
  <c r="L13" i="76" s="1"/>
  <c r="M15" i="77"/>
  <c r="M13" i="76" s="1"/>
  <c r="L61" i="77"/>
  <c r="M23" i="57"/>
  <c r="H45" i="55"/>
  <c r="H50" i="55" s="1"/>
  <c r="K21" i="44"/>
  <c r="K26" i="9"/>
  <c r="M43" i="76" s="1"/>
  <c r="H31" i="55"/>
  <c r="Q35" i="55" s="1"/>
  <c r="Q36" i="55" s="1"/>
  <c r="L19" i="44"/>
  <c r="K12" i="9"/>
  <c r="H68" i="36"/>
  <c r="R25" i="36"/>
  <c r="K12" i="57"/>
  <c r="K13" i="57" s="1"/>
  <c r="H31" i="36"/>
  <c r="I9" i="71" s="1"/>
  <c r="I10" i="71" s="1"/>
  <c r="I68" i="36"/>
  <c r="S25" i="36"/>
  <c r="L12" i="57"/>
  <c r="L13" i="57" s="1"/>
  <c r="I31" i="36"/>
  <c r="J9" i="71" s="1"/>
  <c r="J10" i="71" s="1"/>
  <c r="H10" i="55"/>
  <c r="Z54" i="44"/>
  <c r="Z51" i="44"/>
  <c r="O41" i="55"/>
  <c r="N41" i="55"/>
  <c r="AB39" i="44"/>
  <c r="AA44" i="44"/>
  <c r="AA50" i="44" s="1"/>
  <c r="AA54" i="44" s="1"/>
  <c r="P40" i="55"/>
  <c r="I31" i="55"/>
  <c r="R35" i="55" s="1"/>
  <c r="R36" i="55" s="1"/>
  <c r="L12" i="9"/>
  <c r="I45" i="55"/>
  <c r="I50" i="55" s="1"/>
  <c r="L21" i="44"/>
  <c r="L26" i="9"/>
  <c r="N43" i="76" s="1"/>
  <c r="I10" i="55"/>
  <c r="T24" i="36"/>
  <c r="J25" i="36"/>
  <c r="G12" i="55"/>
  <c r="G13" i="55" s="1"/>
  <c r="V17" i="36"/>
  <c r="L18" i="36"/>
  <c r="L31" i="36"/>
  <c r="M9" i="71" s="1"/>
  <c r="M10" i="71" s="1"/>
  <c r="O11" i="57"/>
  <c r="P10" i="57"/>
  <c r="O13" i="57"/>
  <c r="U24" i="36"/>
  <c r="H12" i="55"/>
  <c r="K25" i="36"/>
  <c r="V24" i="36"/>
  <c r="K18" i="36"/>
  <c r="U18" i="36" s="1"/>
  <c r="U17" i="36"/>
  <c r="P32" i="55"/>
  <c r="P33" i="55" s="1"/>
  <c r="K19" i="44"/>
  <c r="I38" i="55"/>
  <c r="L18" i="9"/>
  <c r="Q15" i="55"/>
  <c r="H40" i="55"/>
  <c r="Q38" i="55"/>
  <c r="N11" i="57"/>
  <c r="AD6" i="36" l="1" a="1"/>
  <c r="N42" i="77"/>
  <c r="N42" i="76"/>
  <c r="K19" i="9"/>
  <c r="M51" i="76" s="1"/>
  <c r="M60" i="76" s="1"/>
  <c r="M42" i="76"/>
  <c r="M22" i="76"/>
  <c r="M29" i="76"/>
  <c r="M39" i="76"/>
  <c r="L22" i="76"/>
  <c r="L29" i="76"/>
  <c r="L39" i="76"/>
  <c r="N29" i="76"/>
  <c r="O23" i="57"/>
  <c r="N61" i="77"/>
  <c r="R32" i="55"/>
  <c r="R33" i="55" s="1"/>
  <c r="N23" i="57"/>
  <c r="M61" i="77"/>
  <c r="Q32" i="55"/>
  <c r="Q33" i="55" s="1"/>
  <c r="V18" i="36"/>
  <c r="L74" i="36"/>
  <c r="L27" i="36"/>
  <c r="L32" i="36"/>
  <c r="L16" i="57"/>
  <c r="L14" i="57"/>
  <c r="L19" i="9"/>
  <c r="N51" i="76" s="1"/>
  <c r="N60" i="76" s="1"/>
  <c r="I74" i="36"/>
  <c r="S31" i="36"/>
  <c r="I27" i="36"/>
  <c r="I32" i="36"/>
  <c r="V121" i="52"/>
  <c r="AA51" i="44"/>
  <c r="Z52" i="44"/>
  <c r="AC39" i="44"/>
  <c r="AB44" i="44"/>
  <c r="AB50" i="44" s="1"/>
  <c r="AB54" i="44" s="1"/>
  <c r="P41" i="55"/>
  <c r="U25" i="36"/>
  <c r="K68" i="36"/>
  <c r="N12" i="57"/>
  <c r="N13" i="57" s="1"/>
  <c r="V25" i="36"/>
  <c r="J68" i="36"/>
  <c r="T25" i="36"/>
  <c r="M12" i="57"/>
  <c r="M13" i="57" s="1"/>
  <c r="J31" i="36"/>
  <c r="K9" i="71" s="1"/>
  <c r="K10" i="71" s="1"/>
  <c r="H32" i="36"/>
  <c r="H74" i="36"/>
  <c r="R31" i="36"/>
  <c r="H27" i="36"/>
  <c r="Q121" i="52"/>
  <c r="R40" i="55"/>
  <c r="I13" i="55"/>
  <c r="R15" i="55"/>
  <c r="I40" i="55"/>
  <c r="R38" i="55"/>
  <c r="K31" i="36"/>
  <c r="O16" i="57"/>
  <c r="P13" i="57"/>
  <c r="E37" i="57"/>
  <c r="E39" i="57" s="1"/>
  <c r="O14" i="57"/>
  <c r="Q40" i="55"/>
  <c r="H13" i="55"/>
  <c r="K14" i="57"/>
  <c r="K16" i="57"/>
  <c r="R32" i="36" l="1"/>
  <c r="AD8" i="36"/>
  <c r="AD12" i="36"/>
  <c r="AD9" i="36"/>
  <c r="AD6" i="36"/>
  <c r="AD11" i="36"/>
  <c r="AD15" i="36"/>
  <c r="AD7" i="36"/>
  <c r="AD14" i="36"/>
  <c r="AD13" i="36"/>
  <c r="AD10" i="36"/>
  <c r="I11" i="71"/>
  <c r="I12" i="71" s="1"/>
  <c r="J28" i="77"/>
  <c r="J14" i="76" s="1"/>
  <c r="J11" i="71"/>
  <c r="J12" i="71" s="1"/>
  <c r="K28" i="77"/>
  <c r="K14" i="76" s="1"/>
  <c r="M11" i="71"/>
  <c r="M12" i="71" s="1"/>
  <c r="N28" i="77"/>
  <c r="N14" i="76" s="1"/>
  <c r="V31" i="36"/>
  <c r="L9" i="71"/>
  <c r="L10" i="71" s="1"/>
  <c r="S32" i="36"/>
  <c r="L17" i="57"/>
  <c r="K17" i="57"/>
  <c r="M16" i="57"/>
  <c r="M14" i="57"/>
  <c r="Q41" i="55"/>
  <c r="I51" i="9"/>
  <c r="I70" i="36"/>
  <c r="S27" i="36"/>
  <c r="I29" i="36"/>
  <c r="N16" i="57"/>
  <c r="N14" i="57"/>
  <c r="AD39" i="44"/>
  <c r="AD44" i="44" s="1"/>
  <c r="AD50" i="44" s="1"/>
  <c r="AD54" i="44" s="1"/>
  <c r="AC44" i="44"/>
  <c r="AC50" i="44" s="1"/>
  <c r="AC54" i="44" s="1"/>
  <c r="L51" i="9"/>
  <c r="L70" i="36"/>
  <c r="L29" i="36"/>
  <c r="K74" i="36"/>
  <c r="U31" i="36"/>
  <c r="K27" i="36"/>
  <c r="M28" i="77" s="1"/>
  <c r="M14" i="76" s="1"/>
  <c r="K32" i="36"/>
  <c r="H70" i="36"/>
  <c r="H51" i="9"/>
  <c r="H29" i="36"/>
  <c r="R29" i="36" s="1"/>
  <c r="R27" i="36"/>
  <c r="O36" i="57"/>
  <c r="O17" i="57"/>
  <c r="P16" i="57"/>
  <c r="AB51" i="44"/>
  <c r="AA52" i="44"/>
  <c r="R41" i="55"/>
  <c r="J74" i="36"/>
  <c r="T31" i="36"/>
  <c r="J32" i="36"/>
  <c r="T32" i="36" s="1"/>
  <c r="J27" i="36"/>
  <c r="AC23" i="36" l="1" a="1"/>
  <c r="U32" i="36"/>
  <c r="N23" i="76"/>
  <c r="N38" i="76"/>
  <c r="M16" i="71" s="1"/>
  <c r="N30" i="76"/>
  <c r="M23" i="76"/>
  <c r="M38" i="76"/>
  <c r="L16" i="71" s="1"/>
  <c r="K23" i="76"/>
  <c r="K30" i="76"/>
  <c r="K38" i="76"/>
  <c r="J16" i="71" s="1"/>
  <c r="J23" i="76"/>
  <c r="J30" i="76"/>
  <c r="J38" i="76"/>
  <c r="I16" i="71" s="1"/>
  <c r="K11" i="71"/>
  <c r="K12" i="71" s="1"/>
  <c r="L28" i="77"/>
  <c r="L14" i="76" s="1"/>
  <c r="V27" i="36"/>
  <c r="L11" i="71"/>
  <c r="L12" i="71" s="1"/>
  <c r="M17" i="57"/>
  <c r="V32" i="36"/>
  <c r="S29" i="36"/>
  <c r="K70" i="36"/>
  <c r="K29" i="36"/>
  <c r="V29" i="36" s="1"/>
  <c r="U27" i="36"/>
  <c r="K51" i="9"/>
  <c r="J51" i="9"/>
  <c r="J70" i="36"/>
  <c r="T27" i="36"/>
  <c r="J29" i="36"/>
  <c r="T29" i="36" s="1"/>
  <c r="AC51" i="44"/>
  <c r="AB52" i="44"/>
  <c r="N17" i="57"/>
  <c r="AC24" i="36" l="1"/>
  <c r="AC27" i="36"/>
  <c r="AC28" i="36"/>
  <c r="AC26" i="36"/>
  <c r="AC23" i="36"/>
  <c r="AC25" i="36"/>
  <c r="AC31" i="36"/>
  <c r="AC32" i="36"/>
  <c r="AC30" i="36"/>
  <c r="AC29" i="36"/>
  <c r="L23" i="76"/>
  <c r="L38" i="76"/>
  <c r="K16" i="71" s="1"/>
  <c r="L30" i="76"/>
  <c r="M30" i="76"/>
  <c r="U29" i="36"/>
  <c r="AD51" i="44"/>
  <c r="AD52" i="44" s="1"/>
  <c r="AC52" i="44"/>
  <c r="M21" i="55" l="1"/>
  <c r="M22" i="55" l="1"/>
  <c r="M23" i="55" l="1"/>
  <c r="E40" i="57" l="1"/>
  <c r="E41" i="57" s="1"/>
  <c r="K29" i="57"/>
  <c r="L29" i="57"/>
  <c r="D26" i="76"/>
  <c r="N29" i="57"/>
  <c r="F26" i="76"/>
  <c r="O35" i="57"/>
  <c r="E26" i="76"/>
  <c r="H26" i="76"/>
  <c r="M29" i="57"/>
  <c r="O29" i="57"/>
  <c r="G26" i="76"/>
  <c r="H30" i="9"/>
  <c r="I30" i="9"/>
  <c r="J30" i="9"/>
  <c r="K30" i="9"/>
  <c r="L30" i="9"/>
  <c r="H32" i="9"/>
  <c r="I32" i="9"/>
  <c r="J32" i="9"/>
  <c r="K32" i="9"/>
  <c r="L32" i="9"/>
  <c r="H33" i="9"/>
  <c r="I33" i="9"/>
  <c r="J33" i="9"/>
  <c r="K33" i="9"/>
  <c r="L33" i="9"/>
  <c r="H40" i="9"/>
  <c r="I40" i="9"/>
  <c r="J40" i="9"/>
  <c r="K40" i="9"/>
  <c r="L40" i="9"/>
  <c r="H41" i="9"/>
  <c r="I41" i="9"/>
  <c r="J41" i="9"/>
  <c r="K41" i="9"/>
  <c r="L41" i="9"/>
  <c r="H42" i="9"/>
  <c r="I42" i="9"/>
  <c r="J42" i="9"/>
  <c r="K42" i="9"/>
  <c r="L42" i="9"/>
  <c r="H43" i="9"/>
  <c r="I43" i="9"/>
  <c r="J43" i="9"/>
  <c r="K43" i="9"/>
  <c r="L43" i="9"/>
  <c r="H47" i="9"/>
  <c r="I47" i="9"/>
  <c r="J47" i="9"/>
  <c r="K47" i="9"/>
  <c r="L47" i="9"/>
  <c r="H48" i="9"/>
  <c r="I48" i="9"/>
  <c r="J48" i="9"/>
  <c r="K48" i="9"/>
  <c r="L48" i="9"/>
  <c r="H50" i="9"/>
  <c r="I50" i="9"/>
  <c r="J50" i="9"/>
  <c r="K50" i="9"/>
  <c r="L50" i="9"/>
  <c r="H52" i="9"/>
  <c r="I52" i="9"/>
  <c r="J52" i="9"/>
  <c r="K52" i="9"/>
  <c r="L52" i="9"/>
  <c r="H53" i="9"/>
  <c r="I53" i="9"/>
  <c r="J53" i="9"/>
  <c r="K53" i="9"/>
  <c r="L53" i="9"/>
  <c r="I7" i="44"/>
  <c r="J7" i="44"/>
  <c r="K7" i="44"/>
  <c r="L7" i="44"/>
  <c r="H10" i="44"/>
  <c r="I10" i="44"/>
  <c r="J10" i="44"/>
  <c r="K10" i="44"/>
  <c r="L10" i="44"/>
  <c r="H24" i="44"/>
  <c r="I24" i="44"/>
  <c r="J24" i="44"/>
  <c r="K24" i="44"/>
  <c r="L24" i="44"/>
  <c r="H37" i="44"/>
  <c r="I37" i="44"/>
  <c r="J37" i="44"/>
  <c r="K37" i="44"/>
  <c r="L37" i="44"/>
  <c r="H40" i="44"/>
  <c r="I40" i="44"/>
  <c r="J40" i="44"/>
  <c r="K40" i="44"/>
  <c r="L40" i="44"/>
  <c r="H44" i="44"/>
  <c r="I44" i="44"/>
  <c r="J44" i="44"/>
  <c r="K44" i="44"/>
  <c r="L44" i="44"/>
  <c r="H46" i="44"/>
  <c r="I46" i="44"/>
  <c r="J46" i="44"/>
  <c r="K46" i="44"/>
  <c r="L46" i="44"/>
  <c r="H49" i="44"/>
  <c r="I49" i="44"/>
  <c r="J49" i="44"/>
  <c r="K49" i="44"/>
  <c r="L49" i="44"/>
  <c r="H51" i="44"/>
  <c r="I51" i="44"/>
  <c r="J51" i="44"/>
  <c r="K51" i="44"/>
  <c r="L51" i="44"/>
  <c r="H53" i="44"/>
  <c r="I53" i="44"/>
  <c r="J53" i="44"/>
  <c r="K53" i="44"/>
  <c r="L53" i="44"/>
  <c r="H35" i="36"/>
  <c r="I35" i="36"/>
  <c r="J35" i="36"/>
  <c r="K35" i="36"/>
  <c r="L35" i="36"/>
  <c r="R35" i="36"/>
  <c r="S35" i="36"/>
  <c r="T35" i="36"/>
  <c r="U35" i="36"/>
  <c r="V35" i="36"/>
  <c r="H37" i="36"/>
  <c r="I37" i="36"/>
  <c r="J37" i="36"/>
  <c r="K37" i="36"/>
  <c r="L37" i="36"/>
  <c r="R37" i="36"/>
  <c r="S37" i="36"/>
  <c r="T37" i="36"/>
  <c r="U37" i="36"/>
  <c r="V37" i="36"/>
  <c r="H39" i="36"/>
  <c r="I39" i="36"/>
  <c r="J39" i="36"/>
  <c r="K39" i="36"/>
  <c r="L39" i="36"/>
  <c r="R39" i="36"/>
  <c r="S39" i="36"/>
  <c r="T39" i="36"/>
  <c r="U39" i="36"/>
  <c r="V39" i="36"/>
  <c r="H42" i="36"/>
  <c r="I42" i="36"/>
  <c r="J42" i="36"/>
  <c r="K42" i="36"/>
  <c r="L42" i="36"/>
  <c r="R42" i="36"/>
  <c r="S42" i="36"/>
  <c r="T42" i="36"/>
  <c r="U42" i="36"/>
  <c r="V42" i="36"/>
  <c r="H43" i="36"/>
  <c r="I43" i="36"/>
  <c r="J43" i="36"/>
  <c r="K43" i="36"/>
  <c r="L43" i="36"/>
  <c r="R43" i="36"/>
  <c r="S43" i="36"/>
  <c r="T43" i="36"/>
  <c r="U43" i="36"/>
  <c r="V43" i="36"/>
  <c r="H46" i="36"/>
  <c r="I46" i="36"/>
  <c r="J46" i="36"/>
  <c r="K46" i="36"/>
  <c r="L46" i="36"/>
  <c r="H79" i="36"/>
  <c r="I79" i="36"/>
  <c r="J79" i="36"/>
  <c r="K79" i="36"/>
  <c r="L79" i="36"/>
  <c r="H81" i="36"/>
  <c r="I81" i="36"/>
  <c r="J81" i="36"/>
  <c r="K81" i="36"/>
  <c r="L81" i="36"/>
  <c r="H86" i="36"/>
  <c r="I86" i="36"/>
  <c r="J86" i="36"/>
  <c r="K86" i="36"/>
  <c r="L86" i="36"/>
  <c r="I13" i="71"/>
  <c r="J13" i="71"/>
  <c r="K13" i="71"/>
  <c r="L13" i="71"/>
  <c r="M13" i="71"/>
  <c r="I14" i="71"/>
  <c r="J14" i="71"/>
  <c r="K14" i="71"/>
  <c r="L14" i="71"/>
  <c r="M14" i="71"/>
  <c r="I17" i="71"/>
  <c r="J17" i="71"/>
  <c r="K17" i="71"/>
  <c r="L17" i="71"/>
  <c r="M17" i="71"/>
  <c r="I18" i="71"/>
  <c r="J18" i="71"/>
  <c r="K18" i="71"/>
  <c r="L18" i="71"/>
  <c r="M18" i="71"/>
  <c r="J1" i="57"/>
  <c r="J2" i="57"/>
  <c r="T6" i="57"/>
  <c r="T7" i="57"/>
  <c r="K18" i="57"/>
  <c r="L18" i="57"/>
  <c r="M18" i="57"/>
  <c r="N18" i="57"/>
  <c r="O18" i="57"/>
  <c r="K19" i="57"/>
  <c r="L19" i="57"/>
  <c r="M19" i="57"/>
  <c r="N19" i="57"/>
  <c r="O19" i="57"/>
  <c r="P19" i="57"/>
  <c r="K25" i="57"/>
  <c r="L25" i="57"/>
  <c r="M25" i="57"/>
  <c r="N25" i="57"/>
  <c r="O25" i="57"/>
  <c r="K30" i="57"/>
  <c r="L30" i="57"/>
  <c r="M30" i="57"/>
  <c r="N30" i="57"/>
  <c r="O30" i="57"/>
  <c r="E34" i="57"/>
  <c r="J34" i="57"/>
  <c r="O34" i="57"/>
  <c r="O38" i="57"/>
  <c r="J40" i="57"/>
  <c r="O41" i="57"/>
  <c r="E42" i="57"/>
  <c r="E43" i="57"/>
  <c r="J43" i="57"/>
  <c r="O43" i="57"/>
  <c r="C48" i="57"/>
  <c r="J48" i="57"/>
  <c r="C65" i="57"/>
  <c r="J65" i="57"/>
  <c r="C75" i="57"/>
  <c r="J75" i="57"/>
  <c r="F85" i="57"/>
  <c r="F96" i="57"/>
  <c r="F99" i="57"/>
  <c r="F102" i="57"/>
  <c r="F104" i="57"/>
  <c r="F105" i="57"/>
  <c r="J17" i="77"/>
  <c r="K17" i="77"/>
  <c r="L17" i="77"/>
  <c r="M17" i="77"/>
  <c r="N17" i="77"/>
  <c r="J19" i="77"/>
  <c r="K19" i="77"/>
  <c r="L19" i="77"/>
  <c r="M19" i="77"/>
  <c r="N19" i="77"/>
  <c r="J21" i="77"/>
  <c r="K21" i="77"/>
  <c r="L21" i="77"/>
  <c r="M21" i="77"/>
  <c r="N21" i="77"/>
  <c r="J23" i="77"/>
  <c r="K23" i="77"/>
  <c r="L23" i="77"/>
  <c r="M23" i="77"/>
  <c r="N23" i="77"/>
  <c r="J26" i="77"/>
  <c r="K26" i="77"/>
  <c r="L26" i="77"/>
  <c r="M26" i="77"/>
  <c r="N26" i="77"/>
  <c r="J46" i="77"/>
  <c r="K46" i="77"/>
  <c r="L46" i="77"/>
  <c r="M46" i="77"/>
  <c r="N46" i="77"/>
  <c r="J48" i="77"/>
  <c r="K48" i="77"/>
  <c r="L48" i="77"/>
  <c r="M48" i="77"/>
  <c r="N48" i="77"/>
  <c r="J51" i="77"/>
  <c r="K51" i="77"/>
  <c r="L51" i="77"/>
  <c r="M51" i="77"/>
  <c r="N51" i="77"/>
  <c r="J52" i="77"/>
  <c r="K52" i="77"/>
  <c r="L52" i="77"/>
  <c r="M52" i="77"/>
  <c r="N52" i="77"/>
  <c r="K58" i="77"/>
  <c r="L58" i="77"/>
  <c r="M58" i="77"/>
  <c r="N58" i="77"/>
  <c r="J60" i="77"/>
  <c r="K60" i="77"/>
  <c r="L60" i="77"/>
  <c r="M60" i="77"/>
  <c r="N60" i="77"/>
  <c r="J62" i="77"/>
  <c r="K62" i="77"/>
  <c r="L62" i="77"/>
  <c r="M62" i="77"/>
  <c r="N62" i="77"/>
  <c r="J68" i="77"/>
  <c r="K68" i="77"/>
  <c r="L68" i="77"/>
  <c r="M68" i="77"/>
  <c r="N68" i="77"/>
  <c r="J70" i="77"/>
  <c r="K70" i="77"/>
  <c r="L70" i="77"/>
  <c r="M70" i="77"/>
  <c r="N70" i="77"/>
  <c r="J71" i="77"/>
  <c r="K71" i="77"/>
  <c r="L71" i="77"/>
  <c r="M71" i="77"/>
  <c r="N71" i="77"/>
  <c r="J73" i="77"/>
  <c r="K73" i="77"/>
  <c r="L73" i="77"/>
  <c r="M73" i="77"/>
  <c r="N73" i="77"/>
  <c r="J76" i="77"/>
  <c r="K76" i="77"/>
  <c r="L76" i="77"/>
  <c r="M76" i="77"/>
  <c r="N76" i="77"/>
  <c r="J77" i="77"/>
  <c r="K77" i="77"/>
  <c r="L77" i="77"/>
  <c r="M77" i="77"/>
  <c r="N77" i="77"/>
  <c r="J78" i="77"/>
  <c r="K78" i="77"/>
  <c r="L78" i="77"/>
  <c r="M78" i="77"/>
  <c r="N78" i="77"/>
  <c r="E15" i="55"/>
  <c r="F15" i="55"/>
  <c r="G15" i="55"/>
  <c r="H15" i="55"/>
  <c r="I15" i="55"/>
  <c r="E16" i="55"/>
  <c r="F16" i="55"/>
  <c r="G16" i="55"/>
  <c r="H16" i="55"/>
  <c r="I16" i="55"/>
  <c r="E17" i="55"/>
  <c r="F17" i="55"/>
  <c r="G17" i="55"/>
  <c r="H17" i="55"/>
  <c r="I17" i="55"/>
  <c r="E18" i="55"/>
  <c r="F18" i="55"/>
  <c r="G18" i="55"/>
  <c r="H18" i="55"/>
  <c r="I18" i="55"/>
  <c r="N19" i="55"/>
  <c r="O19" i="55"/>
  <c r="P19" i="55"/>
  <c r="Q19" i="55"/>
  <c r="R19" i="55"/>
  <c r="N20" i="55"/>
  <c r="O20" i="55"/>
  <c r="P20" i="55"/>
  <c r="Q20" i="55"/>
  <c r="R20" i="55"/>
  <c r="E28" i="55"/>
  <c r="F28" i="55"/>
  <c r="G28" i="55"/>
  <c r="H28" i="55"/>
  <c r="I28" i="55"/>
  <c r="N28" i="55"/>
  <c r="O28" i="55"/>
  <c r="P28" i="55"/>
  <c r="Q28" i="55"/>
  <c r="R28" i="55"/>
  <c r="N29" i="55"/>
  <c r="O29" i="55"/>
  <c r="P29" i="55"/>
  <c r="Q29" i="55"/>
  <c r="R29" i="55"/>
  <c r="E34" i="55"/>
  <c r="F34" i="55"/>
  <c r="G34" i="55"/>
  <c r="H34" i="55"/>
  <c r="I34" i="55"/>
  <c r="N37" i="55"/>
  <c r="O37" i="55"/>
  <c r="P37" i="55"/>
  <c r="Q37" i="55"/>
  <c r="R37" i="55"/>
  <c r="E41" i="55"/>
  <c r="F41" i="55"/>
  <c r="G41" i="55"/>
  <c r="H41" i="55"/>
  <c r="I41" i="55"/>
  <c r="N42" i="55"/>
  <c r="O42" i="55"/>
  <c r="P42" i="55"/>
  <c r="Q42" i="55"/>
  <c r="R42" i="55"/>
  <c r="N43" i="55"/>
  <c r="O43" i="55"/>
  <c r="P43" i="55"/>
  <c r="Q43" i="55"/>
  <c r="R43" i="55"/>
  <c r="N44" i="55"/>
  <c r="O44" i="55"/>
  <c r="P44" i="55"/>
  <c r="Q44" i="55"/>
  <c r="R44" i="55"/>
  <c r="N48" i="55"/>
  <c r="O48" i="55"/>
  <c r="P48" i="55"/>
  <c r="Q48" i="55"/>
  <c r="R48" i="55"/>
  <c r="N49" i="55"/>
  <c r="O49" i="55"/>
  <c r="P49" i="55"/>
  <c r="Q49" i="55"/>
  <c r="R49" i="55"/>
  <c r="N50" i="55"/>
  <c r="O50" i="55"/>
  <c r="P50" i="55"/>
  <c r="Q50" i="55"/>
  <c r="R50" i="55"/>
  <c r="N51" i="55"/>
  <c r="O51" i="55"/>
  <c r="P51" i="55"/>
  <c r="Q51" i="55"/>
  <c r="R51" i="55"/>
  <c r="E53" i="55"/>
  <c r="F53" i="55"/>
  <c r="G53" i="55"/>
  <c r="H53" i="55"/>
  <c r="I53" i="55"/>
  <c r="N53" i="55"/>
  <c r="O53" i="55"/>
  <c r="P53" i="55"/>
  <c r="Q53" i="55"/>
  <c r="R53" i="55"/>
  <c r="N54" i="55"/>
  <c r="O54" i="55"/>
  <c r="P54" i="55"/>
  <c r="Q54" i="55"/>
  <c r="R54" i="55"/>
  <c r="E55" i="55"/>
  <c r="F55" i="55"/>
  <c r="G55" i="55"/>
  <c r="H55" i="55"/>
  <c r="I55" i="55"/>
  <c r="N55" i="55"/>
  <c r="O55" i="55"/>
  <c r="P55" i="55"/>
  <c r="Q55" i="55"/>
  <c r="R55" i="55"/>
  <c r="E56" i="55"/>
  <c r="F56" i="55"/>
  <c r="G56" i="55"/>
  <c r="H56" i="55"/>
  <c r="I56" i="55"/>
  <c r="N56" i="55"/>
  <c r="O56" i="55"/>
  <c r="P56" i="55"/>
  <c r="Q56" i="55"/>
  <c r="R56" i="55"/>
  <c r="E63" i="55"/>
  <c r="F63" i="55"/>
  <c r="G63" i="55"/>
  <c r="H63" i="55"/>
  <c r="I63" i="55"/>
  <c r="E65" i="55"/>
  <c r="F65" i="55"/>
  <c r="G65" i="55"/>
  <c r="H65" i="55"/>
  <c r="I65" i="55"/>
  <c r="E66" i="55"/>
  <c r="F66" i="55"/>
  <c r="G66" i="55"/>
  <c r="H66" i="55"/>
  <c r="I66" i="55"/>
  <c r="J15" i="76"/>
  <c r="K15" i="76"/>
  <c r="L15" i="76"/>
  <c r="M15" i="76"/>
  <c r="N15" i="76"/>
  <c r="J16" i="76"/>
  <c r="K16" i="76"/>
  <c r="L16" i="76"/>
  <c r="M16" i="76"/>
  <c r="N16" i="76"/>
  <c r="J24" i="76"/>
  <c r="K24" i="76"/>
  <c r="L24" i="76"/>
  <c r="M24" i="76"/>
  <c r="N24" i="76"/>
  <c r="J25" i="76"/>
  <c r="K25" i="76"/>
  <c r="L25" i="76"/>
  <c r="M25" i="76"/>
  <c r="N25" i="76"/>
  <c r="J26" i="76"/>
  <c r="K26" i="76"/>
  <c r="L26" i="76"/>
  <c r="M26" i="76"/>
  <c r="N26" i="76"/>
  <c r="J31" i="76"/>
  <c r="K31" i="76"/>
  <c r="L31" i="76"/>
  <c r="M31" i="76"/>
  <c r="N31" i="76"/>
  <c r="J32" i="76"/>
  <c r="K32" i="76"/>
  <c r="L32" i="76"/>
  <c r="M32" i="76"/>
  <c r="N32" i="76"/>
  <c r="J34" i="76"/>
  <c r="K34" i="76"/>
  <c r="L34" i="76"/>
  <c r="M34" i="76"/>
  <c r="N34" i="76"/>
  <c r="J36" i="76"/>
  <c r="K36" i="76"/>
  <c r="L36" i="76"/>
  <c r="M36" i="76"/>
  <c r="N36" i="76"/>
  <c r="J37" i="76"/>
  <c r="K37" i="76"/>
  <c r="L37" i="76"/>
  <c r="M37" i="76"/>
  <c r="N37" i="76"/>
  <c r="J40" i="76"/>
  <c r="K40" i="76"/>
  <c r="L40" i="76"/>
  <c r="M40" i="76"/>
  <c r="N40" i="76"/>
  <c r="J54" i="76"/>
  <c r="K54" i="76"/>
  <c r="L54" i="76"/>
  <c r="M54" i="76"/>
  <c r="N54" i="76"/>
  <c r="J55" i="76"/>
  <c r="K55" i="76"/>
  <c r="L55" i="76"/>
  <c r="M55" i="76"/>
  <c r="N55" i="76"/>
  <c r="J56" i="76"/>
  <c r="K56" i="76"/>
  <c r="L56" i="76"/>
  <c r="M56" i="76"/>
  <c r="N56" i="76"/>
  <c r="J57" i="76"/>
  <c r="K57" i="76"/>
  <c r="L57" i="76"/>
  <c r="M57" i="76"/>
  <c r="N57" i="76"/>
  <c r="J59" i="76"/>
  <c r="K59" i="76"/>
  <c r="L59" i="76"/>
  <c r="M59" i="76"/>
  <c r="N59" i="76"/>
  <c r="J61" i="76"/>
  <c r="K61" i="76"/>
  <c r="L61" i="76"/>
  <c r="M61" i="76"/>
  <c r="N61" i="76"/>
  <c r="J62" i="76"/>
  <c r="K62" i="76"/>
  <c r="L62" i="76"/>
  <c r="M62" i="76"/>
  <c r="N62" i="76"/>
  <c r="J64" i="76"/>
  <c r="K64" i="76"/>
  <c r="L64" i="76"/>
  <c r="M64" i="76"/>
  <c r="N64" i="76"/>
  <c r="J65" i="76"/>
  <c r="K65" i="76"/>
  <c r="L65" i="76"/>
  <c r="M65" i="76"/>
  <c r="N65" i="7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Chon</author>
  </authors>
  <commentList>
    <comment ref="A1" authorId="0" shapeId="0" xr:uid="{E22C32CA-E3DE-43EC-839B-B4EA5E988576}">
      <text>
        <r>
          <rPr>
            <b/>
            <sz val="9"/>
            <color indexed="81"/>
            <rFont val="Tahoma"/>
            <family val="2"/>
          </rPr>
          <t>&lt;?xml version="1.0" encoding="utf-8"?&gt;&lt;Schema xmlns:xsd="http://www.w3.org/2001/XMLSchema" xmlns:xsi="http://www.w3.org/2001/XMLSchema-instance" Version="2" Timestamp="1658683423"&gt;&lt;FQL&gt;&lt;Q&gt;AMZN^FE_ESTIMATE(DEP_AMORT_EXP,MEAN,ANN_ROLL,2022,NOW,,,'')&lt;/Q&gt;&lt;R&gt;1&lt;/R&gt;&lt;C&gt;1&lt;/C&gt;&lt;D xsi:type="xsd:double"&gt;38716.438&lt;/D&gt;&lt;/FQL&gt;&lt;FQL&gt;&lt;Q&gt;AMZN^FE_ESTIMATE(DEP_AMORT_EXP,MEAN,ANN_ROLL,2023,NOW,,,'')&lt;/Q&gt;&lt;R&gt;1&lt;/R&gt;&lt;C&gt;1&lt;/C&gt;&lt;D xsi:type="xsd:double"&gt;44728.72&lt;/D&gt;&lt;/FQL&gt;&lt;FQL&gt;&lt;Q&gt;AMZN^FE_ESTIMATE(DEP_AMORT_EXP,MEAN,ANN_ROLL,2024,NOW,,,'')&lt;/Q&gt;&lt;R&gt;1&lt;/R&gt;&lt;C&gt;1&lt;/C&gt;&lt;D xsi:type="xsd:double"&gt;52136.97&lt;/D&gt;&lt;/FQL&gt;&lt;FQL&gt;&lt;Q&gt;AMZN^FE_ESTIMATE(DEP_AMORT_EXP,MEAN,ANN_ROLL,2025,NOW,,,'')&lt;/Q&gt;&lt;R&gt;1&lt;/R&gt;&lt;C&gt;1&lt;/C&gt;&lt;D xsi:type="xsd:double"&gt;55507.54&lt;/D&gt;&lt;/FQL&gt;&lt;FQL&gt;&lt;Q&gt;AMZN^FE_ESTIMATE(DEP_AMORT_EXP,MEAN,ANN_ROLL,2026,NOW,,,'')&lt;/Q&gt;&lt;R&gt;1&lt;/R&gt;&lt;C&gt;1&lt;/C&gt;&lt;D xsi:type="xsd:double"&gt;58234.55&lt;/D&gt;&lt;/FQL&gt;&lt;FQL&gt;&lt;Q&gt;AMZN^FE_ESTIMATE(DEP_AMORT_EXP,MEAN,ANN_ROLL,2027,NOW,,,'')&lt;/Q&gt;&lt;R&gt;1&lt;/R&gt;&lt;C&gt;1&lt;/C&gt;&lt;D xsi:type="xsd:double"&gt;64625&lt;/D&gt;&lt;/FQL&gt;&lt;FQL&gt;&lt;Q&gt;AMZN^FE_ESTIMATE(CAPEX,MEAN,ANN_ROLL,2022,NOW,,,'')&lt;/Q&gt;&lt;R&gt;1&lt;/R&gt;&lt;C&gt;1&lt;/C&gt;&lt;D xsi:type="xsd:double"&gt;61050.723&lt;/D&gt;&lt;/FQL&gt;&lt;FQL&gt;&lt;Q&gt;AMZN^FE_ESTIMATE(CAPEX,MEAN,ANN_ROLL,2023,NOW,,,'')&lt;/Q&gt;&lt;R&gt;1&lt;/R&gt;&lt;C&gt;1&lt;/C&gt;&lt;D xsi:type="xsd:double"&gt;62598.887&lt;/D&gt;&lt;/FQL&gt;&lt;FQL&gt;&lt;Q&gt;AMZN^FE_ESTIMATE(CAPEX,MEAN,ANN_ROLL,2024,NOW,,,'')&lt;/Q&gt;&lt;R&gt;1&lt;/R&gt;&lt;C&gt;1&lt;/C&gt;&lt;D xsi:type="xsd:double"&gt;64481.453&lt;/D&gt;&lt;/FQL&gt;&lt;FQL&gt;&lt;Q&gt;AMZN^FE_ESTIMATE(CAPEX,MEAN,ANN_ROLL,2025,NOW,,,'')&lt;/Q&gt;&lt;R&gt;1&lt;/R&gt;&lt;C&gt;1&lt;/C&gt;&lt;D xsi:type="xsd:double"&gt;69493.41&lt;/D&gt;&lt;/FQL&gt;&lt;FQL&gt;&lt;Q&gt;AMZN^FE_ESTIMATE(CAPEX,MEAN,ANN_ROLL,2026,NOW,,,'')&lt;/Q&gt;&lt;R&gt;1&lt;/R&gt;&lt;C&gt;1&lt;/C&gt;&lt;D xsi:type="xsd:double"&gt;65697&lt;/D&gt;&lt;/FQL&gt;&lt;FQL&gt;&lt;Q&gt;AMZN^FE_ESTIMATE(CAPEX,MEAN,ANN_ROLL,2027,NOW,,,'')&lt;/Q&gt;&lt;R&gt;1&lt;/R&gt;&lt;C&gt;1&lt;/C&gt;&lt;D xsi:type="xsd:double"&gt;69051.93&lt;/D&gt;&lt;/FQL&gt;&lt;/Schema&gt;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<sst xmlns="http://schemas.openxmlformats.org/spreadsheetml/2006/main" count="1334" uniqueCount="727">
  <si>
    <t>Sales</t>
  </si>
  <si>
    <t>EBITDA</t>
  </si>
  <si>
    <t>Net Income</t>
  </si>
  <si>
    <t>Unearned revenue</t>
  </si>
  <si>
    <t>Accrued expenses and other</t>
  </si>
  <si>
    <t>Accounts payable</t>
  </si>
  <si>
    <t>Inventories</t>
  </si>
  <si>
    <t>Growth</t>
  </si>
  <si>
    <t>Amazon.com, Inc.</t>
  </si>
  <si>
    <t>x</t>
  </si>
  <si>
    <t>Income Statement</t>
  </si>
  <si>
    <t>AMZN</t>
  </si>
  <si>
    <t>EBIT</t>
  </si>
  <si>
    <t>Taxes</t>
  </si>
  <si>
    <t>EBIAT</t>
  </si>
  <si>
    <t>WACC</t>
  </si>
  <si>
    <t>This sheet contains FactSet XML data for use with this workbook's =FDS codes.  Modifying the worksheet's contents may damage the workbook's =FDS functionality.</t>
  </si>
  <si>
    <t>Enterprise Value</t>
  </si>
  <si>
    <t>Terminal Value</t>
  </si>
  <si>
    <t>Debt</t>
  </si>
  <si>
    <t>Cost of Equity</t>
  </si>
  <si>
    <t>Physical stores</t>
  </si>
  <si>
    <t>Subscription services</t>
  </si>
  <si>
    <t>Advertising services</t>
  </si>
  <si>
    <t>Third-party seller services</t>
  </si>
  <si>
    <t>Online stores</t>
  </si>
  <si>
    <t>Total Liabilities</t>
  </si>
  <si>
    <t>Total Assets</t>
  </si>
  <si>
    <t>Balance Sheet</t>
  </si>
  <si>
    <t>Cash Flow Statement</t>
  </si>
  <si>
    <t>Total Revenue</t>
  </si>
  <si>
    <t>Fair Value Estimate</t>
  </si>
  <si>
    <t>P/E</t>
  </si>
  <si>
    <t>Cost of Goods Sold</t>
  </si>
  <si>
    <t>Gross Profit</t>
  </si>
  <si>
    <t>Depreciation &amp; Amortization</t>
  </si>
  <si>
    <t>Goodwill</t>
  </si>
  <si>
    <t>Long-Term Debt</t>
  </si>
  <si>
    <t>Depreciation</t>
  </si>
  <si>
    <t>Stock-Based Compensation</t>
  </si>
  <si>
    <t>Deferred Taxes</t>
  </si>
  <si>
    <t>Other Non-Cash Adjustments</t>
  </si>
  <si>
    <t>(Increase) Decrease in Accounts Receivable</t>
  </si>
  <si>
    <t>(Increase) Decrease in Inventory</t>
  </si>
  <si>
    <t>Change in Other Short-Term Assets</t>
  </si>
  <si>
    <t>Increase (Decrease) in Accounts Payable</t>
  </si>
  <si>
    <t>Change in Other Short-Term Liabilities</t>
  </si>
  <si>
    <t>Cash From Operations</t>
  </si>
  <si>
    <t>(Capital Expenditures)</t>
  </si>
  <si>
    <t>Net (Acquisitions), Asset Sales, and Disposals</t>
  </si>
  <si>
    <t>Other Investing Cash Flow</t>
  </si>
  <si>
    <t>Cash From Investing</t>
  </si>
  <si>
    <t>Common Stock Issuance or (Repurchase)</t>
  </si>
  <si>
    <t>Short-Term Debt Issuance (Retirement)</t>
  </si>
  <si>
    <t>Long-Term Debt Issuance (Retirement)</t>
  </si>
  <si>
    <t>Other Financing Cash Flows</t>
  </si>
  <si>
    <t>Cash From Financing</t>
  </si>
  <si>
    <t>Exchange Rates, Discontinued Ops, etc. (net)</t>
  </si>
  <si>
    <t>Net Change in Cash</t>
  </si>
  <si>
    <t>Difference</t>
  </si>
  <si>
    <t>EV/EBITDA</t>
  </si>
  <si>
    <t>Gross Margin</t>
  </si>
  <si>
    <t>Asset Turnover</t>
  </si>
  <si>
    <t>Debt / EBITDA</t>
  </si>
  <si>
    <t>International</t>
  </si>
  <si>
    <t>Industry</t>
  </si>
  <si>
    <t>Low</t>
  </si>
  <si>
    <t>High</t>
  </si>
  <si>
    <t>Total</t>
  </si>
  <si>
    <t>Depreciation Expense</t>
  </si>
  <si>
    <t>Sensitivity Analysis</t>
  </si>
  <si>
    <t>Gross PP&amp;E</t>
  </si>
  <si>
    <t xml:space="preserve"> </t>
  </si>
  <si>
    <t>MSFT</t>
  </si>
  <si>
    <t>GOOG</t>
  </si>
  <si>
    <t>% of Revenue</t>
  </si>
  <si>
    <t>EBITDA Margin</t>
  </si>
  <si>
    <t>Total Current Assets</t>
  </si>
  <si>
    <t>Retained Earnings</t>
  </si>
  <si>
    <t>Balance Sheet Metrics</t>
  </si>
  <si>
    <t>Days of Inventory</t>
  </si>
  <si>
    <t>Days Sales Outstanding (DSO) (EoY)</t>
  </si>
  <si>
    <t>Other LT Operating Assets (% of Revenue)</t>
  </si>
  <si>
    <t>Days Payable (EoY)</t>
  </si>
  <si>
    <t>Other ST Liabilities (% of Revenue)</t>
  </si>
  <si>
    <t>Other LT Operating Liabilities (% of Revenue)</t>
  </si>
  <si>
    <t>Interest Income / Average Cash</t>
  </si>
  <si>
    <t>Interest Rate</t>
  </si>
  <si>
    <t>Mid</t>
  </si>
  <si>
    <t>AWS</t>
  </si>
  <si>
    <t>EBIT Margin</t>
  </si>
  <si>
    <t>Fulfillment</t>
  </si>
  <si>
    <t>Marketable Securities</t>
  </si>
  <si>
    <t>Accounts Receivable, Net, &amp; Other</t>
  </si>
  <si>
    <t>Total Non-Current Assets</t>
  </si>
  <si>
    <t>Long-Term Lease Liabilities</t>
  </si>
  <si>
    <t>Other Long-Term Liabilities</t>
  </si>
  <si>
    <t>Key Metrics</t>
  </si>
  <si>
    <t>Cash</t>
  </si>
  <si>
    <t>TTM EBITDA</t>
  </si>
  <si>
    <t>Net Leverage (Including Cash)</t>
  </si>
  <si>
    <t>Restricted Cash</t>
  </si>
  <si>
    <t>Cash as Reported on Balance Sheet</t>
  </si>
  <si>
    <t>North America</t>
  </si>
  <si>
    <t>United States</t>
  </si>
  <si>
    <t>Germany</t>
  </si>
  <si>
    <t>United Kingdom</t>
  </si>
  <si>
    <t>Japan</t>
  </si>
  <si>
    <t>Rest of World</t>
  </si>
  <si>
    <t>Actual</t>
  </si>
  <si>
    <t>P/S</t>
  </si>
  <si>
    <t>Others</t>
  </si>
  <si>
    <t>Conservative Case</t>
  </si>
  <si>
    <t>Street Case</t>
  </si>
  <si>
    <t>Optimistic Case</t>
  </si>
  <si>
    <t>Technology and content</t>
  </si>
  <si>
    <t>Sales and marketing</t>
  </si>
  <si>
    <t>General and administrative</t>
  </si>
  <si>
    <t>Other operating expense (income), net</t>
  </si>
  <si>
    <t>Total Operating expenses</t>
  </si>
  <si>
    <t>Operating Profit / EBIT</t>
  </si>
  <si>
    <t>Interest expense</t>
  </si>
  <si>
    <t>Interest income</t>
  </si>
  <si>
    <t>Other income (expense), net</t>
  </si>
  <si>
    <t>Profit (loss) Before Taxes</t>
  </si>
  <si>
    <t>Tax benefit (provision)</t>
  </si>
  <si>
    <t>Equity income (loss), net</t>
  </si>
  <si>
    <t>Profit (loss) after tax</t>
  </si>
  <si>
    <t>PAT Margin</t>
  </si>
  <si>
    <t>Profit (loss) Before tax Margin</t>
  </si>
  <si>
    <t>Effective Tax Rate</t>
  </si>
  <si>
    <t>AMAZON DRIVERS</t>
  </si>
  <si>
    <t>1 - Street Case</t>
  </si>
  <si>
    <t>Growth (Y-o-Y)</t>
  </si>
  <si>
    <t>Depreciation &amp; Ammortization</t>
  </si>
  <si>
    <t>2 - Optimistic Case</t>
  </si>
  <si>
    <t>Growth (Y-o-Y), Variance</t>
  </si>
  <si>
    <t>% of Revenue, Variance</t>
  </si>
  <si>
    <t>3 - Conservative Case</t>
  </si>
  <si>
    <t>Scenario</t>
  </si>
  <si>
    <t>AMAZON INCOME STATEMENT</t>
  </si>
  <si>
    <t>AMAZON BALANCE SHEET</t>
  </si>
  <si>
    <t>Assets:</t>
  </si>
  <si>
    <t>Cash and cash equivalents</t>
  </si>
  <si>
    <t>Property and equipment, net</t>
  </si>
  <si>
    <t>Other assets</t>
  </si>
  <si>
    <t>Libailites and Stockholders' Equity:</t>
  </si>
  <si>
    <t>Current liabilities</t>
  </si>
  <si>
    <t>Non-Current liabilities</t>
  </si>
  <si>
    <t>Non-Current assets</t>
  </si>
  <si>
    <t>Current assets</t>
  </si>
  <si>
    <t>Total Non-Current liabilities</t>
  </si>
  <si>
    <t>Total Current iabilitites</t>
  </si>
  <si>
    <t>Stockholders' equity</t>
  </si>
  <si>
    <t>Common stock</t>
  </si>
  <si>
    <t>Treasury stock, at cost</t>
  </si>
  <si>
    <t>Additional paid-in capital</t>
  </si>
  <si>
    <t>Accumulated other comprehensive income (loss)</t>
  </si>
  <si>
    <t>Total stockholders' equity</t>
  </si>
  <si>
    <t>Total Libailites and Stockholders' Equity</t>
  </si>
  <si>
    <t>AMAZON CASH FLOW STATEMENT</t>
  </si>
  <si>
    <t>Operating Activities:</t>
  </si>
  <si>
    <t>Investing Activities:</t>
  </si>
  <si>
    <t>Depreciation as % Sales</t>
  </si>
  <si>
    <t>Remaining Useful Life of PP&amp;E, in Years</t>
  </si>
  <si>
    <t>Cash, Cash Equivalents and restricted cash, beginning balance</t>
  </si>
  <si>
    <t>Cash, Cash Equivalents and restricted cash, ending balance</t>
  </si>
  <si>
    <t>Cash Flow Metrics</t>
  </si>
  <si>
    <t>Stock Based Comp as % SG&amp;A, excl. other operating income (expense)</t>
  </si>
  <si>
    <t>CFO as % Net Income</t>
  </si>
  <si>
    <t>Financing Activities:</t>
  </si>
  <si>
    <t>Net Debt</t>
  </si>
  <si>
    <t>Net Debt per share</t>
  </si>
  <si>
    <t>Diluted Shares</t>
  </si>
  <si>
    <t>Net Working Capital (Days)</t>
  </si>
  <si>
    <t>Operating leases &amp; Other assets</t>
  </si>
  <si>
    <t>Accrued expenses and other (% of Revenue)</t>
  </si>
  <si>
    <t>Unearned revenue (% of Revenue)</t>
  </si>
  <si>
    <t>AMAZON MODEL ASSUMPTION</t>
  </si>
  <si>
    <t>Property Plant &amp; Equipment</t>
  </si>
  <si>
    <t>Gross property and equipment</t>
  </si>
  <si>
    <t>Land and buildings</t>
  </si>
  <si>
    <t>Equipment</t>
  </si>
  <si>
    <t>Construction in progress</t>
  </si>
  <si>
    <t>Total accumulated depreciation and amortization</t>
  </si>
  <si>
    <t>Net property and equipment</t>
  </si>
  <si>
    <t>Depreciation and amortization expense</t>
  </si>
  <si>
    <t>Capital Spend Estimation:</t>
  </si>
  <si>
    <t>Capital Spend</t>
  </si>
  <si>
    <t>Capital Spend (as a % of Revenue)</t>
  </si>
  <si>
    <t>Amortization expense</t>
  </si>
  <si>
    <t>Revenues</t>
  </si>
  <si>
    <t xml:space="preserve">Capital Spend </t>
  </si>
  <si>
    <t>Average Useful Life</t>
  </si>
  <si>
    <t>Net property and equipment schedule:</t>
  </si>
  <si>
    <t xml:space="preserve">Accumulated Depreciation and amortization </t>
  </si>
  <si>
    <t>Particulars</t>
  </si>
  <si>
    <t>Cash Flow Total D&amp;A and other costs</t>
  </si>
  <si>
    <t>Other capitalized costs</t>
  </si>
  <si>
    <t>Gross margin</t>
  </si>
  <si>
    <t>Days of Cash</t>
  </si>
  <si>
    <t>Days of Marketable Securities</t>
  </si>
  <si>
    <t>Goodwill (% of Revenue)</t>
  </si>
  <si>
    <t>chk</t>
  </si>
  <si>
    <t>other long term op assets + other long term op liabilitites</t>
  </si>
  <si>
    <t>Net (Purchases) Sales of Marketable securities</t>
  </si>
  <si>
    <t>Chk: Change in Cash on Balance Sheet</t>
  </si>
  <si>
    <t>Depreciation &amp; Amortization wedge</t>
  </si>
  <si>
    <t>Capex as % of Sale</t>
  </si>
  <si>
    <t>as % of sale</t>
  </si>
  <si>
    <t>Intangible amortization</t>
  </si>
  <si>
    <t>Other amortization</t>
  </si>
  <si>
    <t>2022 10K: Amortization expense for acquired finite-lived intangibles</t>
  </si>
  <si>
    <t>Total Depreciation and amortization, chk</t>
  </si>
  <si>
    <t>Depreciation only</t>
  </si>
  <si>
    <t>Amotization of Existing Intangibles</t>
  </si>
  <si>
    <t>Amotization of Newly Acquired Intangibles</t>
  </si>
  <si>
    <t>Total Intangible Amortization</t>
  </si>
  <si>
    <t>Other Amortiation</t>
  </si>
  <si>
    <t>Depreciation only as % of Sale</t>
  </si>
  <si>
    <t>Amortization only as % of Sale</t>
  </si>
  <si>
    <t>Depreciation wedge (Depr / CapEx)</t>
  </si>
  <si>
    <t>Depreciation and amortization</t>
  </si>
  <si>
    <t>Q4/21</t>
  </si>
  <si>
    <t>Q1/22</t>
  </si>
  <si>
    <t>Q2/22</t>
  </si>
  <si>
    <t>Q3/22</t>
  </si>
  <si>
    <t>Q4/22</t>
  </si>
  <si>
    <t>Q1/23</t>
  </si>
  <si>
    <t>Particulars ($ billion)</t>
  </si>
  <si>
    <t>Variance</t>
  </si>
  <si>
    <t>4% - 8%</t>
  </si>
  <si>
    <t>Net Sales (Q1/23)</t>
  </si>
  <si>
    <t>Operating Income (Q1/23)</t>
  </si>
  <si>
    <t>Net Sales (Q2/23)</t>
  </si>
  <si>
    <t>Operating Income (Q2/23)</t>
  </si>
  <si>
    <t>5% - 10%</t>
  </si>
  <si>
    <t>YoY (%)</t>
  </si>
  <si>
    <t xml:space="preserve">Amazon Q4/22 </t>
  </si>
  <si>
    <t>Earnings Release Guidance</t>
  </si>
  <si>
    <t xml:space="preserve">Amazon Q1/23 </t>
  </si>
  <si>
    <t>Revenue Growth Assumptions:</t>
  </si>
  <si>
    <t>Total Operating Income</t>
  </si>
  <si>
    <t>Operating expenses</t>
  </si>
  <si>
    <t>Net sales</t>
  </si>
  <si>
    <t>Operating income (loss)</t>
  </si>
  <si>
    <t>Total Net Sales</t>
  </si>
  <si>
    <t>Q2/23</t>
  </si>
  <si>
    <t>Q2/23E</t>
  </si>
  <si>
    <t>Estimated</t>
  </si>
  <si>
    <t>Q3/21</t>
  </si>
  <si>
    <t>Q2/21</t>
  </si>
  <si>
    <t>Q1/21</t>
  </si>
  <si>
    <t>Q3/23</t>
  </si>
  <si>
    <t>Q4/23</t>
  </si>
  <si>
    <t>Q1/24</t>
  </si>
  <si>
    <t>Q2/24</t>
  </si>
  <si>
    <t>Q3/24</t>
  </si>
  <si>
    <t>Q4/24</t>
  </si>
  <si>
    <t>N</t>
  </si>
  <si>
    <t>Q3/23E</t>
  </si>
  <si>
    <t>Q4/23E</t>
  </si>
  <si>
    <t>Q1/24E</t>
  </si>
  <si>
    <t>Q2/24E</t>
  </si>
  <si>
    <t>Q3/24E</t>
  </si>
  <si>
    <t>Q4/24E</t>
  </si>
  <si>
    <t>Business Metrics</t>
  </si>
  <si>
    <t>% of Sales</t>
  </si>
  <si>
    <t>Operating Margin (%)</t>
  </si>
  <si>
    <t>compared to company guidance</t>
  </si>
  <si>
    <t>Cost Assumptions % of Revenue</t>
  </si>
  <si>
    <t>% of net sales</t>
  </si>
  <si>
    <t>Net product sales</t>
  </si>
  <si>
    <t>Net service sales</t>
  </si>
  <si>
    <t>chk IS</t>
  </si>
  <si>
    <t>Capital Spend as per cash flow statement</t>
  </si>
  <si>
    <t>60 months</t>
  </si>
  <si>
    <t>Dates</t>
  </si>
  <si>
    <t>Prices</t>
  </si>
  <si>
    <t>Monthly rate</t>
  </si>
  <si>
    <t>Net sales:</t>
  </si>
  <si>
    <t xml:space="preserve"> = Gross margin</t>
  </si>
  <si>
    <t>Equity Risk Premium (ERP, %)</t>
  </si>
  <si>
    <t xml:space="preserve"> = Operating income</t>
  </si>
  <si>
    <t>Required rate of return on Equity</t>
  </si>
  <si>
    <t>Other income</t>
  </si>
  <si>
    <t xml:space="preserve"> = Income before provision for income taxes</t>
  </si>
  <si>
    <t>CS outstanding shares (million)</t>
  </si>
  <si>
    <t xml:space="preserve"> = Net income</t>
  </si>
  <si>
    <t>Highest Coupon rate of Notes/Bonds from 10K (%)</t>
  </si>
  <si>
    <t>Tax rate (%)</t>
  </si>
  <si>
    <t>MV of Debt ($, million)</t>
  </si>
  <si>
    <t>ASSETS:</t>
  </si>
  <si>
    <t>MV of CS ($, million)</t>
  </si>
  <si>
    <t>Current assets:</t>
  </si>
  <si>
    <t>Total MV of Capital Resouces ($, million)</t>
  </si>
  <si>
    <t>Cost of Debt (%)</t>
  </si>
  <si>
    <t>Marketable securities</t>
  </si>
  <si>
    <t>Cost of CS (%)</t>
  </si>
  <si>
    <t>Accounts receivable, net</t>
  </si>
  <si>
    <t>WACC (%)</t>
  </si>
  <si>
    <t>Vendor non-trade receivables</t>
  </si>
  <si>
    <t>Other current assets</t>
  </si>
  <si>
    <t>Total current assets</t>
  </si>
  <si>
    <t>Non-current assets:</t>
  </si>
  <si>
    <t>Property, plant and equipment, net</t>
  </si>
  <si>
    <t>Other non-current assets</t>
  </si>
  <si>
    <t>Total non-current assets</t>
  </si>
  <si>
    <t>Total assets</t>
  </si>
  <si>
    <t>LIABILITIES AND SHAREHOLDERS' EQUITY:</t>
  </si>
  <si>
    <t>Current liabilities:</t>
  </si>
  <si>
    <t>Other current liabilities</t>
  </si>
  <si>
    <t>Deferred revenue</t>
  </si>
  <si>
    <t>Commercial paper</t>
  </si>
  <si>
    <t>Term debt</t>
  </si>
  <si>
    <t>Total current liabilities</t>
  </si>
  <si>
    <t>Non-current liabilities:</t>
  </si>
  <si>
    <t>Other non-current liabilities</t>
  </si>
  <si>
    <t>Total non-current liabilities</t>
  </si>
  <si>
    <t>Total liabilities</t>
  </si>
  <si>
    <t>Shareholders' equity:</t>
  </si>
  <si>
    <t>Common stock and additional paid-in capital, $0.00001 par value:</t>
  </si>
  <si>
    <t>50,400,000 shares authorized; 16,426,786 and 16,976,763 shares</t>
  </si>
  <si>
    <t>issued and outstanding, respectively</t>
  </si>
  <si>
    <t>Retained earnings</t>
  </si>
  <si>
    <t>Accumulated other comprehensive income/(loss)</t>
  </si>
  <si>
    <t>Total shareholders' equity</t>
  </si>
  <si>
    <t>Total liabilities and shareholders' equity</t>
  </si>
  <si>
    <t>Part I. Financial Statements (Income Statement &amp; Balance Sheet)</t>
  </si>
  <si>
    <t>Part II. Financial Staement Analysis</t>
  </si>
  <si>
    <t xml:space="preserve">CONSOLIDATED STATEMENTS OF OPERATIONS </t>
  </si>
  <si>
    <t>(2022, for the year ended, $ In millions)</t>
  </si>
  <si>
    <t>2022, Actual</t>
  </si>
  <si>
    <t>Trend</t>
  </si>
  <si>
    <t>1. Projected Assumptions.</t>
  </si>
  <si>
    <t>Sales growth</t>
  </si>
  <si>
    <t>(Cost of sales)</t>
  </si>
  <si>
    <t>Cost of Sales  (% of sales)</t>
  </si>
  <si>
    <t>R&amp;D Exp (% of sales)</t>
  </si>
  <si>
    <t>(Research and development)</t>
  </si>
  <si>
    <t>SG&amp;A Exp (% of sales)</t>
  </si>
  <si>
    <t>(Selling, general and administrative)</t>
  </si>
  <si>
    <t>Other Income (% of sales)</t>
  </si>
  <si>
    <t>Interest Expense (% of sales)</t>
  </si>
  <si>
    <t>Stock Repurchase Program (% of Sales)</t>
  </si>
  <si>
    <t>(Other expense, Interest)</t>
  </si>
  <si>
    <t>Fixed Assets (% of sales)</t>
  </si>
  <si>
    <t>Depr. (% of fixed assets)</t>
  </si>
  <si>
    <t>(income taxes)</t>
  </si>
  <si>
    <t>Tax rate</t>
  </si>
  <si>
    <t>(Dividend)</t>
  </si>
  <si>
    <t>MV of Equity</t>
  </si>
  <si>
    <t>(Stock Repurchased)</t>
  </si>
  <si>
    <t>MV of Debt</t>
  </si>
  <si>
    <t>Levered Beta</t>
  </si>
  <si>
    <t xml:space="preserve">CONSOLIDATED BALANCE SHEETS </t>
  </si>
  <si>
    <t>WACC*</t>
  </si>
  <si>
    <t>(as of 2021, In millions)</t>
  </si>
  <si>
    <t>2. Financial Ratios</t>
  </si>
  <si>
    <t>1. Liquidity (Safety)</t>
  </si>
  <si>
    <t>Excess Cash (Must Include this account)</t>
  </si>
  <si>
    <t>Current ratio</t>
  </si>
  <si>
    <t>Quick ratio</t>
  </si>
  <si>
    <t>Accounts Receivable Turnover</t>
  </si>
  <si>
    <t>Days in Receivable</t>
  </si>
  <si>
    <t>Accounts Payable Turnover</t>
  </si>
  <si>
    <t>Days in Payable</t>
  </si>
  <si>
    <t xml:space="preserve">2. Productivity (Efficiency)
</t>
  </si>
  <si>
    <t>Inventory Turnover</t>
  </si>
  <si>
    <t>Days in Inventory</t>
  </si>
  <si>
    <t>Total Asset Turnover</t>
  </si>
  <si>
    <t>important</t>
  </si>
  <si>
    <t>Total Fixed Asset Turnover</t>
  </si>
  <si>
    <t>to deal with capital investment</t>
  </si>
  <si>
    <t>Per dollar of FA produces lesser dollar of sales, do I need to readjust sales assumptions</t>
  </si>
  <si>
    <t>3. Profitability (Performance)</t>
  </si>
  <si>
    <t>invest in FA to increase sales</t>
  </si>
  <si>
    <t>Need to justify ratio projection</t>
  </si>
  <si>
    <t>Gross margin (%)</t>
  </si>
  <si>
    <t>Operating profit margin (%)</t>
  </si>
  <si>
    <t>Return on Asset (%)</t>
  </si>
  <si>
    <t>Return on Sales, net profit margin (%)</t>
  </si>
  <si>
    <t>Return on Equity (%)</t>
  </si>
  <si>
    <t>EVA ($, million)</t>
  </si>
  <si>
    <t>Residual Income (RI, $ in million)</t>
  </si>
  <si>
    <t>4. Insolvency (leverage)</t>
  </si>
  <si>
    <t>Debt ratio</t>
  </si>
  <si>
    <t>Asset to Equity</t>
  </si>
  <si>
    <t>Debt to Equity</t>
  </si>
  <si>
    <t>Times Interest Earned</t>
  </si>
  <si>
    <t>5. DuPont Analysis. (ROE break-down)</t>
  </si>
  <si>
    <t>profitability</t>
  </si>
  <si>
    <t>productivity</t>
  </si>
  <si>
    <t>leverage</t>
  </si>
  <si>
    <t>Additional Financing Need (AFN,  Assume New Common stock issued when needed)</t>
  </si>
  <si>
    <t>Company Valuation: Free Cash Flows of the Firm Model. [Apple Inc.]</t>
  </si>
  <si>
    <t>Part II. Compnay Valuation on FCFF Model</t>
  </si>
  <si>
    <t>2. Free Cash Flows of the Firm (FCFF)</t>
  </si>
  <si>
    <t>(1) Operating cash flows:</t>
  </si>
  <si>
    <t xml:space="preserve"> = Net Income</t>
  </si>
  <si>
    <t xml:space="preserve"> + add back Interest after tax</t>
  </si>
  <si>
    <t>link interest expense from debt</t>
  </si>
  <si>
    <t xml:space="preserve"> + add back Depreciation</t>
  </si>
  <si>
    <t xml:space="preserve"> = Operating Cash Flows</t>
  </si>
  <si>
    <t xml:space="preserve">(2) Cash flows in NOWC: </t>
  </si>
  <si>
    <t>Net Operating Working capital</t>
  </si>
  <si>
    <t xml:space="preserve"> = Cash flows of Changes in NOWC</t>
  </si>
  <si>
    <t>(3) Cash flows in capital investment:</t>
  </si>
  <si>
    <t>Fixed asset (PPE)</t>
  </si>
  <si>
    <t xml:space="preserve"> = Cash flows of Changes in fixed assets </t>
  </si>
  <si>
    <t>(4) Free Cash Flows of the Firm = (1) + (2) + (3)</t>
  </si>
  <si>
    <t>Free Cash Flows of the firm (Y1~Y5)</t>
  </si>
  <si>
    <t xml:space="preserve"> + Terminal Value at the end of Y5 (Y6 ~ forever)</t>
  </si>
  <si>
    <t xml:space="preserve"> = Total Free Cash Flows of the firm</t>
  </si>
  <si>
    <t>3. Intrinsic Value of Common Stock on FCFF</t>
  </si>
  <si>
    <t>($ million, %)</t>
  </si>
  <si>
    <t>Enterprise Value of the firm (the Entire Business)</t>
  </si>
  <si>
    <t xml:space="preserve"> - MV of the Debt and PS</t>
  </si>
  <si>
    <t xml:space="preserve"> = Intrinsic Value of CS</t>
  </si>
  <si>
    <t xml:space="preserve">Intrinsice Value (Target price) of CS per share </t>
  </si>
  <si>
    <t>4. Target Prices on Relative Methods</t>
  </si>
  <si>
    <t>($, %)</t>
  </si>
  <si>
    <t>Firm</t>
  </si>
  <si>
    <t>a. Target Price by P/E Forward</t>
  </si>
  <si>
    <t xml:space="preserve">b. Target Price by P/B </t>
  </si>
  <si>
    <t>c. Target Price by P/S</t>
  </si>
  <si>
    <t>d. Target Price by EV/EBIDTA Forward</t>
  </si>
  <si>
    <t>5. Final Target Price &amp; Investment Proposal</t>
  </si>
  <si>
    <t>Final Target Price per share</t>
  </si>
  <si>
    <t xml:space="preserve"> - Market Price of CS per share (as of today)</t>
  </si>
  <si>
    <t xml:space="preserve"> = Expected G/L on the CS investment ($)</t>
  </si>
  <si>
    <t xml:space="preserve"> = Expected return on the CS investment (%)</t>
  </si>
  <si>
    <t>Investment Proposal (BUY / HOLD / SELL)</t>
  </si>
  <si>
    <t>HOLD</t>
  </si>
  <si>
    <t>Discounted Cash Flow Analysis</t>
  </si>
  <si>
    <t>Mid-Year Convention</t>
  </si>
  <si>
    <t>CAGR</t>
  </si>
  <si>
    <t xml:space="preserve">   % growth</t>
  </si>
  <si>
    <t xml:space="preserve">   % margin</t>
  </si>
  <si>
    <t>Selling, General &amp; Administrative</t>
  </si>
  <si>
    <t>Plus: Depreciation &amp; Amortization</t>
  </si>
  <si>
    <t>Less: Capital Expenditures</t>
  </si>
  <si>
    <t>Less: Inc./(Dec.) in Net Working Capital</t>
  </si>
  <si>
    <t>Unlevered Free Cash Flow</t>
  </si>
  <si>
    <t xml:space="preserve">   WACC</t>
  </si>
  <si>
    <t xml:space="preserve">   Discount Period</t>
  </si>
  <si>
    <t xml:space="preserve">   Discount Factor</t>
  </si>
  <si>
    <t xml:space="preserve">   Present Value of Free Cash Flow</t>
  </si>
  <si>
    <t>Implied Equity Value and Share Price</t>
  </si>
  <si>
    <t>Implied Perpetuity Growth Rate</t>
  </si>
  <si>
    <t>Cumulative Present Value of FCF</t>
  </si>
  <si>
    <t>Less: Total Debt</t>
  </si>
  <si>
    <t>Less: Preferred Stock</t>
  </si>
  <si>
    <t>Less: Noncontrolling Interest</t>
  </si>
  <si>
    <t>Exit Multiple</t>
  </si>
  <si>
    <t>Plus: Cash and Cash Equivalents</t>
  </si>
  <si>
    <t xml:space="preserve">   Terminal Value</t>
  </si>
  <si>
    <t>Discount Factor</t>
  </si>
  <si>
    <t xml:space="preserve">   Implied Equity Value</t>
  </si>
  <si>
    <t>Implied EV/EBITDA</t>
  </si>
  <si>
    <t xml:space="preserve">   Present Value of Terminal Value</t>
  </si>
  <si>
    <t xml:space="preserve">   % of Enterprise Value</t>
  </si>
  <si>
    <t>Fully Diluted Shares Outstanding</t>
  </si>
  <si>
    <t xml:space="preserve">   Enterprise Value</t>
  </si>
  <si>
    <t xml:space="preserve">   Implied Share Price</t>
  </si>
  <si>
    <t>($ in millions, fiscal year ending December 31)</t>
  </si>
  <si>
    <t>Implied Equity Value</t>
  </si>
  <si>
    <t>Implied Enterprise Value / LTM EBITDA</t>
  </si>
  <si>
    <t>PV of Terminal Value % of Enterprise Value</t>
  </si>
  <si>
    <t>Calculation of Implied Share Price</t>
  </si>
  <si>
    <t xml:space="preserve">   Fully Diluted Shares Outstanding</t>
  </si>
  <si>
    <t>AMAZON.COM</t>
  </si>
  <si>
    <t>S&amp;P500</t>
  </si>
  <si>
    <t>Beta (Amazon)</t>
  </si>
  <si>
    <t>Price of CS per share ($) as of 04/28/23</t>
  </si>
  <si>
    <t>Market Risk Premium (MRP, %) (2)</t>
  </si>
  <si>
    <t xml:space="preserve">   Current Share Price</t>
  </si>
  <si>
    <t xml:space="preserve">   Implied Upside / Downside</t>
  </si>
  <si>
    <t>Fullfilment, technology and content</t>
  </si>
  <si>
    <t>Selling, general and administrative</t>
  </si>
  <si>
    <t>Fullfilment, technology and content (% of sales)</t>
  </si>
  <si>
    <t>Financial Statement Analysis. Amazon</t>
  </si>
  <si>
    <t>Comparables</t>
  </si>
  <si>
    <t>Simbols.</t>
  </si>
  <si>
    <t xml:space="preserve">Market Cap </t>
  </si>
  <si>
    <t>Levered 
Beta</t>
  </si>
  <si>
    <t>P/E (trailing)</t>
  </si>
  <si>
    <t>P/B</t>
  </si>
  <si>
    <t>Weighted Avg. by Market Cap</t>
  </si>
  <si>
    <t>The recent rate for the debt</t>
  </si>
  <si>
    <t>Target Tax rate of the firm</t>
  </si>
  <si>
    <t>Tax rate of the comparables</t>
  </si>
  <si>
    <t>Debt / Equity, comparables</t>
  </si>
  <si>
    <t>Beta calculation :</t>
  </si>
  <si>
    <t>Levered Beta, comparables</t>
  </si>
  <si>
    <t>Unlevered Beta of comps and the firm</t>
  </si>
  <si>
    <t>Levered Beta of the firm with the target debt</t>
  </si>
  <si>
    <t>CAPM. Cost of  Equity:</t>
  </si>
  <si>
    <t>Risk free rate</t>
  </si>
  <si>
    <t>Equity Risk Premium (ERP)</t>
  </si>
  <si>
    <t>Cost of Equity for the firm</t>
  </si>
  <si>
    <t>Apple, Inc.</t>
  </si>
  <si>
    <t>AAPL</t>
  </si>
  <si>
    <t>Microsoft Corporation</t>
  </si>
  <si>
    <t>Alphabet, Inc.</t>
  </si>
  <si>
    <t>META</t>
  </si>
  <si>
    <t>EBAY</t>
  </si>
  <si>
    <t>Meta Platforms, Inc.</t>
  </si>
  <si>
    <t>eBay Inc.</t>
  </si>
  <si>
    <t>Walmart Inc.</t>
  </si>
  <si>
    <t>WMT</t>
  </si>
  <si>
    <t>Alibaba Group Holding Limited</t>
  </si>
  <si>
    <t>BABA</t>
  </si>
  <si>
    <t>Market Cap and Ent Value - Pitchbook as on 04/28/23</t>
  </si>
  <si>
    <t>Ratios from Yahoo Finance</t>
  </si>
  <si>
    <t>Calculation Own</t>
  </si>
  <si>
    <t>EV</t>
  </si>
  <si>
    <t>Debt / Equity, the firm Target (6%/94%)</t>
  </si>
  <si>
    <t>LTM 12/31/2022 EBITDA</t>
  </si>
  <si>
    <t>Exit Multiple (EV/EBITDA)</t>
  </si>
  <si>
    <t>('22 - '27)</t>
  </si>
  <si>
    <t>Weighted Average Cost of Debt</t>
  </si>
  <si>
    <t>2014 Notes issuance of $6.0 billion</t>
  </si>
  <si>
    <t>2017 Notes issuance of $17.0 billion</t>
  </si>
  <si>
    <t>2020 Notes issuance of $10.0 billion</t>
  </si>
  <si>
    <t>2021 Notes issuance of $18.5 billion</t>
  </si>
  <si>
    <t>April 2022 Notes issuance of $12.8 billion</t>
  </si>
  <si>
    <t>December 2022 Notes issuance of $8.3
billion</t>
  </si>
  <si>
    <t>Credit Facility</t>
  </si>
  <si>
    <t>Debt / Equtiy</t>
  </si>
  <si>
    <t>PEG ratio 
(5 yr)</t>
  </si>
  <si>
    <t>Share Price
(4/28/2023)</t>
  </si>
  <si>
    <t>Relative Methods &amp; Cost of Equity</t>
  </si>
  <si>
    <t>Business Geography</t>
  </si>
  <si>
    <t>% of Total</t>
  </si>
  <si>
    <t>Operating Scenario</t>
  </si>
  <si>
    <t>Upside / Downside</t>
  </si>
  <si>
    <t>H4sIAAAAAAAEAM2QQUvDMBTHu1Wxoh8id0toa+fcoRerKLjDpMXLGDMNDxuWJjVJhe5j+IU1KZ0ePHj1BfJeAv/f+/P3Jp7nfdpy3dX51F5PK2ZofSPlDpV9CxotWaWI6kP0DEozKbIkShKc4hhHIco7bjoFmYDOKMJDtOoqzugj9KXcgchEx/mx4xff2O2A3Y5YXIBihLM9qTjkhNbw++eilO0S3oEPr1tGjbVhtb7lnoyuglw2LVGgggei64LtwfO94GNS9NpAg3PJOQw6je9B2A300O/eOrvN9AfAS7xej6rCKCZeQ9RoKhVn1U8GKY7c+TuAaj4nMzq7iheXKUTXi80mmI5xn/rjcOSG/2jVmTv7At67jZonAgAA</t>
  </si>
  <si>
    <t># of Employees</t>
  </si>
  <si>
    <t>AMAZON COVER SHEET</t>
  </si>
  <si>
    <t>Forecast</t>
  </si>
  <si>
    <t>Financial Summary and Key Statistics</t>
  </si>
  <si>
    <t>Revenue</t>
  </si>
  <si>
    <t>(in $ million)</t>
  </si>
  <si>
    <t>Reveune Growth %</t>
  </si>
  <si>
    <t>Operating Income</t>
  </si>
  <si>
    <t>EBITDA Margin %</t>
  </si>
  <si>
    <t>Earnings Per Share (Diluted, $)</t>
  </si>
  <si>
    <t>Price/Earnings</t>
  </si>
  <si>
    <t>Price/Book</t>
  </si>
  <si>
    <t>Free Cash Flow Yield %</t>
  </si>
  <si>
    <t>Price/Free Cash Flow to Firm</t>
  </si>
  <si>
    <t>Cash From Operations/EBITDA</t>
  </si>
  <si>
    <t>Net Income Margin %</t>
  </si>
  <si>
    <t>Free Cash Flow to Firm</t>
  </si>
  <si>
    <t>Valuation Summary</t>
  </si>
  <si>
    <t>AMAZON Valuation Summary</t>
  </si>
  <si>
    <t>Operating Margin %</t>
  </si>
  <si>
    <t>Gross Margin %</t>
  </si>
  <si>
    <t>Free Cash Flow to Firm Margin %</t>
  </si>
  <si>
    <t>Margins &amp; Returns</t>
  </si>
  <si>
    <t>Growth &amp; Ratios</t>
  </si>
  <si>
    <t>Revenue Growth %</t>
  </si>
  <si>
    <t>Operating Income Growth %</t>
  </si>
  <si>
    <t>EBITDA Growth %</t>
  </si>
  <si>
    <t>Net Income Growth %</t>
  </si>
  <si>
    <t>Earnings Per Share Growth %</t>
  </si>
  <si>
    <t>Valuation</t>
  </si>
  <si>
    <t xml:space="preserve">Fullfilment </t>
  </si>
  <si>
    <t>Technology &amp; Content</t>
  </si>
  <si>
    <t>Price/Sales</t>
  </si>
  <si>
    <t>EV/EBIT</t>
  </si>
  <si>
    <t>Liquidity</t>
  </si>
  <si>
    <t>Productivity (Efficiency)</t>
  </si>
  <si>
    <t>Economic Value Added</t>
  </si>
  <si>
    <t>Leverage</t>
  </si>
  <si>
    <t>DuPont Analysis. (ROE break-down)</t>
  </si>
  <si>
    <t>Operating Performance</t>
  </si>
  <si>
    <t>ROA %</t>
  </si>
  <si>
    <t>ROIC %</t>
  </si>
  <si>
    <t>Asset/Equity</t>
  </si>
  <si>
    <t>Net Debt/EBITDA</t>
  </si>
  <si>
    <t>Income Tax Expense</t>
  </si>
  <si>
    <t>Sales and Marketing</t>
  </si>
  <si>
    <t>General, Admin and Others</t>
  </si>
  <si>
    <t>Interest Income, net</t>
  </si>
  <si>
    <t>Others, net</t>
  </si>
  <si>
    <t>Profit Before Tax</t>
  </si>
  <si>
    <t>Minority Interest</t>
  </si>
  <si>
    <t>Weighted Average Diluted Shares Outstanding</t>
  </si>
  <si>
    <t>Assets</t>
  </si>
  <si>
    <t>Inventory</t>
  </si>
  <si>
    <t>Accounts Receivable</t>
  </si>
  <si>
    <t>Net Property, plant and equipment</t>
  </si>
  <si>
    <t>Other Intangibles</t>
  </si>
  <si>
    <t>Liabilities</t>
  </si>
  <si>
    <t>Accounts Payable</t>
  </si>
  <si>
    <t>Other Operating Liabilities</t>
  </si>
  <si>
    <t>Total Liabilitites</t>
  </si>
  <si>
    <t>Equity</t>
  </si>
  <si>
    <t>Shareholder's Equity</t>
  </si>
  <si>
    <t>Key Cash Flow Items</t>
  </si>
  <si>
    <t>Cash adjusted for non-cash expenses</t>
  </si>
  <si>
    <t>Changes in net working capital</t>
  </si>
  <si>
    <t>Cash Flow From Opeartions</t>
  </si>
  <si>
    <t>Capital Expenditures</t>
  </si>
  <si>
    <t>Other Investing Activities</t>
  </si>
  <si>
    <t>Cash Flow From Investing</t>
  </si>
  <si>
    <t>Cash Flow From Financing</t>
  </si>
  <si>
    <t>Beginning Cash and Equivalents</t>
  </si>
  <si>
    <t>Ending Cash and Equivalents</t>
  </si>
  <si>
    <t>Free Cash Flow to the Firm</t>
  </si>
  <si>
    <t>Shares Outstanding</t>
  </si>
  <si>
    <t>EPS (Diluted)</t>
  </si>
  <si>
    <t>General, admin and others</t>
  </si>
  <si>
    <t>Diluted Earnings Per Share ($)</t>
  </si>
  <si>
    <t>Total Liabilities &amp; Equity</t>
  </si>
  <si>
    <t>Cash and Equivalents (incl. marketable securities)</t>
  </si>
  <si>
    <t>BS chk</t>
  </si>
  <si>
    <t>IS chk</t>
  </si>
  <si>
    <t>CF chk</t>
  </si>
  <si>
    <t>('18 - '21)</t>
  </si>
  <si>
    <t xml:space="preserve">   Price to FVE</t>
  </si>
  <si>
    <t>`</t>
  </si>
  <si>
    <t>Netflix Inc.</t>
  </si>
  <si>
    <t>NFLX</t>
  </si>
  <si>
    <t>Big Tech</t>
  </si>
  <si>
    <t>E-commerce / Retail</t>
  </si>
  <si>
    <t>Streaming Service</t>
  </si>
  <si>
    <t>EPS (ttm)</t>
  </si>
  <si>
    <t>Average</t>
  </si>
  <si>
    <t>Median</t>
  </si>
  <si>
    <t>Relative Valuation</t>
  </si>
  <si>
    <t>Multiple Chosen</t>
  </si>
  <si>
    <t>- Net Debt</t>
  </si>
  <si>
    <t>Market Capital</t>
  </si>
  <si>
    <t>Implied Share Price</t>
  </si>
  <si>
    <t>Upside/Downside</t>
  </si>
  <si>
    <t>2022 EBITDA &amp; Revenue</t>
  </si>
  <si>
    <t>Risk Free Rate</t>
  </si>
  <si>
    <t>Geographies</t>
  </si>
  <si>
    <t>Risk Free Rates</t>
  </si>
  <si>
    <t>GTDEM30Y:GOV | Germany Bund 30 Year Yield</t>
  </si>
  <si>
    <t>Source: https://www.bloomberg.com/markets/rates-bonds/government-bonds</t>
  </si>
  <si>
    <t>GT30:GOV | 30 Year</t>
  </si>
  <si>
    <t>GTGBP30Y:GOV | UK Gilt 30 Year Yield</t>
  </si>
  <si>
    <t>GTJPY30Y:GOV | JGB 30 Year Yield</t>
  </si>
  <si>
    <r>
      <t xml:space="preserve">(1) Weighted Average yield on 30-year Government Bonds for Operating Countries, sourced from </t>
    </r>
    <r>
      <rPr>
        <i/>
        <sz val="10"/>
        <rFont val="Amazon Ember"/>
        <family val="2"/>
      </rPr>
      <t>Bloomberg</t>
    </r>
  </si>
  <si>
    <t>(2) Damodarn - https://pages.stern.nyu.edu/~adamodar/</t>
  </si>
  <si>
    <t>Current Capital Structure</t>
  </si>
  <si>
    <t>Assumptions</t>
  </si>
  <si>
    <t>Reference</t>
  </si>
  <si>
    <t>Perpetuity Growth Rate</t>
  </si>
  <si>
    <t xml:space="preserve">Weighted Average </t>
  </si>
  <si>
    <t>% of Amazon Revenue</t>
  </si>
  <si>
    <t>Key Geographies</t>
  </si>
  <si>
    <t>GDP CAGR %</t>
  </si>
  <si>
    <t>Congressional Budget Office Publication | https://www.cbo.gov/publication/58957#:~:text=growth%20of%20productivity.-,Projections%20of%20Income%20for%202023%20to%202033,percent%20from%202026%20to%202033.</t>
  </si>
  <si>
    <t>Source</t>
  </si>
  <si>
    <t>GDP Forecast</t>
  </si>
  <si>
    <t xml:space="preserve">Europen Commission | https://economy-finance.ec.europa.eu/economic-surveillance-eu-economies/germany/economic-forecast-germany_en | Deutsche Bundesbank Monthly Report </t>
  </si>
  <si>
    <t>https://www.statista.com/statistics/375195/gdp-growth-forecast-uk/</t>
  </si>
  <si>
    <t>General, Admin and other expenses reamain at historical averages with sligh improvement in later years</t>
  </si>
  <si>
    <t>Cost of Goods is assumed to decreases by ~2% in 2023 and ~1% in 2024 and stabilize moving forward as Amazon is building efficiencies in its distribution network and warehouses and on the back of layoffs as cost-cutting measures taken by the management</t>
  </si>
  <si>
    <t xml:space="preserve">Interst Income, Interest Expense and Other Income, net reamain constant at 2022 levels </t>
  </si>
  <si>
    <t>Sales and marketing remain relatively flat as Amazon faces fierce competition and to maintain market share | Soure: Q1/23 10Q, Earnings Release</t>
  </si>
  <si>
    <t>Technology and content expenses are assumped to increase marginally year on year as management is focused on improving AWS services consistently and strengthening its steaming platform | Soure: Q1/23 10Q, Earnings Release</t>
  </si>
  <si>
    <t>Fullfilment costs decreases linearrly over the years as Amazon further develops its distribution network and operating efficiencies start kicking in and cost cutting measures taken by the management start to materialize | Soure: Q1/23 10Q, Earnings Release</t>
  </si>
  <si>
    <t>Income Tax Expenses calculated based on 5 year historical average of effective tax rate (~21%)</t>
  </si>
  <si>
    <t>Assumed flat as no guidance provided by management on change in shares outstanding</t>
  </si>
  <si>
    <t>Inventory calculated based on 5 year historical average of as Days of Inventory, with slight improvement towards out years as Amazon's investments in fullfilment and warehouse process optimize | Source: 10K CEO letter to shareholders</t>
  </si>
  <si>
    <t>Receivables calculated based on 5 year historical average of as Days of Inventory, with slight increase towards out years as Amazon revenues continually increase</t>
  </si>
  <si>
    <t>Revenues are forecasted by segments and business verticals (Refer: AMZN_Revenue Build). Revenues estimates for 2023 and 2024 have been broken down quarterly and growth estimates are assumped based on management guidance from Q1/23 Earnings Call and current macroeconomic outlook. Main Divers include: AWS, Advertising and subscription services | Looking ahead, revenue is forecast to grow ~11% p.a. on average during the next 3 years, compared to a 11% growth forecast for the Multiline Retail industry in the US.</t>
  </si>
  <si>
    <t>Cash and Equivalents calculated based on 5 year historical average of as Days of Cash (based on Sales) | Marketable securities is assumed at 2022 level of days of sale</t>
  </si>
  <si>
    <t>Capex estimated to remain at 2022 levels of Revenue based in line with managements expansion plans, and tapering down towards 5 year historical average as revenues start to over the same period | Refer: AMZN_CFS (Row:59)</t>
  </si>
  <si>
    <t>Assumed to vary according to revenue. In the absence of inside information, it is assumed that the company will continue to make acquisitions and so Goodwill will approximately refelct growth according to sales</t>
  </si>
  <si>
    <t>Payables calculated based on 5 year historical average of as Days of Payable</t>
  </si>
  <si>
    <t>is a Plug</t>
  </si>
  <si>
    <t xml:space="preserve">Assumed to vary according to revenue. </t>
  </si>
  <si>
    <t>Assumed to at 2022 level except retained earnings</t>
  </si>
  <si>
    <t>Input variables I. CAPM of Amazon</t>
  </si>
  <si>
    <t>Input variables II. Weighted Average Cost of Capital</t>
  </si>
  <si>
    <t>Methodology</t>
  </si>
  <si>
    <t>Revenue weighte average of 30-year yields in Amazon's 4 key markets (US, Germany, UK, Japan)</t>
  </si>
  <si>
    <t>Re-levered risk adjusted Beta (appendix)</t>
  </si>
  <si>
    <t xml:space="preserve">US, Excess Return of S&amp;P 500 above US Treasury Yeild - Damodaran | https://pages.stern.nyu.edu/~adamodar/ </t>
  </si>
  <si>
    <t>Calculated via CAPM</t>
  </si>
  <si>
    <t>Weighted Average rate of Amazon's Debt</t>
  </si>
  <si>
    <t>Amazon Historical Effective Tax Rate</t>
  </si>
  <si>
    <t>Market Weighted Average (Appendix)</t>
  </si>
  <si>
    <t>Calculated using re-levered beta</t>
  </si>
  <si>
    <t>Cost of capital</t>
  </si>
  <si>
    <t>Market Risk Premium</t>
  </si>
  <si>
    <t>Inputs</t>
  </si>
  <si>
    <t>Opearting Margin</t>
  </si>
  <si>
    <t xml:space="preserve">High </t>
  </si>
  <si>
    <t>Ticker</t>
  </si>
  <si>
    <t>Alibaba Group</t>
  </si>
  <si>
    <t>Rationale</t>
  </si>
  <si>
    <t>Amazon's peers in big tech include the other major players in the industry: Apple, Google (Alphabet), Facebook (Meta), and Microsoft. These companies are often referred to as the "FAAMG" or "FANG" stocks, with Meta being the newest addition to the group. They are considered peers of Amazon because they are all large, influential, and dominant players in the technology sector, with significant market capitalization, revenue, and impact on the industry as a whole. These companies also operate in various fields, such as hardware, software, social media, e-commerce, search engines, and cloud computing. Additionally, they are often compared and analyzed in terms of their financial performance, innovations, regulatory scrutiny, and societal impact.</t>
  </si>
  <si>
    <t>Amazon's peers in the e-commerce space include eBay, Walmart, and Alibaba. eBay is one of the largest online marketplaces in the world, connecting buyers and sellers to a wide range of products. Walmart is a major retailer that has expanded its presence in the e-commerce market, offering online shopping and home delivery services.</t>
  </si>
  <si>
    <t>Amazon's peer in the streaming entertainment industry is Netflix, which is a subscription-based streaming service offering a wide range of TV shows, movies, documentaries, and other content. Both Amazon and Netflix compete for subscribers and produce their original content.</t>
  </si>
  <si>
    <t>Date</t>
  </si>
  <si>
    <t>Optimistic
Case (DCF)</t>
  </si>
  <si>
    <t>Street
Case (DCF)</t>
  </si>
  <si>
    <t>Conservative
Case (DCF)</t>
  </si>
  <si>
    <t>52 week share 
price movement</t>
  </si>
  <si>
    <t>Particulars in $</t>
  </si>
  <si>
    <t>Max</t>
  </si>
  <si>
    <t>Min</t>
  </si>
  <si>
    <t>Equity Value</t>
  </si>
  <si>
    <t>Shares</t>
  </si>
  <si>
    <t>Price / Sales
Multiple</t>
  </si>
  <si>
    <t>DCF Waterfall</t>
  </si>
  <si>
    <t>Current Market Cap</t>
  </si>
  <si>
    <t>Upside</t>
  </si>
  <si>
    <t>E-COMMERCE &amp; RETAIL</t>
  </si>
  <si>
    <t>BIG TECH</t>
  </si>
  <si>
    <t>Pharmacy</t>
  </si>
  <si>
    <t>Physical Stores &amp; Grocery</t>
  </si>
  <si>
    <t>Entertainment &amp; Streaming</t>
  </si>
  <si>
    <t>Amazon Debt:</t>
  </si>
  <si>
    <t>From Revelative Valuation of Peers</t>
  </si>
  <si>
    <t>2022 Revenue</t>
  </si>
  <si>
    <t xml:space="preserve">A1: Equity Research </t>
  </si>
  <si>
    <t>Suraj Udasi</t>
  </si>
  <si>
    <t>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</si>
</sst>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5" formatCode="&quot;$&quot;#,##0_);\(&quot;$&quot;#,##0\)"/>
    <numFmt numFmtId="6" formatCode="&quot;$&quot;#,##0_);[Red]\(&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quot;$&quot;#,##0.00"/>
    <numFmt numFmtId="166" formatCode="#,##0.0_);[Red]\(#,##0.0\)"/>
    <numFmt numFmtId="167" formatCode="_(* #,##0_);_(* \(#,##0\);_(* &quot;-&quot;??_);_(@_)"/>
    <numFmt numFmtId="168" formatCode="#,##0.0_);\(#,##0.0\)"/>
    <numFmt numFmtId="169" formatCode="0.000%"/>
    <numFmt numFmtId="170" formatCode="0_);\(0\)"/>
    <numFmt numFmtId="171" formatCode="&quot;$&quot;#,##0.0_);\(&quot;$&quot;#,##0.0\)"/>
    <numFmt numFmtId="172" formatCode="0\A"/>
    <numFmt numFmtId="173" formatCode="0&quot;E&quot;"/>
    <numFmt numFmtId="174" formatCode="\X\X\X;\X\x\x;&quot;--&quot;"/>
    <numFmt numFmtId="175" formatCode="0&quot; bps&quot;"/>
    <numFmt numFmtId="176" formatCode="#,##0.00_)&quot;x&quot;;\(#,##0.00&quot; x&quot;\)"/>
    <numFmt numFmtId="177" formatCode="&quot;$&quot;#,##0.0_);[Red]\(&quot;$&quot;#,##0.0\)"/>
    <numFmt numFmtId="178" formatCode="0000"/>
    <numFmt numFmtId="179" formatCode="* _(&quot;$&quot;##,##0.0_);[Red]* \(&quot;$&quot;##,##0.0\);* _(&quot;-&quot;?_);_(@_)"/>
    <numFmt numFmtId="180" formatCode="\€\ #,##0.0_);\(\€\ #,##0.0\);@_)"/>
    <numFmt numFmtId="181" formatCode="* _(#,##0.0%_);* \(#,##0.0%\);* _(&quot;-&quot;?_);_(@_)"/>
    <numFmt numFmtId="182" formatCode="* _(##,##0.0_);* \(##,##0.0\);* _(&quot;-&quot;??_);_(@_)"/>
    <numFmt numFmtId="183" formatCode="_(* #,##0.0_);_(* \(#,##0.0\);_(* &quot;-&quot;?_);_(@_)"/>
    <numFmt numFmtId="184" formatCode="_(* #,##0.00_);_(* \(#,##0.00\);_(* &quot;-&quot;?_);_(@_)"/>
    <numFmt numFmtId="185" formatCode="0.0\x"/>
    <numFmt numFmtId="186" formatCode="* ###0.0\x"/>
    <numFmt numFmtId="187" formatCode="_(* #,##0.0%_);_(* \(#,##0.0%\);_(* &quot;--- %&quot;_);_(* @_%_)"/>
    <numFmt numFmtId="188" formatCode="_(* #,##0.0%;_(* \(#,##0.0%\);_(* &quot;- %&quot;_);_(* @_%_)"/>
    <numFmt numFmtId="189" formatCode="* _(&quot;$&quot;##,##0.00_);[Red]* \(&quot;$&quot;##,##0.00\);* _(&quot;-&quot;?_);_(@_)"/>
    <numFmt numFmtId="190" formatCode="_(* #,##0.0\x;_(* \(#,##0.0\x\);_(* &quot;- x&quot;_);_(* @_%_)"/>
    <numFmt numFmtId="191" formatCode="_-* #,##0.00_-;\-* #,##0.00_-;_-* &quot;-&quot;??_-;_-@_-"/>
    <numFmt numFmtId="192" formatCode="[$-409]d\-mmm\-yy;@"/>
    <numFmt numFmtId="193" formatCode="#,##0.0"/>
    <numFmt numFmtId="194" formatCode="_(* #,##0.0_);_(* \(#,##0.0\);_(* &quot;-&quot;??_);_(@_)"/>
    <numFmt numFmtId="195" formatCode="0.0"/>
  </numFmts>
  <fonts count="82" x14ac:knownFonts="1">
    <font>
      <sz val="11"/>
      <color theme="1"/>
      <name val="Calibri"/>
      <family val="2"/>
      <scheme val="minor"/>
    </font>
    <font>
      <sz val="11"/>
      <color theme="1"/>
      <name val="Calibri"/>
      <family val="2"/>
      <scheme val="minor"/>
    </font>
    <font>
      <sz val="10"/>
      <color theme="1"/>
      <name val="Arial"/>
      <family val="2"/>
    </font>
    <font>
      <u/>
      <sz val="10"/>
      <color rgb="FF0000FF"/>
      <name val="Arial"/>
      <family val="2"/>
    </font>
    <font>
      <sz val="11"/>
      <name val="Calibri"/>
      <family val="2"/>
      <scheme val="minor"/>
    </font>
    <font>
      <b/>
      <sz val="9"/>
      <color indexed="81"/>
      <name val="Tahoma"/>
      <family val="2"/>
    </font>
    <font>
      <sz val="11"/>
      <color rgb="FF000000"/>
      <name val="Calibri"/>
      <family val="2"/>
      <scheme val="minor"/>
    </font>
    <font>
      <b/>
      <sz val="8"/>
      <name val="Arial"/>
      <family val="2"/>
      <charset val="204"/>
    </font>
    <font>
      <sz val="10"/>
      <color theme="1"/>
      <name val="Open Sans"/>
      <family val="2"/>
    </font>
    <font>
      <b/>
      <sz val="10"/>
      <color theme="1"/>
      <name val="Open Sans"/>
      <family val="2"/>
    </font>
    <font>
      <sz val="10"/>
      <color rgb="FFFF0000"/>
      <name val="Open Sans"/>
      <family val="2"/>
    </font>
    <font>
      <b/>
      <sz val="10"/>
      <color theme="0"/>
      <name val="Open Sans"/>
      <family val="2"/>
    </font>
    <font>
      <sz val="10"/>
      <name val="Open Sans"/>
      <family val="2"/>
    </font>
    <font>
      <sz val="10"/>
      <color theme="9" tint="-0.249977111117893"/>
      <name val="Open Sans"/>
      <family val="2"/>
    </font>
    <font>
      <i/>
      <sz val="10"/>
      <name val="Open Sans"/>
      <family val="2"/>
    </font>
    <font>
      <b/>
      <sz val="10"/>
      <name val="Open Sans"/>
      <family val="2"/>
    </font>
    <font>
      <i/>
      <sz val="10"/>
      <color theme="1"/>
      <name val="Open Sans"/>
      <family val="2"/>
    </font>
    <font>
      <sz val="10"/>
      <color rgb="FF7030A0"/>
      <name val="Open Sans"/>
      <family val="2"/>
    </font>
    <font>
      <sz val="11"/>
      <color theme="1"/>
      <name val="Arial Narrow"/>
      <family val="2"/>
    </font>
    <font>
      <u/>
      <sz val="11"/>
      <color theme="10"/>
      <name val="Arial Narrow"/>
      <family val="2"/>
    </font>
    <font>
      <sz val="10"/>
      <name val="Arial Narrow"/>
      <family val="2"/>
    </font>
    <font>
      <sz val="10"/>
      <name val="Arial"/>
      <family val="2"/>
    </font>
    <font>
      <b/>
      <u/>
      <sz val="10"/>
      <name val="Open Sans"/>
      <family val="2"/>
    </font>
    <font>
      <i/>
      <sz val="10"/>
      <color theme="9" tint="-0.249977111117893"/>
      <name val="Open Sans"/>
      <family val="2"/>
    </font>
    <font>
      <sz val="10"/>
      <color rgb="FF00B0F0"/>
      <name val="Open Sans"/>
      <family val="2"/>
    </font>
    <font>
      <b/>
      <u/>
      <sz val="11"/>
      <color theme="1"/>
      <name val="Calibri"/>
      <family val="2"/>
      <scheme val="minor"/>
    </font>
    <font>
      <sz val="10"/>
      <color theme="8" tint="0.79998168889431442"/>
      <name val="Open Sans"/>
      <family val="2"/>
    </font>
    <font>
      <i/>
      <sz val="11"/>
      <color theme="1"/>
      <name val="Calibri"/>
      <family val="2"/>
      <scheme val="minor"/>
    </font>
    <font>
      <b/>
      <u/>
      <sz val="10"/>
      <color theme="1"/>
      <name val="Open Sans"/>
      <family val="2"/>
    </font>
    <font>
      <sz val="10"/>
      <color theme="1"/>
      <name val="Open sans"/>
    </font>
    <font>
      <b/>
      <sz val="10"/>
      <color theme="1"/>
      <name val="Open sans"/>
    </font>
    <font>
      <sz val="11"/>
      <color theme="9" tint="-0.249977111117893"/>
      <name val="Calibri"/>
      <family val="2"/>
      <scheme val="minor"/>
    </font>
    <font>
      <b/>
      <sz val="10"/>
      <name val="Open Sans"/>
    </font>
    <font>
      <b/>
      <u/>
      <sz val="10"/>
      <name val="Open Sans"/>
    </font>
    <font>
      <b/>
      <sz val="10"/>
      <color rgb="FF7030A0"/>
      <name val="Open Sans"/>
      <family val="2"/>
    </font>
    <font>
      <sz val="11"/>
      <color rgb="FF7030A0"/>
      <name val="Calibri"/>
      <family val="2"/>
      <scheme val="minor"/>
    </font>
    <font>
      <b/>
      <sz val="10"/>
      <color rgb="FF00B0F0"/>
      <name val="Open Sans"/>
      <family val="2"/>
    </font>
    <font>
      <b/>
      <sz val="10"/>
      <color theme="1" tint="0.499984740745262"/>
      <name val="Open Sans"/>
      <family val="2"/>
    </font>
    <font>
      <sz val="11"/>
      <color rgb="FF00B0F0"/>
      <name val="Calibri"/>
      <family val="2"/>
      <scheme val="minor"/>
    </font>
    <font>
      <sz val="12"/>
      <color theme="1"/>
      <name val="Calibri"/>
      <family val="2"/>
      <scheme val="minor"/>
    </font>
    <font>
      <u/>
      <sz val="12"/>
      <color theme="10"/>
      <name val="Calibri"/>
      <family val="2"/>
      <scheme val="minor"/>
    </font>
    <font>
      <sz val="10"/>
      <color rgb="FFC00000"/>
      <name val="Open sans"/>
    </font>
    <font>
      <u/>
      <sz val="10"/>
      <color theme="1"/>
      <name val="Open sans"/>
    </font>
    <font>
      <u val="singleAccounting"/>
      <sz val="10"/>
      <color theme="1"/>
      <name val="Open sans"/>
    </font>
    <font>
      <sz val="10"/>
      <name val="Open sans"/>
    </font>
    <font>
      <u/>
      <sz val="10"/>
      <name val="Open sans"/>
    </font>
    <font>
      <b/>
      <u/>
      <sz val="10"/>
      <color theme="1"/>
      <name val="Open sans"/>
    </font>
    <font>
      <sz val="9"/>
      <color indexed="0"/>
      <name val="Helvetica"/>
    </font>
    <font>
      <b/>
      <sz val="10"/>
      <name val="MS Sans Serif"/>
      <family val="2"/>
    </font>
    <font>
      <sz val="9"/>
      <name val="Times New Roman"/>
      <family val="1"/>
    </font>
    <font>
      <i/>
      <sz val="10"/>
      <color rgb="FF00B0F0"/>
      <name val="Open Sans"/>
      <family val="2"/>
    </font>
    <font>
      <b/>
      <sz val="10"/>
      <color rgb="FFFF0000"/>
      <name val="Open Sans"/>
    </font>
    <font>
      <b/>
      <sz val="11"/>
      <color theme="1"/>
      <name val="Calibri"/>
      <family val="2"/>
      <scheme val="minor"/>
    </font>
    <font>
      <sz val="10"/>
      <color theme="1"/>
      <name val="Amazon Ember"/>
      <family val="2"/>
    </font>
    <font>
      <b/>
      <sz val="10"/>
      <color theme="1"/>
      <name val="Amazon Ember"/>
      <family val="2"/>
    </font>
    <font>
      <b/>
      <sz val="10"/>
      <name val="Amazon Ember"/>
      <family val="2"/>
    </font>
    <font>
      <sz val="10"/>
      <name val="Amazon Ember"/>
      <family val="2"/>
    </font>
    <font>
      <i/>
      <sz val="10"/>
      <name val="Amazon Ember"/>
      <family val="2"/>
    </font>
    <font>
      <sz val="10"/>
      <color rgb="FF7030A0"/>
      <name val="Amazon Ember"/>
      <family val="2"/>
    </font>
    <font>
      <sz val="11"/>
      <name val="Amazon Ember"/>
      <family val="2"/>
    </font>
    <font>
      <b/>
      <sz val="20"/>
      <name val="Amazon Ember"/>
      <family val="2"/>
    </font>
    <font>
      <sz val="9"/>
      <name val="Amazon Ember"/>
      <family val="2"/>
    </font>
    <font>
      <b/>
      <sz val="12"/>
      <name val="Amazon Ember"/>
      <family val="2"/>
    </font>
    <font>
      <b/>
      <sz val="16"/>
      <name val="Amazon Ember"/>
      <family val="2"/>
    </font>
    <font>
      <b/>
      <i/>
      <sz val="10"/>
      <name val="Amazon Ember"/>
      <family val="2"/>
    </font>
    <font>
      <u val="singleAccounting"/>
      <sz val="10"/>
      <name val="Amazon Ember"/>
      <family val="2"/>
    </font>
    <font>
      <b/>
      <sz val="18"/>
      <name val="Amazon Ember"/>
      <family val="2"/>
    </font>
    <font>
      <sz val="10"/>
      <color theme="0"/>
      <name val="Amazon Ember"/>
      <family val="2"/>
    </font>
    <font>
      <b/>
      <sz val="10"/>
      <color rgb="FFFF9900"/>
      <name val="Amazon Ember"/>
      <family val="2"/>
    </font>
    <font>
      <b/>
      <sz val="10"/>
      <color theme="5" tint="-0.499984740745262"/>
      <name val="Amazon Ember"/>
      <family val="2"/>
    </font>
    <font>
      <b/>
      <i/>
      <sz val="10"/>
      <color theme="1"/>
      <name val="Amazon Ember"/>
      <family val="2"/>
    </font>
    <font>
      <b/>
      <u/>
      <sz val="10"/>
      <color rgb="FF000000"/>
      <name val="Amazon Ember"/>
      <family val="2"/>
    </font>
    <font>
      <b/>
      <sz val="10"/>
      <color rgb="FF000000"/>
      <name val="Amazon Ember"/>
      <family val="2"/>
    </font>
    <font>
      <sz val="10"/>
      <color rgb="FF000000"/>
      <name val="Amazon Ember"/>
      <family val="2"/>
    </font>
    <font>
      <sz val="10"/>
      <color rgb="FFC00000"/>
      <name val="Amazon Ember"/>
      <family val="2"/>
    </font>
    <font>
      <b/>
      <sz val="9"/>
      <name val="Amazon Ember"/>
      <family val="2"/>
    </font>
    <font>
      <sz val="10"/>
      <color theme="1" tint="0.499984740745262"/>
      <name val="Amazon Ember"/>
      <family val="2"/>
    </font>
    <font>
      <sz val="9"/>
      <color theme="1"/>
      <name val="Amazon Ember"/>
      <family val="2"/>
    </font>
    <font>
      <sz val="8"/>
      <color theme="1"/>
      <name val="Amazon Ember"/>
      <family val="2"/>
    </font>
    <font>
      <b/>
      <sz val="11"/>
      <color theme="1"/>
      <name val="Open sans"/>
      <family val="2"/>
    </font>
    <font>
      <sz val="11"/>
      <color theme="1"/>
      <name val="Open sans"/>
      <family val="2"/>
    </font>
    <font>
      <b/>
      <sz val="20"/>
      <color theme="1"/>
      <name val="Amazon Ember"/>
      <family val="2"/>
    </font>
  </fonts>
  <fills count="9">
    <fill>
      <patternFill patternType="none"/>
    </fill>
    <fill>
      <patternFill patternType="gray125"/>
    </fill>
    <fill>
      <patternFill patternType="solid">
        <fgColor theme="7" tint="0.79998168889431442"/>
        <bgColor indexed="64"/>
      </patternFill>
    </fill>
    <fill>
      <patternFill patternType="solid">
        <fgColor theme="3"/>
        <bgColor indexed="64"/>
      </patternFill>
    </fill>
    <fill>
      <patternFill patternType="solid">
        <fgColor theme="0"/>
        <bgColor indexed="64"/>
      </patternFill>
    </fill>
    <fill>
      <patternFill patternType="solid">
        <fgColor rgb="FFFFFFFF"/>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FF9900"/>
        <bgColor indexed="64"/>
      </patternFill>
    </fill>
  </fills>
  <borders count="4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rgb="FFCCCCCC"/>
      </bottom>
      <diagonal/>
    </border>
    <border>
      <left style="thin">
        <color indexed="64"/>
      </left>
      <right/>
      <top/>
      <bottom/>
      <diagonal/>
    </border>
    <border>
      <left style="thin">
        <color indexed="64"/>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dotted">
        <color indexed="64"/>
      </right>
      <top/>
      <bottom style="thin">
        <color indexed="64"/>
      </bottom>
      <diagonal/>
    </border>
    <border>
      <left/>
      <right style="dotted">
        <color indexed="64"/>
      </right>
      <top style="thin">
        <color indexed="64"/>
      </top>
      <bottom/>
      <diagonal/>
    </border>
    <border>
      <left/>
      <right style="dotted">
        <color indexed="64"/>
      </right>
      <top/>
      <bottom/>
      <diagonal/>
    </border>
    <border>
      <left/>
      <right/>
      <top/>
      <bottom style="dotted">
        <color indexed="64"/>
      </bottom>
      <diagonal/>
    </border>
    <border>
      <left/>
      <right/>
      <top/>
      <bottom style="hair">
        <color rgb="FFFF9900"/>
      </bottom>
      <diagonal/>
    </border>
    <border>
      <left/>
      <right/>
      <top style="hair">
        <color rgb="FFFF9900"/>
      </top>
      <bottom/>
      <diagonal/>
    </border>
    <border>
      <left style="dotted">
        <color indexed="64"/>
      </left>
      <right/>
      <top style="hair">
        <color rgb="FFFF9900"/>
      </top>
      <bottom/>
      <diagonal/>
    </border>
    <border>
      <left/>
      <right style="dotted">
        <color indexed="64"/>
      </right>
      <top style="hair">
        <color rgb="FFFF9900"/>
      </top>
      <bottom/>
      <diagonal/>
    </border>
    <border>
      <left style="dotted">
        <color indexed="64"/>
      </left>
      <right/>
      <top/>
      <bottom/>
      <diagonal/>
    </border>
    <border>
      <left/>
      <right style="dotted">
        <color indexed="64"/>
      </right>
      <top/>
      <bottom style="hair">
        <color rgb="FFFF9900"/>
      </bottom>
      <diagonal/>
    </border>
    <border>
      <left/>
      <right/>
      <top/>
      <bottom style="medium">
        <color auto="1"/>
      </bottom>
      <diagonal/>
    </border>
    <border>
      <left style="hair">
        <color rgb="FFFF9900"/>
      </left>
      <right/>
      <top/>
      <bottom/>
      <diagonal/>
    </border>
    <border>
      <left style="hair">
        <color rgb="FFFF9900"/>
      </left>
      <right/>
      <top/>
      <bottom style="thin">
        <color indexed="64"/>
      </bottom>
      <diagonal/>
    </border>
    <border>
      <left/>
      <right style="hair">
        <color rgb="FFFF9900"/>
      </right>
      <top/>
      <bottom style="hair">
        <color rgb="FFFF9900"/>
      </bottom>
      <diagonal/>
    </border>
    <border>
      <left style="hair">
        <color rgb="FFFF9900"/>
      </left>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bottom style="hair">
        <color rgb="FFFF9900"/>
      </bottom>
      <diagonal/>
    </border>
    <border>
      <left/>
      <right style="thin">
        <color indexed="64"/>
      </right>
      <top/>
      <bottom style="hair">
        <color rgb="FFFF9900"/>
      </bottom>
      <diagonal/>
    </border>
    <border>
      <left style="thin">
        <color indexed="64"/>
      </left>
      <right/>
      <top style="hair">
        <color rgb="FFFF9900"/>
      </top>
      <bottom style="hair">
        <color rgb="FFFF9900"/>
      </bottom>
      <diagonal/>
    </border>
    <border>
      <left/>
      <right style="thin">
        <color indexed="64"/>
      </right>
      <top style="hair">
        <color rgb="FFFF9900"/>
      </top>
      <bottom style="hair">
        <color rgb="FFFF9900"/>
      </bottom>
      <diagonal/>
    </border>
    <border>
      <left/>
      <right style="thin">
        <color indexed="64"/>
      </right>
      <top style="hair">
        <color rgb="FFFF9900"/>
      </top>
      <bottom/>
      <diagonal/>
    </border>
    <border>
      <left style="thin">
        <color indexed="64"/>
      </left>
      <right/>
      <top style="hair">
        <color rgb="FFFF9900"/>
      </top>
      <bottom style="thin">
        <color indexed="64"/>
      </bottom>
      <diagonal/>
    </border>
    <border>
      <left/>
      <right style="thin">
        <color indexed="64"/>
      </right>
      <top style="hair">
        <color rgb="FFFF9900"/>
      </top>
      <bottom style="thin">
        <color indexed="64"/>
      </bottom>
      <diagonal/>
    </border>
  </borders>
  <cellStyleXfs count="34">
    <xf numFmtId="0" fontId="0" fillId="0" borderId="0"/>
    <xf numFmtId="9" fontId="1" fillId="0" borderId="0" applyFont="0" applyFill="0" applyBorder="0" applyAlignment="0" applyProtection="0"/>
    <xf numFmtId="0" fontId="2" fillId="0" borderId="0"/>
    <xf numFmtId="0" fontId="3" fillId="0" borderId="0"/>
    <xf numFmtId="0" fontId="6" fillId="0" borderId="0"/>
    <xf numFmtId="164" fontId="7" fillId="5" borderId="7">
      <alignment horizontal="left" vertical="center"/>
    </xf>
    <xf numFmtId="0" fontId="18" fillId="0" borderId="0"/>
    <xf numFmtId="43"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0" fontId="19" fillId="0" borderId="0" applyNumberFormat="0" applyFill="0" applyBorder="0" applyAlignment="0" applyProtection="0"/>
    <xf numFmtId="43" fontId="1" fillId="0" borderId="0" applyFont="0" applyFill="0" applyBorder="0" applyAlignment="0" applyProtection="0"/>
    <xf numFmtId="0" fontId="39" fillId="0" borderId="0"/>
    <xf numFmtId="43" fontId="39" fillId="0" borderId="0" applyFont="0" applyFill="0" applyBorder="0" applyAlignment="0" applyProtection="0"/>
    <xf numFmtId="0" fontId="40" fillId="0" borderId="0" applyNumberFormat="0" applyFill="0" applyBorder="0" applyAlignment="0" applyProtection="0"/>
    <xf numFmtId="9" fontId="39" fillId="0" borderId="0" applyFont="0" applyFill="0" applyBorder="0" applyAlignment="0" applyProtection="0"/>
    <xf numFmtId="43" fontId="39" fillId="0" borderId="0" applyFont="0" applyFill="0" applyBorder="0" applyAlignment="0" applyProtection="0"/>
    <xf numFmtId="9" fontId="21" fillId="0" borderId="0" applyFont="0" applyFill="0" applyBorder="0" applyAlignment="0" applyProtection="0"/>
    <xf numFmtId="0" fontId="21" fillId="0" borderId="0">
      <alignment vertical="top"/>
    </xf>
    <xf numFmtId="9" fontId="21" fillId="0" borderId="0" applyFont="0" applyFill="0" applyBorder="0" applyAlignment="0" applyProtection="0"/>
    <xf numFmtId="43" fontId="21" fillId="0" borderId="0" applyFont="0" applyFill="0" applyBorder="0" applyAlignment="0" applyProtection="0"/>
    <xf numFmtId="0" fontId="47" fillId="0" borderId="0"/>
    <xf numFmtId="0" fontId="48" fillId="0" borderId="0" applyNumberFormat="0" applyFill="0" applyBorder="0" applyAlignment="0" applyProtection="0"/>
    <xf numFmtId="0" fontId="21" fillId="0" borderId="0" applyFill="0" applyBorder="0" applyProtection="0">
      <protection locked="0"/>
    </xf>
    <xf numFmtId="180" fontId="20" fillId="0" borderId="0" applyFont="0" applyFill="0" applyBorder="0" applyAlignment="0" applyProtection="0"/>
    <xf numFmtId="187" fontId="49" fillId="0" borderId="0" applyFont="0" applyFill="0" applyBorder="0" applyAlignment="0" applyProtection="0">
      <alignment horizontal="right"/>
    </xf>
    <xf numFmtId="0" fontId="21" fillId="0" borderId="0" applyFill="0" applyBorder="0" applyProtection="0">
      <protection locked="0"/>
    </xf>
    <xf numFmtId="0" fontId="21" fillId="0" borderId="0"/>
    <xf numFmtId="0" fontId="21" fillId="0" borderId="0" applyFill="0" applyBorder="0" applyProtection="0">
      <protection locked="0"/>
    </xf>
    <xf numFmtId="0" fontId="21" fillId="0" borderId="0" applyFill="0" applyBorder="0" applyProtection="0">
      <protection locked="0"/>
    </xf>
    <xf numFmtId="0" fontId="21" fillId="0" borderId="0"/>
    <xf numFmtId="191" fontId="39" fillId="0" borderId="0" applyFont="0" applyFill="0" applyBorder="0" applyAlignment="0" applyProtection="0"/>
    <xf numFmtId="0" fontId="21" fillId="0" borderId="0"/>
    <xf numFmtId="9" fontId="39" fillId="0" borderId="0" applyFont="0" applyFill="0" applyBorder="0" applyAlignment="0" applyProtection="0"/>
  </cellStyleXfs>
  <cellXfs count="621">
    <xf numFmtId="0" fontId="0" fillId="0" borderId="0" xfId="0"/>
    <xf numFmtId="9" fontId="8" fillId="0" borderId="0" xfId="1" applyFont="1"/>
    <xf numFmtId="164" fontId="8" fillId="0" borderId="0" xfId="1" applyNumberFormat="1" applyFont="1"/>
    <xf numFmtId="0" fontId="8" fillId="0" borderId="0" xfId="0" applyFont="1"/>
    <xf numFmtId="0" fontId="8" fillId="0" borderId="1" xfId="0" applyFont="1" applyBorder="1"/>
    <xf numFmtId="0" fontId="9" fillId="0" borderId="1" xfId="0" applyFont="1" applyBorder="1"/>
    <xf numFmtId="0" fontId="11" fillId="3" borderId="0" xfId="0" applyFont="1" applyFill="1"/>
    <xf numFmtId="0" fontId="9" fillId="0" borderId="0" xfId="0" applyFont="1"/>
    <xf numFmtId="0" fontId="12" fillId="4" borderId="0" xfId="0" applyFont="1" applyFill="1"/>
    <xf numFmtId="3" fontId="12" fillId="0" borderId="0" xfId="0" applyNumberFormat="1" applyFont="1"/>
    <xf numFmtId="0" fontId="16" fillId="0" borderId="0" xfId="0" applyFont="1"/>
    <xf numFmtId="3" fontId="8" fillId="0" borderId="0" xfId="0" applyNumberFormat="1" applyFont="1"/>
    <xf numFmtId="164" fontId="8" fillId="0" borderId="0" xfId="0" applyNumberFormat="1" applyFont="1"/>
    <xf numFmtId="37" fontId="17" fillId="0" borderId="0" xfId="0" applyNumberFormat="1" applyFont="1"/>
    <xf numFmtId="37" fontId="12" fillId="0" borderId="0" xfId="0" applyNumberFormat="1" applyFont="1"/>
    <xf numFmtId="37" fontId="8" fillId="0" borderId="0" xfId="0" applyNumberFormat="1" applyFont="1"/>
    <xf numFmtId="172" fontId="11" fillId="3" borderId="0" xfId="0" applyNumberFormat="1" applyFont="1" applyFill="1"/>
    <xf numFmtId="173" fontId="11" fillId="3" borderId="0" xfId="0" applyNumberFormat="1" applyFont="1" applyFill="1"/>
    <xf numFmtId="0" fontId="9" fillId="6" borderId="10" xfId="0" applyFont="1" applyFill="1" applyBorder="1"/>
    <xf numFmtId="6" fontId="15" fillId="6" borderId="11" xfId="0" applyNumberFormat="1" applyFont="1" applyFill="1" applyBorder="1"/>
    <xf numFmtId="9" fontId="12" fillId="4" borderId="0" xfId="1" applyFont="1" applyFill="1"/>
    <xf numFmtId="0" fontId="12" fillId="0" borderId="0" xfId="0" applyFont="1"/>
    <xf numFmtId="0" fontId="8" fillId="0" borderId="13" xfId="0" applyFont="1" applyBorder="1"/>
    <xf numFmtId="0" fontId="8" fillId="0" borderId="14" xfId="0" applyFont="1" applyBorder="1"/>
    <xf numFmtId="0" fontId="8" fillId="0" borderId="9" xfId="0" applyFont="1" applyBorder="1"/>
    <xf numFmtId="164" fontId="8" fillId="0" borderId="1" xfId="1" applyNumberFormat="1" applyFont="1" applyBorder="1"/>
    <xf numFmtId="3" fontId="8" fillId="0" borderId="14" xfId="0" applyNumberFormat="1" applyFont="1" applyBorder="1"/>
    <xf numFmtId="37" fontId="13" fillId="0" borderId="0" xfId="0" applyNumberFormat="1" applyFont="1"/>
    <xf numFmtId="5" fontId="8" fillId="0" borderId="14" xfId="0" applyNumberFormat="1" applyFont="1" applyBorder="1"/>
    <xf numFmtId="5" fontId="8" fillId="0" borderId="15" xfId="0" applyNumberFormat="1" applyFont="1" applyBorder="1"/>
    <xf numFmtId="3" fontId="12" fillId="0" borderId="14" xfId="0" applyNumberFormat="1" applyFont="1" applyBorder="1"/>
    <xf numFmtId="164" fontId="12" fillId="0" borderId="0" xfId="1" applyNumberFormat="1" applyFont="1" applyFill="1"/>
    <xf numFmtId="164" fontId="12" fillId="0" borderId="0" xfId="1" applyNumberFormat="1" applyFont="1" applyFill="1" applyBorder="1"/>
    <xf numFmtId="164" fontId="15" fillId="6" borderId="11" xfId="1" applyNumberFormat="1" applyFont="1" applyFill="1" applyBorder="1"/>
    <xf numFmtId="174" fontId="13" fillId="0" borderId="0" xfId="0" applyNumberFormat="1" applyFont="1"/>
    <xf numFmtId="9" fontId="12" fillId="0" borderId="14" xfId="1" applyFont="1" applyBorder="1"/>
    <xf numFmtId="9" fontId="12" fillId="0" borderId="15" xfId="1" applyFont="1" applyBorder="1"/>
    <xf numFmtId="9" fontId="12" fillId="0" borderId="13" xfId="1" applyFont="1" applyBorder="1"/>
    <xf numFmtId="175" fontId="8" fillId="0" borderId="9" xfId="0" applyNumberFormat="1" applyFont="1" applyBorder="1"/>
    <xf numFmtId="175" fontId="8" fillId="0" borderId="1" xfId="0" applyNumberFormat="1" applyFont="1" applyBorder="1"/>
    <xf numFmtId="175" fontId="8" fillId="0" borderId="5" xfId="0" applyNumberFormat="1" applyFont="1" applyBorder="1"/>
    <xf numFmtId="164" fontId="12" fillId="0" borderId="14" xfId="1" applyNumberFormat="1" applyFont="1" applyBorder="1"/>
    <xf numFmtId="0" fontId="8" fillId="0" borderId="0" xfId="0" applyFont="1" applyAlignment="1">
      <alignment horizontal="centerContinuous"/>
    </xf>
    <xf numFmtId="164" fontId="12" fillId="0" borderId="14" xfId="1" applyNumberFormat="1" applyFont="1" applyFill="1" applyBorder="1"/>
    <xf numFmtId="0" fontId="25" fillId="0" borderId="0" xfId="0" applyFont="1"/>
    <xf numFmtId="164" fontId="24" fillId="0" borderId="0" xfId="1" applyNumberFormat="1" applyFont="1" applyFill="1"/>
    <xf numFmtId="5" fontId="8" fillId="0" borderId="0" xfId="0" applyNumberFormat="1" applyFont="1"/>
    <xf numFmtId="9" fontId="12" fillId="0" borderId="0" xfId="1" applyFont="1" applyBorder="1"/>
    <xf numFmtId="0" fontId="14" fillId="0" borderId="13" xfId="0" applyFont="1" applyBorder="1"/>
    <xf numFmtId="5" fontId="14" fillId="0" borderId="14" xfId="0" applyNumberFormat="1" applyFont="1" applyBorder="1"/>
    <xf numFmtId="5" fontId="14" fillId="0" borderId="15" xfId="0" applyNumberFormat="1" applyFont="1" applyBorder="1"/>
    <xf numFmtId="0" fontId="14" fillId="0" borderId="8" xfId="0" applyFont="1" applyBorder="1"/>
    <xf numFmtId="0" fontId="14" fillId="0" borderId="9" xfId="0" applyFont="1" applyBorder="1"/>
    <xf numFmtId="164" fontId="14" fillId="0" borderId="1" xfId="1" applyNumberFormat="1" applyFont="1" applyFill="1" applyBorder="1"/>
    <xf numFmtId="9" fontId="14" fillId="0" borderId="13" xfId="1" applyFont="1" applyFill="1" applyBorder="1"/>
    <xf numFmtId="9" fontId="14" fillId="0" borderId="14" xfId="1" applyFont="1" applyFill="1" applyBorder="1"/>
    <xf numFmtId="9" fontId="14" fillId="0" borderId="15" xfId="1" applyFont="1" applyFill="1" applyBorder="1"/>
    <xf numFmtId="9" fontId="14" fillId="0" borderId="8" xfId="1" applyFont="1" applyFill="1" applyBorder="1"/>
    <xf numFmtId="9" fontId="14" fillId="0" borderId="0" xfId="1" applyFont="1" applyFill="1" applyBorder="1"/>
    <xf numFmtId="9" fontId="14" fillId="0" borderId="6" xfId="1" applyFont="1" applyFill="1" applyBorder="1"/>
    <xf numFmtId="175" fontId="14" fillId="0" borderId="9" xfId="0" applyNumberFormat="1" applyFont="1" applyBorder="1"/>
    <xf numFmtId="175" fontId="14" fillId="0" borderId="1" xfId="0" applyNumberFormat="1" applyFont="1" applyBorder="1"/>
    <xf numFmtId="175" fontId="14" fillId="0" borderId="5" xfId="0" applyNumberFormat="1" applyFont="1" applyBorder="1"/>
    <xf numFmtId="164" fontId="13" fillId="0" borderId="0" xfId="1" applyNumberFormat="1" applyFont="1" applyFill="1"/>
    <xf numFmtId="164" fontId="13" fillId="0" borderId="0" xfId="1" applyNumberFormat="1" applyFont="1" applyFill="1" applyBorder="1"/>
    <xf numFmtId="0" fontId="4" fillId="0" borderId="0" xfId="0" applyFont="1"/>
    <xf numFmtId="5" fontId="12" fillId="0" borderId="0" xfId="0" applyNumberFormat="1" applyFont="1"/>
    <xf numFmtId="0" fontId="26" fillId="0" borderId="0" xfId="0" applyFont="1"/>
    <xf numFmtId="0" fontId="26" fillId="0" borderId="1" xfId="0" applyFont="1" applyBorder="1"/>
    <xf numFmtId="164" fontId="10" fillId="0" borderId="0" xfId="1" applyNumberFormat="1" applyFont="1" applyFill="1"/>
    <xf numFmtId="164" fontId="8" fillId="0" borderId="5" xfId="1" applyNumberFormat="1" applyFont="1" applyBorder="1"/>
    <xf numFmtId="164" fontId="17" fillId="0" borderId="0" xfId="1" applyNumberFormat="1" applyFont="1" applyFill="1"/>
    <xf numFmtId="168" fontId="12" fillId="0" borderId="0" xfId="0" applyNumberFormat="1" applyFont="1"/>
    <xf numFmtId="0" fontId="9" fillId="6" borderId="0" xfId="0" applyFont="1" applyFill="1"/>
    <xf numFmtId="0" fontId="8" fillId="6" borderId="0" xfId="0" applyFont="1" applyFill="1"/>
    <xf numFmtId="0" fontId="9" fillId="0" borderId="0" xfId="0" applyFont="1" applyAlignment="1">
      <alignment horizontal="centerContinuous"/>
    </xf>
    <xf numFmtId="37" fontId="24" fillId="0" borderId="0" xfId="0" applyNumberFormat="1" applyFont="1"/>
    <xf numFmtId="174" fontId="24" fillId="0" borderId="0" xfId="0" applyNumberFormat="1" applyFont="1"/>
    <xf numFmtId="164" fontId="16" fillId="0" borderId="1" xfId="1" applyNumberFormat="1" applyFont="1" applyBorder="1"/>
    <xf numFmtId="164" fontId="16" fillId="0" borderId="5" xfId="1" applyNumberFormat="1" applyFont="1" applyBorder="1"/>
    <xf numFmtId="0" fontId="27" fillId="0" borderId="0" xfId="0" applyFont="1"/>
    <xf numFmtId="0" fontId="22" fillId="0" borderId="0" xfId="0" applyFont="1"/>
    <xf numFmtId="0" fontId="12" fillId="0" borderId="0" xfId="0" applyFont="1" applyAlignment="1">
      <alignment horizontal="left" indent="1"/>
    </xf>
    <xf numFmtId="6" fontId="15" fillId="0" borderId="11" xfId="0" applyNumberFormat="1" applyFont="1" applyBorder="1"/>
    <xf numFmtId="0" fontId="9" fillId="0" borderId="14" xfId="0" applyFont="1" applyBorder="1"/>
    <xf numFmtId="6" fontId="15" fillId="0" borderId="14" xfId="0" applyNumberFormat="1" applyFont="1" applyBorder="1"/>
    <xf numFmtId="0" fontId="9" fillId="0" borderId="11" xfId="0" applyFont="1" applyBorder="1"/>
    <xf numFmtId="0" fontId="12" fillId="0" borderId="0" xfId="0" applyFont="1" applyAlignment="1">
      <alignment horizontal="left"/>
    </xf>
    <xf numFmtId="164" fontId="24" fillId="0" borderId="0" xfId="1" applyNumberFormat="1" applyFont="1"/>
    <xf numFmtId="164" fontId="12" fillId="0" borderId="0" xfId="1" applyNumberFormat="1" applyFont="1"/>
    <xf numFmtId="5" fontId="15" fillId="6" borderId="11" xfId="0" applyNumberFormat="1" applyFont="1" applyFill="1" applyBorder="1"/>
    <xf numFmtId="5" fontId="24" fillId="0" borderId="0" xfId="0" applyNumberFormat="1" applyFont="1"/>
    <xf numFmtId="0" fontId="12" fillId="0" borderId="14" xfId="0" applyFont="1" applyBorder="1" applyAlignment="1">
      <alignment horizontal="left"/>
    </xf>
    <xf numFmtId="37" fontId="12" fillId="0" borderId="14" xfId="0" applyNumberFormat="1" applyFont="1" applyBorder="1"/>
    <xf numFmtId="43" fontId="17" fillId="0" borderId="0" xfId="11" applyFont="1"/>
    <xf numFmtId="7" fontId="12" fillId="0" borderId="0" xfId="0" applyNumberFormat="1" applyFont="1"/>
    <xf numFmtId="176" fontId="12" fillId="0" borderId="0" xfId="0" applyNumberFormat="1" applyFont="1"/>
    <xf numFmtId="0" fontId="8" fillId="0" borderId="10" xfId="0" applyFont="1" applyBorder="1"/>
    <xf numFmtId="0" fontId="24" fillId="0" borderId="0" xfId="0" applyFont="1"/>
    <xf numFmtId="164" fontId="17" fillId="0" borderId="0" xfId="1" applyNumberFormat="1" applyFont="1"/>
    <xf numFmtId="0" fontId="28" fillId="0" borderId="0" xfId="0" applyFont="1"/>
    <xf numFmtId="0" fontId="8" fillId="0" borderId="0" xfId="0" applyFont="1" applyAlignment="1">
      <alignment horizontal="left" indent="1"/>
    </xf>
    <xf numFmtId="37" fontId="9" fillId="0" borderId="14" xfId="0" applyNumberFormat="1" applyFont="1" applyBorder="1"/>
    <xf numFmtId="0" fontId="9" fillId="0" borderId="10" xfId="0" applyFont="1" applyBorder="1"/>
    <xf numFmtId="37" fontId="9" fillId="0" borderId="11" xfId="0" applyNumberFormat="1" applyFont="1" applyBorder="1"/>
    <xf numFmtId="37" fontId="9" fillId="0" borderId="12" xfId="0" applyNumberFormat="1" applyFont="1" applyBorder="1"/>
    <xf numFmtId="164" fontId="17" fillId="0" borderId="0" xfId="0" applyNumberFormat="1" applyFont="1"/>
    <xf numFmtId="164" fontId="12" fillId="0" borderId="0" xfId="0" applyNumberFormat="1" applyFont="1"/>
    <xf numFmtId="5" fontId="23" fillId="0" borderId="0" xfId="0" applyNumberFormat="1" applyFont="1"/>
    <xf numFmtId="5" fontId="23" fillId="0" borderId="6" xfId="0" applyNumberFormat="1" applyFont="1" applyBorder="1"/>
    <xf numFmtId="5" fontId="17" fillId="0" borderId="0" xfId="0" applyNumberFormat="1" applyFont="1"/>
    <xf numFmtId="170" fontId="12" fillId="0" borderId="0" xfId="0" applyNumberFormat="1" applyFont="1"/>
    <xf numFmtId="170" fontId="24" fillId="0" borderId="0" xfId="0" applyNumberFormat="1" applyFont="1"/>
    <xf numFmtId="170" fontId="12" fillId="0" borderId="11" xfId="0" applyNumberFormat="1" applyFont="1" applyBorder="1"/>
    <xf numFmtId="43" fontId="0" fillId="0" borderId="0" xfId="11" applyFont="1"/>
    <xf numFmtId="5" fontId="17" fillId="0" borderId="0" xfId="11" applyNumberFormat="1" applyFont="1"/>
    <xf numFmtId="170" fontId="12" fillId="0" borderId="14" xfId="1" applyNumberFormat="1" applyFont="1" applyBorder="1"/>
    <xf numFmtId="169" fontId="12" fillId="0" borderId="0" xfId="1" applyNumberFormat="1" applyFont="1"/>
    <xf numFmtId="43" fontId="12" fillId="0" borderId="0" xfId="11" applyFont="1"/>
    <xf numFmtId="5" fontId="13" fillId="0" borderId="0" xfId="0" applyNumberFormat="1" applyFont="1"/>
    <xf numFmtId="0" fontId="31" fillId="0" borderId="0" xfId="0" applyFont="1"/>
    <xf numFmtId="172" fontId="11" fillId="3" borderId="0" xfId="0" applyNumberFormat="1" applyFont="1" applyFill="1" applyAlignment="1">
      <alignment horizontal="right"/>
    </xf>
    <xf numFmtId="173" fontId="11" fillId="3" borderId="0" xfId="0" applyNumberFormat="1" applyFont="1" applyFill="1" applyAlignment="1">
      <alignment horizontal="right"/>
    </xf>
    <xf numFmtId="3" fontId="24" fillId="0" borderId="0" xfId="0" applyNumberFormat="1" applyFont="1"/>
    <xf numFmtId="172" fontId="11" fillId="3" borderId="0" xfId="0" applyNumberFormat="1" applyFont="1" applyFill="1" applyAlignment="1">
      <alignment horizontal="centerContinuous"/>
    </xf>
    <xf numFmtId="0" fontId="8" fillId="0" borderId="0" xfId="0" applyFont="1" applyAlignment="1">
      <alignment horizontal="right"/>
    </xf>
    <xf numFmtId="3" fontId="24" fillId="0" borderId="0" xfId="0" applyNumberFormat="1" applyFont="1" applyAlignment="1">
      <alignment horizontal="right"/>
    </xf>
    <xf numFmtId="3" fontId="12" fillId="0" borderId="0" xfId="0" applyNumberFormat="1" applyFont="1" applyAlignment="1">
      <alignment horizontal="right"/>
    </xf>
    <xf numFmtId="164" fontId="8" fillId="0" borderId="0" xfId="1" applyNumberFormat="1" applyFont="1" applyAlignment="1">
      <alignment horizontal="right"/>
    </xf>
    <xf numFmtId="0" fontId="30" fillId="0" borderId="0" xfId="0" applyFont="1" applyAlignment="1">
      <alignment horizontal="right"/>
    </xf>
    <xf numFmtId="0" fontId="30" fillId="0" borderId="0" xfId="0" applyFont="1"/>
    <xf numFmtId="0" fontId="12" fillId="0" borderId="10" xfId="0" applyFont="1" applyBorder="1"/>
    <xf numFmtId="37" fontId="24" fillId="0" borderId="11" xfId="0" applyNumberFormat="1" applyFont="1" applyBorder="1"/>
    <xf numFmtId="37" fontId="17" fillId="0" borderId="0" xfId="0" applyNumberFormat="1" applyFont="1" applyAlignment="1">
      <alignment horizontal="right"/>
    </xf>
    <xf numFmtId="9" fontId="24" fillId="0" borderId="0" xfId="1" applyFont="1"/>
    <xf numFmtId="164" fontId="24" fillId="0" borderId="0" xfId="1" applyNumberFormat="1" applyFont="1" applyBorder="1"/>
    <xf numFmtId="172" fontId="11" fillId="3" borderId="0" xfId="0" applyNumberFormat="1" applyFont="1" applyFill="1" applyAlignment="1">
      <alignment horizontal="left"/>
    </xf>
    <xf numFmtId="3" fontId="17" fillId="0" borderId="0" xfId="0" applyNumberFormat="1" applyFont="1"/>
    <xf numFmtId="6" fontId="34" fillId="6" borderId="11" xfId="0" applyNumberFormat="1" applyFont="1" applyFill="1" applyBorder="1"/>
    <xf numFmtId="37" fontId="12" fillId="0" borderId="11" xfId="0" applyNumberFormat="1" applyFont="1" applyBorder="1"/>
    <xf numFmtId="172" fontId="11" fillId="3" borderId="17" xfId="0" applyNumberFormat="1" applyFont="1" applyFill="1" applyBorder="1" applyAlignment="1">
      <alignment horizontal="right"/>
    </xf>
    <xf numFmtId="0" fontId="8" fillId="0" borderId="18" xfId="0" applyFont="1" applyBorder="1"/>
    <xf numFmtId="37" fontId="12" fillId="0" borderId="18" xfId="0" applyNumberFormat="1" applyFont="1" applyBorder="1"/>
    <xf numFmtId="37" fontId="12" fillId="0" borderId="16" xfId="0" applyNumberFormat="1" applyFont="1" applyBorder="1"/>
    <xf numFmtId="164" fontId="12" fillId="0" borderId="18" xfId="1" applyNumberFormat="1" applyFont="1" applyFill="1" applyBorder="1"/>
    <xf numFmtId="3" fontId="12" fillId="0" borderId="18" xfId="0" applyNumberFormat="1" applyFont="1" applyBorder="1"/>
    <xf numFmtId="6" fontId="15" fillId="6" borderId="16" xfId="0" applyNumberFormat="1" applyFont="1" applyFill="1" applyBorder="1"/>
    <xf numFmtId="173" fontId="11" fillId="3" borderId="17" xfId="0" applyNumberFormat="1" applyFont="1" applyFill="1" applyBorder="1" applyAlignment="1">
      <alignment horizontal="right"/>
    </xf>
    <xf numFmtId="164" fontId="12" fillId="0" borderId="11" xfId="1" applyNumberFormat="1" applyFont="1" applyBorder="1"/>
    <xf numFmtId="0" fontId="35" fillId="0" borderId="0" xfId="0" applyFont="1"/>
    <xf numFmtId="6" fontId="34" fillId="6" borderId="16" xfId="0" applyNumberFormat="1" applyFont="1" applyFill="1" applyBorder="1"/>
    <xf numFmtId="164" fontId="15" fillId="0" borderId="11" xfId="1" applyNumberFormat="1" applyFont="1" applyFill="1" applyBorder="1"/>
    <xf numFmtId="164" fontId="15" fillId="0" borderId="16" xfId="1" applyNumberFormat="1" applyFont="1" applyFill="1" applyBorder="1"/>
    <xf numFmtId="164" fontId="36" fillId="0" borderId="11" xfId="1" applyNumberFormat="1" applyFont="1" applyFill="1" applyBorder="1"/>
    <xf numFmtId="164" fontId="15" fillId="0" borderId="0" xfId="1" applyNumberFormat="1" applyFont="1" applyFill="1" applyBorder="1"/>
    <xf numFmtId="164" fontId="36" fillId="0" borderId="0" xfId="1" applyNumberFormat="1" applyFont="1" applyFill="1" applyBorder="1"/>
    <xf numFmtId="164" fontId="37" fillId="0" borderId="0" xfId="1" applyNumberFormat="1" applyFont="1" applyFill="1" applyBorder="1"/>
    <xf numFmtId="164" fontId="0" fillId="0" borderId="0" xfId="0" applyNumberFormat="1"/>
    <xf numFmtId="164" fontId="12" fillId="0" borderId="18" xfId="1" applyNumberFormat="1" applyFont="1" applyBorder="1"/>
    <xf numFmtId="164" fontId="12" fillId="0" borderId="16" xfId="1" applyNumberFormat="1" applyFont="1" applyBorder="1"/>
    <xf numFmtId="164" fontId="12" fillId="0" borderId="18" xfId="0" applyNumberFormat="1" applyFont="1" applyBorder="1"/>
    <xf numFmtId="164" fontId="8" fillId="0" borderId="0" xfId="1" applyNumberFormat="1" applyFont="1" applyBorder="1"/>
    <xf numFmtId="43" fontId="8" fillId="0" borderId="0" xfId="11" applyFont="1"/>
    <xf numFmtId="37" fontId="32" fillId="0" borderId="14" xfId="0" applyNumberFormat="1" applyFont="1" applyBorder="1"/>
    <xf numFmtId="0" fontId="0" fillId="0" borderId="18" xfId="0" applyBorder="1"/>
    <xf numFmtId="37" fontId="32" fillId="0" borderId="17" xfId="0" applyNumberFormat="1" applyFont="1" applyBorder="1"/>
    <xf numFmtId="164" fontId="8" fillId="0" borderId="18" xfId="1" applyNumberFormat="1" applyFont="1" applyBorder="1"/>
    <xf numFmtId="37" fontId="12" fillId="0" borderId="17" xfId="0" applyNumberFormat="1" applyFont="1" applyBorder="1"/>
    <xf numFmtId="164" fontId="8" fillId="0" borderId="19" xfId="1" applyNumberFormat="1" applyFont="1" applyBorder="1"/>
    <xf numFmtId="37" fontId="10" fillId="0" borderId="0" xfId="0" applyNumberFormat="1" applyFont="1"/>
    <xf numFmtId="7" fontId="8" fillId="0" borderId="0" xfId="0" applyNumberFormat="1" applyFont="1"/>
    <xf numFmtId="170" fontId="17" fillId="0" borderId="0" xfId="0" applyNumberFormat="1" applyFont="1"/>
    <xf numFmtId="0" fontId="38" fillId="0" borderId="0" xfId="0" applyFont="1"/>
    <xf numFmtId="0" fontId="30" fillId="0" borderId="0" xfId="12" applyFont="1" applyAlignment="1">
      <alignment vertical="center"/>
    </xf>
    <xf numFmtId="0" fontId="29" fillId="0" borderId="0" xfId="12" applyFont="1" applyAlignment="1">
      <alignment vertical="center"/>
    </xf>
    <xf numFmtId="0" fontId="41" fillId="0" borderId="0" xfId="12" applyFont="1" applyAlignment="1">
      <alignment vertical="center"/>
    </xf>
    <xf numFmtId="0" fontId="30" fillId="0" borderId="1" xfId="12" applyFont="1" applyBorder="1" applyAlignment="1">
      <alignment vertical="center"/>
    </xf>
    <xf numFmtId="0" fontId="29" fillId="0" borderId="1" xfId="12" applyFont="1" applyBorder="1" applyAlignment="1">
      <alignment vertical="center"/>
    </xf>
    <xf numFmtId="0" fontId="32" fillId="0" borderId="1" xfId="12" applyFont="1" applyBorder="1" applyAlignment="1">
      <alignment horizontal="right" vertical="center"/>
    </xf>
    <xf numFmtId="0" fontId="30" fillId="0" borderId="1" xfId="12" applyFont="1" applyBorder="1" applyAlignment="1">
      <alignment horizontal="right" vertical="center"/>
    </xf>
    <xf numFmtId="9" fontId="29" fillId="2" borderId="0" xfId="15" applyFont="1" applyFill="1" applyAlignment="1">
      <alignment vertical="center"/>
    </xf>
    <xf numFmtId="167" fontId="29" fillId="2" borderId="0" xfId="16" applyNumberFormat="1" applyFont="1" applyFill="1" applyAlignment="1">
      <alignment vertical="center"/>
    </xf>
    <xf numFmtId="167" fontId="29" fillId="0" borderId="0" xfId="16" applyNumberFormat="1" applyFont="1" applyFill="1" applyAlignment="1">
      <alignment vertical="center"/>
    </xf>
    <xf numFmtId="9" fontId="29" fillId="2" borderId="0" xfId="12" applyNumberFormat="1" applyFont="1" applyFill="1" applyAlignment="1">
      <alignment vertical="center"/>
    </xf>
    <xf numFmtId="0" fontId="42" fillId="0" borderId="0" xfId="12" applyFont="1" applyAlignment="1">
      <alignment vertical="center"/>
    </xf>
    <xf numFmtId="167" fontId="42" fillId="2" borderId="0" xfId="16" applyNumberFormat="1" applyFont="1" applyFill="1" applyAlignment="1">
      <alignment vertical="center"/>
    </xf>
    <xf numFmtId="167" fontId="43" fillId="2" borderId="0" xfId="16" applyNumberFormat="1" applyFont="1" applyFill="1" applyAlignment="1">
      <alignment vertical="center"/>
    </xf>
    <xf numFmtId="167" fontId="43" fillId="0" borderId="0" xfId="16" applyNumberFormat="1" applyFont="1" applyFill="1" applyAlignment="1">
      <alignment vertical="center"/>
    </xf>
    <xf numFmtId="164" fontId="29" fillId="2" borderId="0" xfId="12" applyNumberFormat="1" applyFont="1" applyFill="1" applyAlignment="1">
      <alignment vertical="center"/>
    </xf>
    <xf numFmtId="9" fontId="29" fillId="2" borderId="1" xfId="12" applyNumberFormat="1" applyFont="1" applyFill="1" applyBorder="1" applyAlignment="1">
      <alignment vertical="center"/>
    </xf>
    <xf numFmtId="167" fontId="29" fillId="0" borderId="1" xfId="16" applyNumberFormat="1" applyFont="1" applyFill="1" applyBorder="1" applyAlignment="1">
      <alignment vertical="center"/>
    </xf>
    <xf numFmtId="3" fontId="29" fillId="0" borderId="0" xfId="12" applyNumberFormat="1" applyFont="1" applyAlignment="1">
      <alignment vertical="center"/>
    </xf>
    <xf numFmtId="43" fontId="29" fillId="2" borderId="0" xfId="16" applyFont="1" applyFill="1" applyAlignment="1">
      <alignment vertical="center"/>
    </xf>
    <xf numFmtId="10" fontId="29" fillId="2" borderId="0" xfId="15" applyNumberFormat="1" applyFont="1" applyFill="1" applyAlignment="1">
      <alignment vertical="center"/>
    </xf>
    <xf numFmtId="10" fontId="30" fillId="2" borderId="0" xfId="12" applyNumberFormat="1" applyFont="1" applyFill="1" applyAlignment="1">
      <alignment vertical="center"/>
    </xf>
    <xf numFmtId="10" fontId="30" fillId="2" borderId="0" xfId="15" applyNumberFormat="1" applyFont="1" applyFill="1" applyAlignment="1">
      <alignment vertical="center"/>
    </xf>
    <xf numFmtId="0" fontId="32" fillId="0" borderId="1" xfId="12" applyFont="1" applyBorder="1" applyAlignment="1">
      <alignment horizontal="left" vertical="center"/>
    </xf>
    <xf numFmtId="0" fontId="30" fillId="0" borderId="0" xfId="12" applyFont="1" applyAlignment="1">
      <alignment horizontal="right" vertical="center"/>
    </xf>
    <xf numFmtId="0" fontId="44" fillId="0" borderId="0" xfId="12" applyFont="1" applyAlignment="1">
      <alignment vertical="center"/>
    </xf>
    <xf numFmtId="9" fontId="44" fillId="2" borderId="0" xfId="15" applyFont="1" applyFill="1" applyAlignment="1">
      <alignment vertical="center"/>
    </xf>
    <xf numFmtId="42" fontId="44" fillId="2" borderId="0" xfId="12" applyNumberFormat="1" applyFont="1" applyFill="1" applyAlignment="1">
      <alignment vertical="center"/>
    </xf>
    <xf numFmtId="167" fontId="29" fillId="2" borderId="0" xfId="12" applyNumberFormat="1" applyFont="1" applyFill="1" applyAlignment="1">
      <alignment vertical="center"/>
    </xf>
    <xf numFmtId="0" fontId="30" fillId="0" borderId="0" xfId="18" applyFont="1" applyAlignment="1">
      <alignment vertical="center"/>
    </xf>
    <xf numFmtId="167" fontId="29" fillId="0" borderId="0" xfId="16" applyNumberFormat="1" applyFont="1" applyFill="1" applyBorder="1" applyAlignment="1">
      <alignment vertical="center"/>
    </xf>
    <xf numFmtId="0" fontId="32" fillId="0" borderId="0" xfId="12" applyFont="1" applyAlignment="1">
      <alignment vertical="center"/>
    </xf>
    <xf numFmtId="167" fontId="30" fillId="2" borderId="0" xfId="12" applyNumberFormat="1" applyFont="1" applyFill="1" applyAlignment="1">
      <alignment vertical="center"/>
    </xf>
    <xf numFmtId="43" fontId="29" fillId="0" borderId="0" xfId="16" applyFont="1" applyBorder="1" applyAlignment="1">
      <alignment vertical="center"/>
    </xf>
    <xf numFmtId="43" fontId="29" fillId="2" borderId="0" xfId="16" applyFont="1" applyFill="1" applyBorder="1" applyAlignment="1">
      <alignment vertical="center"/>
    </xf>
    <xf numFmtId="37" fontId="44" fillId="2" borderId="0" xfId="12" applyNumberFormat="1" applyFont="1" applyFill="1" applyAlignment="1">
      <alignment vertical="center"/>
    </xf>
    <xf numFmtId="43" fontId="29" fillId="0" borderId="0" xfId="16" applyFont="1" applyAlignment="1">
      <alignment vertical="center"/>
    </xf>
    <xf numFmtId="43" fontId="30" fillId="0" borderId="0" xfId="16" applyFont="1" applyBorder="1" applyAlignment="1">
      <alignment vertical="center"/>
    </xf>
    <xf numFmtId="43" fontId="29" fillId="0" borderId="0" xfId="16" applyFont="1" applyFill="1" applyBorder="1" applyAlignment="1">
      <alignment vertical="center"/>
    </xf>
    <xf numFmtId="0" fontId="29" fillId="2" borderId="0" xfId="12" applyFont="1" applyFill="1" applyAlignment="1">
      <alignment vertical="center"/>
    </xf>
    <xf numFmtId="167" fontId="29" fillId="0" borderId="0" xfId="12" applyNumberFormat="1" applyFont="1" applyAlignment="1">
      <alignment vertical="center"/>
    </xf>
    <xf numFmtId="0" fontId="45" fillId="0" borderId="0" xfId="12" applyFont="1" applyAlignment="1">
      <alignment vertical="center"/>
    </xf>
    <xf numFmtId="37" fontId="45" fillId="2" borderId="0" xfId="12" applyNumberFormat="1" applyFont="1" applyFill="1" applyAlignment="1">
      <alignment vertical="center"/>
    </xf>
    <xf numFmtId="167" fontId="42" fillId="2" borderId="0" xfId="12" applyNumberFormat="1" applyFont="1" applyFill="1" applyAlignment="1">
      <alignment vertical="center"/>
    </xf>
    <xf numFmtId="42" fontId="32" fillId="2" borderId="0" xfId="12" applyNumberFormat="1" applyFont="1" applyFill="1" applyAlignment="1">
      <alignment vertical="center"/>
    </xf>
    <xf numFmtId="9" fontId="44" fillId="0" borderId="0" xfId="15" applyFont="1" applyFill="1" applyAlignment="1">
      <alignment vertical="center"/>
    </xf>
    <xf numFmtId="10" fontId="29" fillId="2" borderId="0" xfId="19" applyNumberFormat="1" applyFont="1" applyFill="1" applyBorder="1" applyAlignment="1">
      <alignment vertical="center"/>
    </xf>
    <xf numFmtId="43" fontId="29" fillId="0" borderId="0" xfId="16" applyFont="1" applyAlignment="1">
      <alignment horizontal="left" vertical="center"/>
    </xf>
    <xf numFmtId="43" fontId="29" fillId="2" borderId="0" xfId="20" applyFont="1" applyFill="1" applyBorder="1" applyAlignment="1">
      <alignment vertical="center"/>
    </xf>
    <xf numFmtId="10" fontId="29" fillId="2" borderId="0" xfId="20" applyNumberFormat="1" applyFont="1" applyFill="1" applyBorder="1" applyAlignment="1">
      <alignment vertical="center"/>
    </xf>
    <xf numFmtId="9" fontId="45" fillId="2" borderId="0" xfId="15" applyFont="1" applyFill="1" applyAlignment="1">
      <alignment vertical="center"/>
    </xf>
    <xf numFmtId="9" fontId="32" fillId="2" borderId="0" xfId="15" applyFont="1" applyFill="1" applyAlignment="1">
      <alignment vertical="center"/>
    </xf>
    <xf numFmtId="37" fontId="32" fillId="2" borderId="0" xfId="12" applyNumberFormat="1" applyFont="1" applyFill="1" applyAlignment="1">
      <alignment vertical="center"/>
    </xf>
    <xf numFmtId="2" fontId="30" fillId="0" borderId="0" xfId="12" applyNumberFormat="1" applyFont="1" applyAlignment="1">
      <alignment vertical="center"/>
    </xf>
    <xf numFmtId="10" fontId="30" fillId="0" borderId="0" xfId="15" applyNumberFormat="1" applyFont="1" applyFill="1" applyBorder="1" applyAlignment="1">
      <alignment vertical="center"/>
    </xf>
    <xf numFmtId="10" fontId="30" fillId="0" borderId="0" xfId="15" applyNumberFormat="1" applyFont="1" applyFill="1" applyBorder="1" applyAlignment="1">
      <alignment horizontal="right" vertical="center"/>
    </xf>
    <xf numFmtId="0" fontId="33" fillId="0" borderId="0" xfId="12" applyFont="1" applyAlignment="1">
      <alignment vertical="center"/>
    </xf>
    <xf numFmtId="9" fontId="33" fillId="2" borderId="0" xfId="15" applyFont="1" applyFill="1" applyAlignment="1">
      <alignment vertical="center"/>
    </xf>
    <xf numFmtId="37" fontId="33" fillId="2" borderId="0" xfId="12" applyNumberFormat="1" applyFont="1" applyFill="1" applyAlignment="1">
      <alignment vertical="center"/>
    </xf>
    <xf numFmtId="167" fontId="46" fillId="2" borderId="0" xfId="12" applyNumberFormat="1" applyFont="1" applyFill="1" applyAlignment="1">
      <alignment vertical="center"/>
    </xf>
    <xf numFmtId="0" fontId="29" fillId="0" borderId="0" xfId="12" applyFont="1"/>
    <xf numFmtId="167" fontId="29" fillId="2" borderId="1" xfId="16" applyNumberFormat="1" applyFont="1" applyFill="1" applyBorder="1" applyAlignment="1">
      <alignment vertical="center"/>
    </xf>
    <xf numFmtId="10" fontId="30" fillId="0" borderId="0" xfId="12" applyNumberFormat="1" applyFont="1" applyAlignment="1">
      <alignment vertical="center"/>
    </xf>
    <xf numFmtId="167" fontId="42" fillId="0" borderId="0" xfId="12" applyNumberFormat="1" applyFont="1" applyAlignment="1">
      <alignment vertical="center"/>
    </xf>
    <xf numFmtId="167" fontId="30" fillId="0" borderId="0" xfId="12" applyNumberFormat="1" applyFont="1" applyAlignment="1">
      <alignment vertical="center"/>
    </xf>
    <xf numFmtId="167" fontId="29" fillId="0" borderId="1" xfId="12" applyNumberFormat="1" applyFont="1" applyBorder="1" applyAlignment="1">
      <alignment vertical="center"/>
    </xf>
    <xf numFmtId="2" fontId="29" fillId="0" borderId="0" xfId="12" applyNumberFormat="1" applyFont="1" applyAlignment="1">
      <alignment vertical="center"/>
    </xf>
    <xf numFmtId="0" fontId="29" fillId="0" borderId="1" xfId="12" applyFont="1" applyBorder="1" applyAlignment="1">
      <alignment horizontal="right" vertical="center"/>
    </xf>
    <xf numFmtId="0" fontId="29" fillId="0" borderId="0" xfId="12" applyFont="1" applyAlignment="1">
      <alignment horizontal="right" vertical="center"/>
    </xf>
    <xf numFmtId="167" fontId="29" fillId="2" borderId="0" xfId="16" applyNumberFormat="1" applyFont="1" applyFill="1" applyAlignment="1">
      <alignment horizontal="right" vertical="center"/>
    </xf>
    <xf numFmtId="167" fontId="29" fillId="2" borderId="1" xfId="16" applyNumberFormat="1" applyFont="1" applyFill="1" applyBorder="1" applyAlignment="1">
      <alignment horizontal="right" vertical="center"/>
    </xf>
    <xf numFmtId="167" fontId="30" fillId="2" borderId="0" xfId="16" applyNumberFormat="1" applyFont="1" applyFill="1" applyAlignment="1">
      <alignment horizontal="right" vertical="center"/>
    </xf>
    <xf numFmtId="43" fontId="30" fillId="2" borderId="0" xfId="16" applyFont="1" applyFill="1" applyAlignment="1">
      <alignment vertical="center"/>
    </xf>
    <xf numFmtId="2" fontId="30" fillId="2" borderId="0" xfId="12" applyNumberFormat="1" applyFont="1" applyFill="1" applyAlignment="1">
      <alignment vertical="center"/>
    </xf>
    <xf numFmtId="2" fontId="29" fillId="2" borderId="0" xfId="12" applyNumberFormat="1" applyFont="1" applyFill="1" applyAlignment="1">
      <alignment vertical="center"/>
    </xf>
    <xf numFmtId="2" fontId="30" fillId="2" borderId="20" xfId="12" applyNumberFormat="1" applyFont="1" applyFill="1" applyBorder="1" applyAlignment="1">
      <alignment vertical="center"/>
    </xf>
    <xf numFmtId="2" fontId="30" fillId="2" borderId="21" xfId="12" applyNumberFormat="1" applyFont="1" applyFill="1" applyBorder="1" applyAlignment="1">
      <alignment vertical="center"/>
    </xf>
    <xf numFmtId="10" fontId="30" fillId="2" borderId="22" xfId="15" applyNumberFormat="1" applyFont="1" applyFill="1" applyBorder="1" applyAlignment="1">
      <alignment vertical="center"/>
    </xf>
    <xf numFmtId="10" fontId="30" fillId="2" borderId="23" xfId="15" applyNumberFormat="1" applyFont="1" applyFill="1" applyBorder="1" applyAlignment="1">
      <alignment horizontal="right" vertical="center"/>
    </xf>
    <xf numFmtId="0" fontId="3" fillId="0" borderId="0" xfId="3"/>
    <xf numFmtId="37" fontId="12" fillId="4" borderId="0" xfId="0" applyNumberFormat="1" applyFont="1" applyFill="1"/>
    <xf numFmtId="41" fontId="50" fillId="0" borderId="0" xfId="0" applyNumberFormat="1" applyFont="1"/>
    <xf numFmtId="37" fontId="8" fillId="0" borderId="14" xfId="0" applyNumberFormat="1" applyFont="1" applyBorder="1"/>
    <xf numFmtId="37" fontId="17" fillId="0" borderId="14" xfId="0" applyNumberFormat="1" applyFont="1" applyBorder="1"/>
    <xf numFmtId="37" fontId="17" fillId="0" borderId="15" xfId="0" applyNumberFormat="1" applyFont="1" applyBorder="1"/>
    <xf numFmtId="0" fontId="30" fillId="0" borderId="14" xfId="0" applyFont="1" applyBorder="1"/>
    <xf numFmtId="3" fontId="30" fillId="0" borderId="14" xfId="0" applyNumberFormat="1" applyFont="1" applyBorder="1"/>
    <xf numFmtId="3" fontId="51" fillId="0" borderId="14" xfId="0" applyNumberFormat="1" applyFont="1" applyBorder="1"/>
    <xf numFmtId="3" fontId="30" fillId="0" borderId="17" xfId="0" applyNumberFormat="1" applyFont="1" applyBorder="1"/>
    <xf numFmtId="37" fontId="8" fillId="0" borderId="17" xfId="0" applyNumberFormat="1" applyFont="1" applyBorder="1"/>
    <xf numFmtId="0" fontId="53" fillId="0" borderId="0" xfId="0" applyFont="1"/>
    <xf numFmtId="0" fontId="55" fillId="0" borderId="0" xfId="0" applyFont="1"/>
    <xf numFmtId="172" fontId="55" fillId="0" borderId="0" xfId="0" applyNumberFormat="1" applyFont="1"/>
    <xf numFmtId="173" fontId="55" fillId="0" borderId="0" xfId="0" applyNumberFormat="1" applyFont="1"/>
    <xf numFmtId="0" fontId="56" fillId="4" borderId="0" xfId="0" applyFont="1" applyFill="1"/>
    <xf numFmtId="0" fontId="56" fillId="0" borderId="0" xfId="0" applyFont="1"/>
    <xf numFmtId="37" fontId="56" fillId="0" borderId="0" xfId="0" applyNumberFormat="1" applyFont="1"/>
    <xf numFmtId="37" fontId="56" fillId="4" borderId="0" xfId="0" applyNumberFormat="1" applyFont="1" applyFill="1"/>
    <xf numFmtId="9" fontId="56" fillId="4" borderId="0" xfId="1" applyFont="1" applyFill="1"/>
    <xf numFmtId="0" fontId="53" fillId="0" borderId="14" xfId="0" applyFont="1" applyBorder="1"/>
    <xf numFmtId="3" fontId="53" fillId="0" borderId="0" xfId="0" applyNumberFormat="1" applyFont="1"/>
    <xf numFmtId="3" fontId="56" fillId="0" borderId="0" xfId="0" applyNumberFormat="1" applyFont="1"/>
    <xf numFmtId="0" fontId="56" fillId="0" borderId="1" xfId="0" applyFont="1" applyBorder="1"/>
    <xf numFmtId="37" fontId="56" fillId="0" borderId="1" xfId="0" applyNumberFormat="1" applyFont="1" applyBorder="1"/>
    <xf numFmtId="0" fontId="55" fillId="0" borderId="1" xfId="0" applyFont="1" applyBorder="1"/>
    <xf numFmtId="0" fontId="56" fillId="0" borderId="14" xfId="0" applyFont="1" applyBorder="1"/>
    <xf numFmtId="0" fontId="55" fillId="0" borderId="1" xfId="0" applyFont="1" applyBorder="1" applyAlignment="1">
      <alignment horizontal="left"/>
    </xf>
    <xf numFmtId="0" fontId="55" fillId="0" borderId="1" xfId="0" applyFont="1" applyBorder="1" applyAlignment="1">
      <alignment horizontal="centerContinuous"/>
    </xf>
    <xf numFmtId="164" fontId="56" fillId="0" borderId="1" xfId="1" applyNumberFormat="1" applyFont="1" applyBorder="1"/>
    <xf numFmtId="0" fontId="0" fillId="0" borderId="14" xfId="0" applyBorder="1"/>
    <xf numFmtId="0" fontId="55" fillId="0" borderId="14" xfId="0" applyFont="1" applyBorder="1"/>
    <xf numFmtId="0" fontId="56" fillId="0" borderId="28" xfId="0" applyFont="1" applyBorder="1"/>
    <xf numFmtId="37" fontId="56" fillId="0" borderId="28" xfId="0" applyNumberFormat="1" applyFont="1" applyBorder="1"/>
    <xf numFmtId="0" fontId="0" fillId="0" borderId="1" xfId="0" applyBorder="1"/>
    <xf numFmtId="37" fontId="56" fillId="0" borderId="14" xfId="0" applyNumberFormat="1" applyFont="1" applyBorder="1"/>
    <xf numFmtId="168" fontId="56" fillId="0" borderId="0" xfId="0" applyNumberFormat="1" applyFont="1"/>
    <xf numFmtId="39" fontId="56" fillId="0" borderId="0" xfId="0" applyNumberFormat="1" applyFont="1"/>
    <xf numFmtId="37" fontId="55" fillId="0" borderId="0" xfId="0" applyNumberFormat="1" applyFont="1"/>
    <xf numFmtId="0" fontId="52" fillId="0" borderId="0" xfId="0" applyFont="1"/>
    <xf numFmtId="43" fontId="56" fillId="0" borderId="0" xfId="11" applyFont="1"/>
    <xf numFmtId="9" fontId="56" fillId="0" borderId="0" xfId="1" applyFont="1"/>
    <xf numFmtId="164" fontId="56" fillId="0" borderId="0" xfId="1" applyNumberFormat="1" applyFont="1"/>
    <xf numFmtId="164" fontId="56" fillId="0" borderId="28" xfId="1" applyNumberFormat="1" applyFont="1" applyBorder="1"/>
    <xf numFmtId="164" fontId="56" fillId="0" borderId="0" xfId="1" applyNumberFormat="1" applyFont="1" applyBorder="1"/>
    <xf numFmtId="168" fontId="56" fillId="0" borderId="28" xfId="0" applyNumberFormat="1" applyFont="1" applyBorder="1"/>
    <xf numFmtId="168" fontId="0" fillId="0" borderId="0" xfId="0" applyNumberFormat="1"/>
    <xf numFmtId="39" fontId="0" fillId="0" borderId="0" xfId="0" applyNumberFormat="1"/>
    <xf numFmtId="193" fontId="56" fillId="0" borderId="0" xfId="0" applyNumberFormat="1" applyFont="1"/>
    <xf numFmtId="193" fontId="0" fillId="0" borderId="0" xfId="0" applyNumberFormat="1"/>
    <xf numFmtId="193" fontId="56" fillId="0" borderId="14" xfId="0" applyNumberFormat="1" applyFont="1" applyBorder="1"/>
    <xf numFmtId="193" fontId="0" fillId="0" borderId="14" xfId="0" applyNumberFormat="1" applyBorder="1"/>
    <xf numFmtId="3" fontId="56" fillId="0" borderId="28" xfId="0" applyNumberFormat="1" applyFont="1" applyBorder="1"/>
    <xf numFmtId="164" fontId="0" fillId="0" borderId="1" xfId="0" applyNumberFormat="1" applyBorder="1"/>
    <xf numFmtId="168" fontId="56" fillId="0" borderId="1" xfId="0" applyNumberFormat="1" applyFont="1" applyBorder="1"/>
    <xf numFmtId="0" fontId="56" fillId="0" borderId="0" xfId="21" applyFont="1"/>
    <xf numFmtId="0" fontId="60" fillId="0" borderId="0" xfId="22" applyFont="1" applyFill="1" applyBorder="1"/>
    <xf numFmtId="0" fontId="61" fillId="0" borderId="0" xfId="21" applyFont="1"/>
    <xf numFmtId="0" fontId="62" fillId="0" borderId="0" xfId="21" applyFont="1"/>
    <xf numFmtId="189" fontId="61" fillId="0" borderId="0" xfId="21" applyNumberFormat="1" applyFont="1"/>
    <xf numFmtId="0" fontId="63" fillId="0" borderId="0" xfId="22" applyFont="1" applyFill="1" applyBorder="1"/>
    <xf numFmtId="164" fontId="61" fillId="0" borderId="0" xfId="21" applyNumberFormat="1" applyFont="1"/>
    <xf numFmtId="164" fontId="62" fillId="0" borderId="0" xfId="21" applyNumberFormat="1" applyFont="1"/>
    <xf numFmtId="0" fontId="55" fillId="0" borderId="0" xfId="21" applyFont="1"/>
    <xf numFmtId="0" fontId="55" fillId="0" borderId="0" xfId="23" applyFont="1" applyFill="1" applyProtection="1"/>
    <xf numFmtId="0" fontId="56" fillId="0" borderId="0" xfId="23" applyFont="1" applyFill="1" applyProtection="1"/>
    <xf numFmtId="0" fontId="55" fillId="0" borderId="0" xfId="23" applyFont="1" applyFill="1" applyBorder="1" applyAlignment="1" applyProtection="1">
      <alignment horizontal="center"/>
    </xf>
    <xf numFmtId="0" fontId="55" fillId="0" borderId="1" xfId="23" applyFont="1" applyFill="1" applyBorder="1" applyAlignment="1" applyProtection="1">
      <alignment horizontal="centerContinuous"/>
    </xf>
    <xf numFmtId="0" fontId="55" fillId="0" borderId="0" xfId="21" applyFont="1" applyAlignment="1">
      <alignment horizontal="center"/>
    </xf>
    <xf numFmtId="0" fontId="55" fillId="0" borderId="1" xfId="23" applyFont="1" applyFill="1" applyBorder="1" applyAlignment="1" applyProtection="1">
      <alignment horizontal="center"/>
    </xf>
    <xf numFmtId="178" fontId="55" fillId="0" borderId="1" xfId="21" applyNumberFormat="1" applyFont="1" applyBorder="1" applyAlignment="1">
      <alignment horizontal="center"/>
    </xf>
    <xf numFmtId="0" fontId="55" fillId="0" borderId="1" xfId="21" applyFont="1" applyBorder="1" applyAlignment="1">
      <alignment horizontal="center"/>
    </xf>
    <xf numFmtId="178" fontId="55" fillId="0" borderId="24" xfId="21" applyNumberFormat="1" applyFont="1" applyBorder="1" applyAlignment="1">
      <alignment horizontal="center"/>
    </xf>
    <xf numFmtId="179" fontId="55" fillId="0" borderId="0" xfId="22" applyNumberFormat="1" applyFont="1" applyFill="1"/>
    <xf numFmtId="164" fontId="57" fillId="0" borderId="0" xfId="17" applyNumberFormat="1" applyFont="1" applyFill="1" applyAlignment="1" applyProtection="1">
      <alignment horizontal="center"/>
    </xf>
    <xf numFmtId="179" fontId="55" fillId="0" borderId="25" xfId="22" applyNumberFormat="1" applyFont="1" applyFill="1" applyBorder="1"/>
    <xf numFmtId="177" fontId="55" fillId="0" borderId="0" xfId="21" applyNumberFormat="1" applyFont="1"/>
    <xf numFmtId="9" fontId="55" fillId="0" borderId="0" xfId="21" applyNumberFormat="1" applyFont="1"/>
    <xf numFmtId="0" fontId="57" fillId="0" borderId="0" xfId="21" applyFont="1" applyAlignment="1">
      <alignment horizontal="left"/>
    </xf>
    <xf numFmtId="181" fontId="57" fillId="0" borderId="0" xfId="22" applyNumberFormat="1" applyFont="1" applyFill="1" applyBorder="1" applyAlignment="1">
      <alignment horizontal="right"/>
    </xf>
    <xf numFmtId="164" fontId="57" fillId="0" borderId="0" xfId="17" applyNumberFormat="1" applyFont="1" applyFill="1" applyAlignment="1" applyProtection="1">
      <alignment horizontal="right"/>
    </xf>
    <xf numFmtId="164" fontId="57" fillId="0" borderId="26" xfId="17" applyNumberFormat="1" applyFont="1" applyFill="1" applyBorder="1" applyAlignment="1" applyProtection="1">
      <alignment horizontal="right"/>
    </xf>
    <xf numFmtId="164" fontId="57" fillId="0" borderId="0" xfId="17" applyNumberFormat="1" applyFont="1" applyFill="1" applyBorder="1" applyAlignment="1" applyProtection="1">
      <alignment horizontal="right"/>
    </xf>
    <xf numFmtId="9" fontId="61" fillId="0" borderId="0" xfId="21" applyNumberFormat="1" applyFont="1"/>
    <xf numFmtId="0" fontId="59" fillId="0" borderId="0" xfId="0" applyFont="1"/>
    <xf numFmtId="0" fontId="55" fillId="0" borderId="0" xfId="21" applyFont="1" applyAlignment="1">
      <alignment horizontal="left"/>
    </xf>
    <xf numFmtId="177" fontId="55" fillId="0" borderId="26" xfId="21" applyNumberFormat="1" applyFont="1" applyBorder="1"/>
    <xf numFmtId="171" fontId="55" fillId="0" borderId="0" xfId="21" applyNumberFormat="1" applyFont="1"/>
    <xf numFmtId="0" fontId="56" fillId="0" borderId="0" xfId="21" applyFont="1" applyAlignment="1">
      <alignment horizontal="left"/>
    </xf>
    <xf numFmtId="183" fontId="56" fillId="0" borderId="1" xfId="21" applyNumberFormat="1" applyFont="1" applyBorder="1"/>
    <xf numFmtId="177" fontId="61" fillId="0" borderId="0" xfId="21" applyNumberFormat="1" applyFont="1"/>
    <xf numFmtId="0" fontId="56" fillId="0" borderId="26" xfId="21" applyFont="1" applyBorder="1"/>
    <xf numFmtId="183" fontId="56" fillId="0" borderId="0" xfId="21" applyNumberFormat="1" applyFont="1"/>
    <xf numFmtId="183" fontId="56" fillId="0" borderId="26" xfId="21" applyNumberFormat="1" applyFont="1" applyBorder="1"/>
    <xf numFmtId="0" fontId="56" fillId="0" borderId="0" xfId="21" applyFont="1" applyAlignment="1">
      <alignment horizontal="center"/>
    </xf>
    <xf numFmtId="164" fontId="57" fillId="0" borderId="0" xfId="17" applyNumberFormat="1" applyFont="1" applyFill="1" applyBorder="1" applyAlignment="1" applyProtection="1">
      <alignment horizontal="center"/>
    </xf>
    <xf numFmtId="164" fontId="56" fillId="0" borderId="0" xfId="17" applyNumberFormat="1" applyFont="1" applyFill="1" applyBorder="1" applyAlignment="1" applyProtection="1">
      <alignment horizontal="right"/>
    </xf>
    <xf numFmtId="171" fontId="56" fillId="0" borderId="0" xfId="21" applyNumberFormat="1" applyFont="1"/>
    <xf numFmtId="183" fontId="56" fillId="0" borderId="0" xfId="21" applyNumberFormat="1" applyFont="1" applyAlignment="1">
      <alignment horizontal="right"/>
    </xf>
    <xf numFmtId="184" fontId="56" fillId="0" borderId="0" xfId="21" applyNumberFormat="1" applyFont="1"/>
    <xf numFmtId="177" fontId="57" fillId="0" borderId="0" xfId="21" applyNumberFormat="1" applyFont="1"/>
    <xf numFmtId="164" fontId="56" fillId="0" borderId="0" xfId="17" applyNumberFormat="1" applyFont="1" applyFill="1" applyBorder="1" applyProtection="1"/>
    <xf numFmtId="0" fontId="65" fillId="0" borderId="0" xfId="23" applyFont="1" applyFill="1" applyBorder="1" applyAlignment="1" applyProtection="1">
      <alignment horizontal="centerContinuous"/>
    </xf>
    <xf numFmtId="0" fontId="55" fillId="0" borderId="0" xfId="21" applyFont="1" applyAlignment="1">
      <alignment horizontal="centerContinuous"/>
    </xf>
    <xf numFmtId="0" fontId="56" fillId="0" borderId="0" xfId="21" applyFont="1" applyAlignment="1">
      <alignment horizontal="centerContinuous"/>
    </xf>
    <xf numFmtId="171" fontId="55" fillId="0" borderId="0" xfId="21" applyNumberFormat="1" applyFont="1" applyAlignment="1">
      <alignment horizontal="centerContinuous"/>
    </xf>
    <xf numFmtId="0" fontId="55" fillId="0" borderId="0" xfId="23" applyFont="1" applyFill="1" applyBorder="1" applyAlignment="1" applyProtection="1">
      <alignment horizontal="centerContinuous"/>
    </xf>
    <xf numFmtId="171" fontId="55" fillId="0" borderId="0" xfId="23" applyNumberFormat="1" applyFont="1" applyFill="1" applyProtection="1"/>
    <xf numFmtId="177" fontId="56" fillId="0" borderId="0" xfId="21" applyNumberFormat="1" applyFont="1"/>
    <xf numFmtId="185" fontId="55" fillId="0" borderId="0" xfId="23" applyNumberFormat="1" applyFont="1" applyFill="1" applyBorder="1" applyAlignment="1" applyProtection="1">
      <alignment horizontal="center"/>
    </xf>
    <xf numFmtId="0" fontId="57" fillId="0" borderId="0" xfId="23" applyFont="1" applyFill="1" applyBorder="1" applyProtection="1"/>
    <xf numFmtId="164" fontId="57" fillId="0" borderId="0" xfId="17" applyNumberFormat="1" applyFont="1" applyFill="1" applyProtection="1"/>
    <xf numFmtId="15" fontId="56" fillId="0" borderId="0" xfId="21" applyNumberFormat="1" applyFont="1"/>
    <xf numFmtId="38" fontId="56" fillId="0" borderId="0" xfId="23" applyNumberFormat="1" applyFont="1" applyFill="1" applyBorder="1" applyAlignment="1" applyProtection="1">
      <alignment horizontal="center"/>
    </xf>
    <xf numFmtId="0" fontId="55" fillId="0" borderId="1" xfId="23" applyFont="1" applyFill="1" applyBorder="1" applyProtection="1"/>
    <xf numFmtId="0" fontId="56" fillId="0" borderId="0" xfId="23" applyFont="1" applyFill="1" applyBorder="1" applyProtection="1"/>
    <xf numFmtId="177" fontId="56" fillId="0" borderId="0" xfId="23" applyNumberFormat="1" applyFont="1" applyFill="1" applyProtection="1"/>
    <xf numFmtId="186" fontId="56" fillId="0" borderId="1" xfId="23" applyNumberFormat="1" applyFont="1" applyFill="1" applyBorder="1" applyProtection="1"/>
    <xf numFmtId="0" fontId="55" fillId="0" borderId="0" xfId="23" applyFont="1" applyFill="1" applyBorder="1" applyProtection="1"/>
    <xf numFmtId="177" fontId="55" fillId="0" borderId="0" xfId="23" applyNumberFormat="1" applyFont="1" applyFill="1" applyBorder="1" applyProtection="1"/>
    <xf numFmtId="184" fontId="56" fillId="0" borderId="1" xfId="23" applyNumberFormat="1" applyFont="1" applyFill="1" applyBorder="1" applyProtection="1"/>
    <xf numFmtId="164" fontId="55" fillId="0" borderId="0" xfId="17" applyNumberFormat="1" applyFont="1" applyFill="1" applyBorder="1" applyAlignment="1" applyProtection="1">
      <alignment horizontal="centerContinuous"/>
    </xf>
    <xf numFmtId="165" fontId="56" fillId="0" borderId="0" xfId="23" applyNumberFormat="1" applyFont="1" applyFill="1" applyBorder="1" applyAlignment="1" applyProtection="1">
      <alignment horizontal="centerContinuous"/>
    </xf>
    <xf numFmtId="166" fontId="56" fillId="0" borderId="0" xfId="23" applyNumberFormat="1" applyFont="1" applyFill="1" applyBorder="1" applyProtection="1"/>
    <xf numFmtId="164" fontId="55" fillId="0" borderId="0" xfId="21" applyNumberFormat="1" applyFont="1" applyAlignment="1">
      <alignment horizontal="center"/>
    </xf>
    <xf numFmtId="0" fontId="55" fillId="0" borderId="0" xfId="23" applyFont="1" applyFill="1" applyBorder="1" applyAlignment="1" applyProtection="1">
      <alignment horizontal="right" vertical="distributed" textRotation="90"/>
      <protection locked="0"/>
    </xf>
    <xf numFmtId="164" fontId="55" fillId="0" borderId="0" xfId="17" applyNumberFormat="1" applyFont="1" applyFill="1" applyBorder="1"/>
    <xf numFmtId="38" fontId="56" fillId="0" borderId="8" xfId="23" applyNumberFormat="1" applyFont="1" applyFill="1" applyBorder="1" applyAlignment="1" applyProtection="1">
      <alignment horizontal="center"/>
    </xf>
    <xf numFmtId="164" fontId="56" fillId="0" borderId="8" xfId="23" applyNumberFormat="1" applyFont="1" applyFill="1" applyBorder="1" applyAlignment="1" applyProtection="1">
      <alignment horizontal="center"/>
    </xf>
    <xf numFmtId="164" fontId="56" fillId="0" borderId="0" xfId="23" applyNumberFormat="1" applyFont="1" applyFill="1" applyBorder="1" applyAlignment="1" applyProtection="1">
      <alignment horizontal="center"/>
    </xf>
    <xf numFmtId="164" fontId="56" fillId="0" borderId="0" xfId="1" applyNumberFormat="1" applyFont="1" applyFill="1" applyBorder="1" applyAlignment="1" applyProtection="1">
      <alignment horizontal="center"/>
    </xf>
    <xf numFmtId="0" fontId="56" fillId="0" borderId="0" xfId="26" applyFont="1" applyFill="1" applyProtection="1"/>
    <xf numFmtId="187" fontId="57" fillId="0" borderId="0" xfId="25" applyFont="1" applyFill="1" applyBorder="1" applyAlignment="1">
      <alignment horizontal="right"/>
    </xf>
    <xf numFmtId="164" fontId="56" fillId="0" borderId="27" xfId="17" applyNumberFormat="1" applyFont="1" applyFill="1" applyBorder="1" applyProtection="1"/>
    <xf numFmtId="0" fontId="55" fillId="0" borderId="27" xfId="23" applyFont="1" applyFill="1" applyBorder="1" applyProtection="1"/>
    <xf numFmtId="177" fontId="55" fillId="0" borderId="27" xfId="23" applyNumberFormat="1" applyFont="1" applyFill="1" applyBorder="1" applyProtection="1"/>
    <xf numFmtId="164" fontId="56" fillId="0" borderId="27" xfId="17" applyNumberFormat="1" applyFont="1" applyFill="1" applyBorder="1" applyAlignment="1" applyProtection="1">
      <alignment horizontal="right"/>
    </xf>
    <xf numFmtId="0" fontId="56" fillId="0" borderId="27" xfId="21" applyFont="1" applyBorder="1"/>
    <xf numFmtId="187" fontId="57" fillId="0" borderId="27" xfId="25" applyFont="1" applyFill="1" applyBorder="1" applyAlignment="1">
      <alignment horizontal="right"/>
    </xf>
    <xf numFmtId="164" fontId="57" fillId="0" borderId="0" xfId="17" applyNumberFormat="1" applyFont="1" applyFill="1" applyBorder="1" applyProtection="1"/>
    <xf numFmtId="0" fontId="66" fillId="0" borderId="0" xfId="22" applyFont="1" applyFill="1" applyBorder="1"/>
    <xf numFmtId="185" fontId="56" fillId="0" borderId="13" xfId="23" applyNumberFormat="1" applyFont="1" applyFill="1" applyBorder="1" applyAlignment="1" applyProtection="1">
      <alignment horizontal="center"/>
    </xf>
    <xf numFmtId="185" fontId="56" fillId="0" borderId="14" xfId="23" applyNumberFormat="1" applyFont="1" applyFill="1" applyBorder="1" applyAlignment="1" applyProtection="1">
      <alignment horizontal="center"/>
    </xf>
    <xf numFmtId="185" fontId="56" fillId="0" borderId="8" xfId="23" applyNumberFormat="1" applyFont="1" applyFill="1" applyBorder="1" applyAlignment="1" applyProtection="1">
      <alignment horizontal="center"/>
    </xf>
    <xf numFmtId="185" fontId="56" fillId="0" borderId="0" xfId="23" applyNumberFormat="1" applyFont="1" applyFill="1" applyBorder="1" applyAlignment="1" applyProtection="1">
      <alignment horizontal="center"/>
    </xf>
    <xf numFmtId="0" fontId="55" fillId="0" borderId="0" xfId="27" applyFont="1"/>
    <xf numFmtId="0" fontId="56" fillId="0" borderId="0" xfId="27" applyFont="1"/>
    <xf numFmtId="177" fontId="55" fillId="0" borderId="0" xfId="27" applyNumberFormat="1" applyFont="1"/>
    <xf numFmtId="189" fontId="56" fillId="0" borderId="0" xfId="22" applyNumberFormat="1" applyFont="1" applyFill="1" applyBorder="1"/>
    <xf numFmtId="0" fontId="55" fillId="0" borderId="14" xfId="27" applyFont="1" applyBorder="1"/>
    <xf numFmtId="0" fontId="56" fillId="0" borderId="14" xfId="27" applyFont="1" applyBorder="1"/>
    <xf numFmtId="189" fontId="55" fillId="0" borderId="14" xfId="22" applyNumberFormat="1" applyFont="1" applyFill="1" applyBorder="1"/>
    <xf numFmtId="164" fontId="55" fillId="0" borderId="0" xfId="1" applyNumberFormat="1" applyFont="1" applyFill="1" applyBorder="1"/>
    <xf numFmtId="0" fontId="55" fillId="0" borderId="1" xfId="23" applyFont="1" applyFill="1" applyBorder="1" applyAlignment="1" applyProtection="1">
      <alignment horizontal="left"/>
    </xf>
    <xf numFmtId="182" fontId="56" fillId="0" borderId="0" xfId="21" applyNumberFormat="1" applyFont="1"/>
    <xf numFmtId="0" fontId="55" fillId="0" borderId="29" xfId="21" applyFont="1" applyBorder="1" applyAlignment="1">
      <alignment horizontal="left"/>
    </xf>
    <xf numFmtId="0" fontId="61" fillId="0" borderId="29" xfId="21" applyFont="1" applyBorder="1"/>
    <xf numFmtId="177" fontId="55" fillId="0" borderId="29" xfId="21" applyNumberFormat="1" applyFont="1" applyBorder="1"/>
    <xf numFmtId="182" fontId="56" fillId="0" borderId="26" xfId="21" applyNumberFormat="1" applyFont="1" applyBorder="1"/>
    <xf numFmtId="177" fontId="55" fillId="0" borderId="30" xfId="21" applyNumberFormat="1" applyFont="1" applyBorder="1"/>
    <xf numFmtId="177" fontId="55" fillId="0" borderId="31" xfId="21" applyNumberFormat="1" applyFont="1" applyBorder="1"/>
    <xf numFmtId="177" fontId="55" fillId="0" borderId="32" xfId="21" applyNumberFormat="1" applyFont="1" applyBorder="1"/>
    <xf numFmtId="182" fontId="56" fillId="0" borderId="33" xfId="21" applyNumberFormat="1" applyFont="1" applyBorder="1"/>
    <xf numFmtId="182" fontId="56" fillId="0" borderId="28" xfId="21" applyNumberFormat="1" applyFont="1" applyBorder="1"/>
    <xf numFmtId="183" fontId="56" fillId="0" borderId="28" xfId="23" applyNumberFormat="1" applyFont="1" applyFill="1" applyBorder="1" applyProtection="1"/>
    <xf numFmtId="183" fontId="56" fillId="0" borderId="28" xfId="21" applyNumberFormat="1" applyFont="1" applyBorder="1"/>
    <xf numFmtId="0" fontId="56" fillId="0" borderId="28" xfId="21" applyFont="1" applyBorder="1"/>
    <xf numFmtId="0" fontId="55" fillId="0" borderId="14" xfId="21" applyFont="1" applyBorder="1"/>
    <xf numFmtId="0" fontId="56" fillId="0" borderId="14" xfId="21" applyFont="1" applyBorder="1"/>
    <xf numFmtId="177" fontId="64" fillId="0" borderId="14" xfId="21" applyNumberFormat="1" applyFont="1" applyBorder="1"/>
    <xf numFmtId="171" fontId="56" fillId="0" borderId="14" xfId="21" applyNumberFormat="1" applyFont="1" applyBorder="1"/>
    <xf numFmtId="0" fontId="56" fillId="0" borderId="14" xfId="21" applyFont="1" applyBorder="1" applyAlignment="1">
      <alignment horizontal="center"/>
    </xf>
    <xf numFmtId="171" fontId="55" fillId="0" borderId="14" xfId="21" applyNumberFormat="1" applyFont="1" applyBorder="1"/>
    <xf numFmtId="164" fontId="55" fillId="0" borderId="0" xfId="17" applyNumberFormat="1" applyFont="1" applyFill="1" applyBorder="1" applyAlignment="1" applyProtection="1">
      <alignment horizontal="right"/>
    </xf>
    <xf numFmtId="0" fontId="55" fillId="0" borderId="11" xfId="21" applyFont="1" applyBorder="1" applyAlignment="1">
      <alignment horizontal="centerContinuous"/>
    </xf>
    <xf numFmtId="0" fontId="56" fillId="0" borderId="11" xfId="21" applyFont="1" applyBorder="1" applyAlignment="1">
      <alignment horizontal="centerContinuous"/>
    </xf>
    <xf numFmtId="177" fontId="55" fillId="0" borderId="14" xfId="23" applyNumberFormat="1" applyFont="1" applyFill="1" applyBorder="1" applyProtection="1"/>
    <xf numFmtId="190" fontId="55" fillId="0" borderId="14" xfId="25" applyNumberFormat="1" applyFont="1" applyFill="1" applyBorder="1" applyAlignment="1">
      <alignment horizontal="right" vertical="distributed"/>
    </xf>
    <xf numFmtId="188" fontId="55" fillId="0" borderId="14" xfId="25" applyNumberFormat="1" applyFont="1" applyFill="1" applyBorder="1" applyAlignment="1">
      <alignment horizontal="right" vertical="distributed"/>
    </xf>
    <xf numFmtId="164" fontId="55" fillId="0" borderId="11" xfId="17" applyNumberFormat="1" applyFont="1" applyFill="1" applyBorder="1" applyAlignment="1" applyProtection="1">
      <alignment horizontal="centerContinuous"/>
    </xf>
    <xf numFmtId="165" fontId="56" fillId="0" borderId="11" xfId="23" applyNumberFormat="1" applyFont="1" applyFill="1" applyBorder="1" applyAlignment="1" applyProtection="1">
      <alignment horizontal="centerContinuous"/>
    </xf>
    <xf numFmtId="0" fontId="56" fillId="0" borderId="11" xfId="23" applyFont="1" applyFill="1" applyBorder="1" applyAlignment="1" applyProtection="1">
      <alignment horizontal="centerContinuous"/>
    </xf>
    <xf numFmtId="166" fontId="67" fillId="0" borderId="0" xfId="23" applyNumberFormat="1" applyFont="1" applyFill="1" applyBorder="1" applyProtection="1"/>
    <xf numFmtId="185" fontId="68" fillId="0" borderId="1" xfId="23" applyNumberFormat="1" applyFont="1" applyFill="1" applyBorder="1" applyAlignment="1" applyProtection="1">
      <alignment horizontal="center"/>
    </xf>
    <xf numFmtId="164" fontId="68" fillId="0" borderId="0" xfId="17" applyNumberFormat="1" applyFont="1" applyFill="1" applyBorder="1"/>
    <xf numFmtId="164" fontId="68" fillId="0" borderId="0" xfId="1" applyNumberFormat="1" applyFont="1" applyFill="1" applyBorder="1" applyAlignment="1" applyProtection="1">
      <alignment horizontal="center"/>
    </xf>
    <xf numFmtId="6" fontId="68" fillId="0" borderId="0" xfId="23" applyNumberFormat="1" applyFont="1" applyFill="1" applyBorder="1" applyAlignment="1" applyProtection="1">
      <alignment horizontal="center"/>
    </xf>
    <xf numFmtId="185" fontId="68" fillId="0" borderId="0" xfId="23" applyNumberFormat="1" applyFont="1" applyFill="1" applyBorder="1" applyAlignment="1" applyProtection="1">
      <alignment horizontal="center"/>
    </xf>
    <xf numFmtId="179" fontId="55" fillId="0" borderId="14" xfId="22" applyNumberFormat="1" applyFont="1" applyFill="1" applyBorder="1"/>
    <xf numFmtId="183" fontId="55" fillId="0" borderId="0" xfId="23" applyNumberFormat="1" applyFont="1" applyFill="1" applyBorder="1" applyProtection="1"/>
    <xf numFmtId="0" fontId="55" fillId="0" borderId="0" xfId="27" applyFont="1" applyAlignment="1">
      <alignment horizontal="left"/>
    </xf>
    <xf numFmtId="43" fontId="55" fillId="0" borderId="0" xfId="11" applyFont="1" applyFill="1" applyBorder="1"/>
    <xf numFmtId="0" fontId="57" fillId="0" borderId="34" xfId="22" applyFont="1" applyFill="1" applyBorder="1"/>
    <xf numFmtId="0" fontId="61" fillId="0" borderId="34" xfId="21" applyFont="1" applyBorder="1"/>
    <xf numFmtId="0" fontId="55" fillId="0" borderId="34" xfId="22" applyFont="1" applyFill="1" applyBorder="1"/>
    <xf numFmtId="0" fontId="55" fillId="0" borderId="34" xfId="22" applyFont="1" applyFill="1" applyBorder="1" applyAlignment="1">
      <alignment horizontal="right"/>
    </xf>
    <xf numFmtId="0" fontId="69" fillId="0" borderId="0" xfId="12" applyFont="1" applyAlignment="1">
      <alignment vertical="center"/>
    </xf>
    <xf numFmtId="0" fontId="53" fillId="0" borderId="0" xfId="12" applyFont="1" applyAlignment="1">
      <alignment vertical="center"/>
    </xf>
    <xf numFmtId="0" fontId="54" fillId="0" borderId="0" xfId="12" applyFont="1" applyAlignment="1">
      <alignment vertical="center"/>
    </xf>
    <xf numFmtId="14" fontId="53" fillId="0" borderId="0" xfId="12" applyNumberFormat="1" applyFont="1" applyAlignment="1">
      <alignment vertical="center"/>
    </xf>
    <xf numFmtId="0" fontId="70" fillId="0" borderId="0" xfId="12" applyFont="1" applyAlignment="1">
      <alignment wrapText="1"/>
    </xf>
    <xf numFmtId="0" fontId="54" fillId="0" borderId="17" xfId="12" applyFont="1" applyBorder="1" applyAlignment="1">
      <alignment horizontal="right" vertical="center"/>
    </xf>
    <xf numFmtId="0" fontId="71" fillId="0" borderId="14" xfId="12" applyFont="1" applyBorder="1" applyAlignment="1">
      <alignment horizontal="centerContinuous" vertical="center"/>
    </xf>
    <xf numFmtId="0" fontId="71" fillId="0" borderId="15" xfId="12" applyFont="1" applyBorder="1" applyAlignment="1">
      <alignment horizontal="centerContinuous" vertical="center"/>
    </xf>
    <xf numFmtId="0" fontId="71" fillId="0" borderId="13" xfId="12" applyFont="1" applyBorder="1" applyAlignment="1">
      <alignment horizontal="centerContinuous" vertical="center"/>
    </xf>
    <xf numFmtId="0" fontId="53" fillId="0" borderId="14" xfId="12" applyFont="1" applyBorder="1" applyAlignment="1">
      <alignment vertical="center"/>
    </xf>
    <xf numFmtId="3" fontId="53" fillId="0" borderId="0" xfId="12" applyNumberFormat="1" applyFont="1" applyAlignment="1">
      <alignment vertical="center"/>
    </xf>
    <xf numFmtId="37" fontId="53" fillId="0" borderId="0" xfId="12" applyNumberFormat="1" applyFont="1" applyAlignment="1">
      <alignment vertical="center"/>
    </xf>
    <xf numFmtId="0" fontId="54" fillId="0" borderId="19" xfId="12" applyFont="1" applyBorder="1" applyAlignment="1">
      <alignment horizontal="right" vertical="center"/>
    </xf>
    <xf numFmtId="0" fontId="72" fillId="0" borderId="1" xfId="12" applyFont="1" applyBorder="1" applyAlignment="1">
      <alignment horizontal="right" vertical="center"/>
    </xf>
    <xf numFmtId="0" fontId="72" fillId="0" borderId="5" xfId="12" applyFont="1" applyBorder="1" applyAlignment="1">
      <alignment horizontal="right" vertical="center"/>
    </xf>
    <xf numFmtId="0" fontId="73" fillId="0" borderId="0" xfId="12" applyFont="1" applyAlignment="1">
      <alignment vertical="center"/>
    </xf>
    <xf numFmtId="39" fontId="53" fillId="0" borderId="0" xfId="12" applyNumberFormat="1" applyFont="1" applyAlignment="1">
      <alignment vertical="center"/>
    </xf>
    <xf numFmtId="39" fontId="53" fillId="0" borderId="0" xfId="31" applyNumberFormat="1" applyFont="1" applyBorder="1" applyAlignment="1">
      <alignment vertical="center"/>
    </xf>
    <xf numFmtId="9" fontId="53" fillId="0" borderId="0" xfId="1" applyFont="1" applyAlignment="1">
      <alignment vertical="center"/>
    </xf>
    <xf numFmtId="14" fontId="53" fillId="2" borderId="6" xfId="12" applyNumberFormat="1" applyFont="1" applyFill="1" applyBorder="1"/>
    <xf numFmtId="43" fontId="53" fillId="2" borderId="0" xfId="13" applyFont="1" applyFill="1"/>
    <xf numFmtId="0" fontId="73" fillId="2" borderId="6" xfId="12" applyFont="1" applyFill="1" applyBorder="1" applyAlignment="1">
      <alignment vertical="center"/>
    </xf>
    <xf numFmtId="0" fontId="53" fillId="2" borderId="0" xfId="12" applyFont="1" applyFill="1" applyAlignment="1">
      <alignment vertical="center"/>
    </xf>
    <xf numFmtId="10" fontId="73" fillId="2" borderId="6" xfId="15" applyNumberFormat="1" applyFont="1" applyFill="1" applyBorder="1" applyAlignment="1">
      <alignment vertical="center"/>
    </xf>
    <xf numFmtId="10" fontId="73" fillId="2" borderId="0" xfId="15" applyNumberFormat="1" applyFont="1" applyFill="1" applyBorder="1" applyAlignment="1">
      <alignment vertical="center"/>
    </xf>
    <xf numFmtId="0" fontId="53" fillId="0" borderId="1" xfId="12" applyFont="1" applyBorder="1" applyAlignment="1">
      <alignment vertical="center"/>
    </xf>
    <xf numFmtId="37" fontId="53" fillId="0" borderId="1" xfId="12" applyNumberFormat="1" applyFont="1" applyBorder="1" applyAlignment="1">
      <alignment vertical="center"/>
    </xf>
    <xf numFmtId="39" fontId="53" fillId="0" borderId="1" xfId="12" applyNumberFormat="1" applyFont="1" applyBorder="1" applyAlignment="1">
      <alignment vertical="center"/>
    </xf>
    <xf numFmtId="39" fontId="53" fillId="0" borderId="1" xfId="31" applyNumberFormat="1" applyFont="1" applyBorder="1" applyAlignment="1">
      <alignment vertical="center"/>
    </xf>
    <xf numFmtId="9" fontId="53" fillId="0" borderId="1" xfId="1" applyFont="1" applyBorder="1" applyAlignment="1">
      <alignment vertical="center"/>
    </xf>
    <xf numFmtId="0" fontId="54" fillId="0" borderId="2" xfId="12" applyFont="1" applyBorder="1" applyAlignment="1">
      <alignment vertical="center"/>
    </xf>
    <xf numFmtId="0" fontId="54" fillId="0" borderId="3" xfId="12" applyFont="1" applyBorder="1" applyAlignment="1">
      <alignment vertical="center"/>
    </xf>
    <xf numFmtId="0" fontId="54" fillId="0" borderId="1" xfId="12" applyFont="1" applyBorder="1" applyAlignment="1">
      <alignment vertical="center"/>
    </xf>
    <xf numFmtId="43" fontId="53" fillId="0" borderId="0" xfId="16" applyFont="1" applyFill="1" applyBorder="1" applyAlignment="1">
      <alignment vertical="center"/>
    </xf>
    <xf numFmtId="192" fontId="54" fillId="0" borderId="1" xfId="12" applyNumberFormat="1" applyFont="1" applyBorder="1" applyAlignment="1">
      <alignment vertical="center"/>
    </xf>
    <xf numFmtId="0" fontId="70" fillId="0" borderId="0" xfId="12" applyFont="1" applyAlignment="1">
      <alignment vertical="center"/>
    </xf>
    <xf numFmtId="164" fontId="53" fillId="0" borderId="0" xfId="1" applyNumberFormat="1" applyFont="1" applyAlignment="1">
      <alignment vertical="center"/>
    </xf>
    <xf numFmtId="3" fontId="54" fillId="0" borderId="3" xfId="12" applyNumberFormat="1" applyFont="1" applyBorder="1" applyAlignment="1">
      <alignment vertical="center"/>
    </xf>
    <xf numFmtId="164" fontId="54" fillId="0" borderId="4" xfId="1" applyNumberFormat="1" applyFont="1" applyBorder="1" applyAlignment="1">
      <alignment vertical="center"/>
    </xf>
    <xf numFmtId="9" fontId="53" fillId="0" borderId="0" xfId="1" applyFont="1"/>
    <xf numFmtId="0" fontId="53" fillId="0" borderId="0" xfId="12" applyFont="1" applyAlignment="1">
      <alignment vertical="center" wrapText="1"/>
    </xf>
    <xf numFmtId="0" fontId="53" fillId="0" borderId="1" xfId="12" applyFont="1" applyBorder="1" applyAlignment="1">
      <alignment vertical="center" wrapText="1"/>
    </xf>
    <xf numFmtId="164" fontId="53" fillId="0" borderId="0" xfId="33" applyNumberFormat="1" applyFont="1" applyFill="1" applyBorder="1" applyAlignment="1">
      <alignment vertical="center"/>
    </xf>
    <xf numFmtId="0" fontId="74" fillId="0" borderId="0" xfId="12" applyFont="1" applyAlignment="1">
      <alignment vertical="center"/>
    </xf>
    <xf numFmtId="10" fontId="53" fillId="2" borderId="0" xfId="12" applyNumberFormat="1" applyFont="1" applyFill="1" applyAlignment="1">
      <alignment vertical="center"/>
    </xf>
    <xf numFmtId="43" fontId="53" fillId="2" borderId="0" xfId="16" applyFont="1" applyFill="1" applyBorder="1" applyAlignment="1">
      <alignment vertical="center"/>
    </xf>
    <xf numFmtId="0" fontId="74" fillId="0" borderId="1" xfId="12" applyFont="1" applyBorder="1" applyAlignment="1">
      <alignment vertical="center"/>
    </xf>
    <xf numFmtId="10" fontId="53" fillId="2" borderId="1" xfId="17" applyNumberFormat="1" applyFont="1" applyFill="1" applyBorder="1" applyAlignment="1">
      <alignment vertical="center"/>
    </xf>
    <xf numFmtId="10" fontId="54" fillId="2" borderId="0" xfId="15" applyNumberFormat="1" applyFont="1" applyFill="1" applyAlignment="1">
      <alignment vertical="center"/>
    </xf>
    <xf numFmtId="167" fontId="53" fillId="2" borderId="0" xfId="16" applyNumberFormat="1" applyFont="1" applyFill="1" applyAlignment="1">
      <alignment vertical="center"/>
    </xf>
    <xf numFmtId="167" fontId="56" fillId="2" borderId="0" xfId="16" applyNumberFormat="1" applyFont="1" applyFill="1" applyAlignment="1">
      <alignment vertical="center"/>
    </xf>
    <xf numFmtId="164" fontId="53" fillId="2" borderId="1" xfId="12" applyNumberFormat="1" applyFont="1" applyFill="1" applyBorder="1" applyAlignment="1">
      <alignment vertical="center"/>
    </xf>
    <xf numFmtId="167" fontId="53" fillId="2" borderId="1" xfId="16" applyNumberFormat="1" applyFont="1" applyFill="1" applyBorder="1" applyAlignment="1">
      <alignment vertical="center"/>
    </xf>
    <xf numFmtId="10" fontId="53" fillId="2" borderId="1" xfId="12" applyNumberFormat="1" applyFont="1" applyFill="1" applyBorder="1" applyAlignment="1">
      <alignment vertical="center"/>
    </xf>
    <xf numFmtId="0" fontId="56" fillId="0" borderId="0" xfId="23" applyFont="1" applyProtection="1"/>
    <xf numFmtId="39" fontId="58" fillId="0" borderId="0" xfId="12" applyNumberFormat="1" applyFont="1" applyAlignment="1">
      <alignment vertical="center"/>
    </xf>
    <xf numFmtId="9" fontId="53" fillId="0" borderId="0" xfId="1" applyFont="1" applyBorder="1" applyAlignment="1">
      <alignment vertical="center"/>
    </xf>
    <xf numFmtId="9" fontId="0" fillId="0" borderId="0" xfId="0" applyNumberFormat="1"/>
    <xf numFmtId="0" fontId="73" fillId="0" borderId="1" xfId="12" applyFont="1" applyBorder="1" applyAlignment="1">
      <alignment vertical="center"/>
    </xf>
    <xf numFmtId="0" fontId="72" fillId="0" borderId="0" xfId="12" applyFont="1" applyAlignment="1">
      <alignment vertical="center"/>
    </xf>
    <xf numFmtId="9" fontId="53" fillId="0" borderId="1" xfId="0" applyNumberFormat="1" applyFont="1" applyBorder="1"/>
    <xf numFmtId="0" fontId="53" fillId="0" borderId="0" xfId="12" quotePrefix="1" applyFont="1" applyAlignment="1">
      <alignment vertical="center"/>
    </xf>
    <xf numFmtId="2" fontId="54" fillId="0" borderId="0" xfId="12" applyNumberFormat="1" applyFont="1" applyAlignment="1">
      <alignment vertical="center"/>
    </xf>
    <xf numFmtId="37" fontId="54" fillId="0" borderId="0" xfId="12" applyNumberFormat="1" applyFont="1" applyAlignment="1">
      <alignment vertical="center"/>
    </xf>
    <xf numFmtId="39" fontId="54" fillId="0" borderId="0" xfId="12" applyNumberFormat="1" applyFont="1" applyAlignment="1">
      <alignment vertical="center"/>
    </xf>
    <xf numFmtId="9" fontId="54" fillId="0" borderId="0" xfId="1" applyFont="1" applyFill="1" applyBorder="1" applyAlignment="1">
      <alignment vertical="center"/>
    </xf>
    <xf numFmtId="9" fontId="0" fillId="0" borderId="0" xfId="1" applyFont="1"/>
    <xf numFmtId="0" fontId="54" fillId="0" borderId="11" xfId="12" applyFont="1" applyBorder="1" applyAlignment="1">
      <alignment vertical="center"/>
    </xf>
    <xf numFmtId="0" fontId="53" fillId="0" borderId="14" xfId="12" quotePrefix="1" applyFont="1" applyBorder="1" applyAlignment="1">
      <alignment vertical="center"/>
    </xf>
    <xf numFmtId="0" fontId="54" fillId="0" borderId="14" xfId="12" quotePrefix="1" applyFont="1" applyBorder="1" applyAlignment="1">
      <alignment vertical="center"/>
    </xf>
    <xf numFmtId="3" fontId="53" fillId="0" borderId="0" xfId="12" applyNumberFormat="1" applyFont="1" applyAlignment="1">
      <alignment horizontal="center" vertical="center"/>
    </xf>
    <xf numFmtId="3" fontId="53" fillId="0" borderId="14" xfId="12" applyNumberFormat="1" applyFont="1" applyBorder="1" applyAlignment="1">
      <alignment horizontal="center" vertical="center"/>
    </xf>
    <xf numFmtId="9" fontId="56" fillId="0" borderId="0" xfId="1" applyFont="1" applyFill="1"/>
    <xf numFmtId="9" fontId="56" fillId="0" borderId="14" xfId="1" applyFont="1" applyFill="1" applyBorder="1"/>
    <xf numFmtId="0" fontId="55" fillId="0" borderId="11" xfId="21" applyFont="1" applyBorder="1"/>
    <xf numFmtId="0" fontId="55" fillId="0" borderId="1" xfId="21" applyFont="1" applyBorder="1"/>
    <xf numFmtId="0" fontId="75" fillId="4" borderId="0" xfId="0" applyFont="1" applyFill="1"/>
    <xf numFmtId="0" fontId="55" fillId="4" borderId="0" xfId="0" applyFont="1" applyFill="1"/>
    <xf numFmtId="0" fontId="56" fillId="0" borderId="0" xfId="3" applyFont="1"/>
    <xf numFmtId="164" fontId="53" fillId="0" borderId="0" xfId="12" applyNumberFormat="1" applyFont="1" applyAlignment="1">
      <alignment vertical="center"/>
    </xf>
    <xf numFmtId="43" fontId="53" fillId="0" borderId="1" xfId="16" applyFont="1" applyFill="1" applyBorder="1" applyAlignment="1">
      <alignment vertical="center"/>
    </xf>
    <xf numFmtId="164" fontId="54" fillId="0" borderId="0" xfId="33" applyNumberFormat="1" applyFont="1" applyFill="1" applyBorder="1" applyAlignment="1">
      <alignment vertical="center"/>
    </xf>
    <xf numFmtId="0" fontId="54" fillId="0" borderId="0" xfId="12" applyFont="1" applyAlignment="1">
      <alignment vertical="center" wrapText="1"/>
    </xf>
    <xf numFmtId="164" fontId="54" fillId="0" borderId="0" xfId="12" applyNumberFormat="1" applyFont="1" applyAlignment="1">
      <alignment vertical="center"/>
    </xf>
    <xf numFmtId="43" fontId="54" fillId="0" borderId="1" xfId="16" applyFont="1" applyFill="1" applyBorder="1" applyAlignment="1">
      <alignment vertical="center"/>
    </xf>
    <xf numFmtId="0" fontId="54" fillId="0" borderId="36" xfId="12" applyFont="1" applyBorder="1" applyAlignment="1">
      <alignment vertical="center"/>
    </xf>
    <xf numFmtId="0" fontId="53" fillId="0" borderId="35" xfId="12" applyFont="1" applyBorder="1" applyAlignment="1">
      <alignment vertical="center"/>
    </xf>
    <xf numFmtId="0" fontId="56" fillId="0" borderId="35" xfId="3" applyFont="1" applyBorder="1"/>
    <xf numFmtId="0" fontId="54" fillId="0" borderId="28" xfId="12" applyFont="1" applyBorder="1" applyAlignment="1">
      <alignment vertical="center"/>
    </xf>
    <xf numFmtId="164" fontId="54" fillId="0" borderId="37" xfId="33" applyNumberFormat="1" applyFont="1" applyFill="1" applyBorder="1" applyAlignment="1">
      <alignment vertical="center"/>
    </xf>
    <xf numFmtId="0" fontId="54" fillId="0" borderId="1" xfId="12" applyFont="1" applyBorder="1" applyAlignment="1">
      <alignment horizontal="right"/>
    </xf>
    <xf numFmtId="43" fontId="53" fillId="0" borderId="14" xfId="16" applyFont="1" applyFill="1" applyBorder="1" applyAlignment="1">
      <alignment vertical="center"/>
    </xf>
    <xf numFmtId="10" fontId="54" fillId="0" borderId="11" xfId="15" applyNumberFormat="1" applyFont="1" applyFill="1" applyBorder="1" applyAlignment="1">
      <alignment vertical="center"/>
    </xf>
    <xf numFmtId="0" fontId="53" fillId="0" borderId="36" xfId="12" applyFont="1" applyBorder="1" applyAlignment="1">
      <alignment vertical="center"/>
    </xf>
    <xf numFmtId="0" fontId="53" fillId="0" borderId="38" xfId="12" applyFont="1" applyBorder="1" applyAlignment="1">
      <alignment vertical="center"/>
    </xf>
    <xf numFmtId="167" fontId="12" fillId="4" borderId="0" xfId="11" applyNumberFormat="1" applyFont="1" applyFill="1"/>
    <xf numFmtId="167" fontId="8" fillId="0" borderId="0" xfId="11" applyNumberFormat="1" applyFont="1"/>
    <xf numFmtId="164" fontId="12" fillId="4" borderId="0" xfId="1" applyNumberFormat="1" applyFont="1" applyFill="1"/>
    <xf numFmtId="0" fontId="54" fillId="0" borderId="11" xfId="12" applyFont="1" applyBorder="1" applyAlignment="1">
      <alignment horizontal="centerContinuous" vertical="center"/>
    </xf>
    <xf numFmtId="168" fontId="54" fillId="0" borderId="0" xfId="12" applyNumberFormat="1" applyFont="1" applyAlignment="1">
      <alignment horizontal="center" vertical="center"/>
    </xf>
    <xf numFmtId="0" fontId="54" fillId="0" borderId="0" xfId="0" applyFont="1" applyAlignment="1">
      <alignment horizontal="center"/>
    </xf>
    <xf numFmtId="37" fontId="53" fillId="0" borderId="0" xfId="0" applyNumberFormat="1" applyFont="1" applyAlignment="1">
      <alignment horizontal="center"/>
    </xf>
    <xf numFmtId="37" fontId="53" fillId="0" borderId="0" xfId="11" applyNumberFormat="1" applyFont="1" applyAlignment="1">
      <alignment horizontal="center" vertical="center"/>
    </xf>
    <xf numFmtId="168" fontId="54" fillId="0" borderId="14" xfId="11" applyNumberFormat="1" applyFont="1" applyBorder="1" applyAlignment="1">
      <alignment horizontal="center" vertical="center"/>
    </xf>
    <xf numFmtId="168" fontId="53" fillId="0" borderId="0" xfId="0" applyNumberFormat="1" applyFont="1" applyAlignment="1">
      <alignment horizontal="center"/>
    </xf>
    <xf numFmtId="0" fontId="54" fillId="7" borderId="11" xfId="12" applyFont="1" applyFill="1" applyBorder="1" applyAlignment="1">
      <alignment horizontal="right" vertical="center"/>
    </xf>
    <xf numFmtId="168" fontId="53" fillId="7" borderId="0" xfId="12" applyNumberFormat="1" applyFont="1" applyFill="1" applyAlignment="1">
      <alignment horizontal="right" vertical="center"/>
    </xf>
    <xf numFmtId="3" fontId="53" fillId="7" borderId="0" xfId="12" applyNumberFormat="1" applyFont="1" applyFill="1" applyAlignment="1">
      <alignment horizontal="right" vertical="center"/>
    </xf>
    <xf numFmtId="3" fontId="53" fillId="7" borderId="14" xfId="12" applyNumberFormat="1" applyFont="1" applyFill="1" applyBorder="1" applyAlignment="1">
      <alignment horizontal="right" vertical="center"/>
    </xf>
    <xf numFmtId="37" fontId="53" fillId="7" borderId="0" xfId="11" applyNumberFormat="1" applyFont="1" applyFill="1" applyAlignment="1">
      <alignment horizontal="right" vertical="center"/>
    </xf>
    <xf numFmtId="194" fontId="54" fillId="7" borderId="14" xfId="11" applyNumberFormat="1" applyFont="1" applyFill="1" applyBorder="1" applyAlignment="1">
      <alignment horizontal="right" vertical="center"/>
    </xf>
    <xf numFmtId="9" fontId="53" fillId="7" borderId="0" xfId="1" applyFont="1" applyFill="1" applyAlignment="1">
      <alignment horizontal="right" vertical="center"/>
    </xf>
    <xf numFmtId="0" fontId="76" fillId="0" borderId="11" xfId="12" applyFont="1" applyBorder="1" applyAlignment="1">
      <alignment horizontal="right" vertical="center"/>
    </xf>
    <xf numFmtId="168" fontId="76" fillId="0" borderId="0" xfId="12" applyNumberFormat="1" applyFont="1" applyAlignment="1">
      <alignment horizontal="right" vertical="center"/>
    </xf>
    <xf numFmtId="3" fontId="76" fillId="0" borderId="0" xfId="12" applyNumberFormat="1" applyFont="1" applyAlignment="1">
      <alignment horizontal="right" vertical="center"/>
    </xf>
    <xf numFmtId="3" fontId="76" fillId="0" borderId="14" xfId="12" applyNumberFormat="1" applyFont="1" applyBorder="1" applyAlignment="1">
      <alignment horizontal="right" vertical="center"/>
    </xf>
    <xf numFmtId="37" fontId="76" fillId="0" borderId="0" xfId="11" applyNumberFormat="1" applyFont="1" applyAlignment="1">
      <alignment horizontal="right" vertical="center"/>
    </xf>
    <xf numFmtId="194" fontId="76" fillId="0" borderId="14" xfId="11" applyNumberFormat="1" applyFont="1" applyBorder="1" applyAlignment="1">
      <alignment horizontal="right" vertical="center"/>
    </xf>
    <xf numFmtId="9" fontId="76" fillId="0" borderId="0" xfId="1" applyFont="1" applyAlignment="1">
      <alignment horizontal="right" vertical="center"/>
    </xf>
    <xf numFmtId="0" fontId="77" fillId="0" borderId="0" xfId="12" applyFont="1" applyAlignment="1">
      <alignment vertical="center" wrapText="1"/>
    </xf>
    <xf numFmtId="0" fontId="78" fillId="0" borderId="0" xfId="12" applyFont="1" applyAlignment="1">
      <alignment vertical="center" wrapText="1"/>
    </xf>
    <xf numFmtId="0" fontId="79" fillId="0" borderId="0" xfId="12" applyFont="1"/>
    <xf numFmtId="14" fontId="80" fillId="2" borderId="39" xfId="12" applyNumberFormat="1" applyFont="1" applyFill="1" applyBorder="1" applyAlignment="1">
      <alignment horizontal="center"/>
    </xf>
    <xf numFmtId="193" fontId="80" fillId="0" borderId="11" xfId="12" applyNumberFormat="1" applyFont="1" applyBorder="1" applyAlignment="1">
      <alignment horizontal="center"/>
    </xf>
    <xf numFmtId="0" fontId="0" fillId="0" borderId="0" xfId="0" applyAlignment="1">
      <alignment horizontal="right" vertical="center" wrapText="1"/>
    </xf>
    <xf numFmtId="195" fontId="0" fillId="0" borderId="0" xfId="0" applyNumberFormat="1"/>
    <xf numFmtId="0" fontId="0" fillId="0" borderId="0" xfId="0" applyAlignment="1">
      <alignment horizontal="right" vertical="center"/>
    </xf>
    <xf numFmtId="183" fontId="61" fillId="0" borderId="0" xfId="21" applyNumberFormat="1" applyFont="1"/>
    <xf numFmtId="43" fontId="61" fillId="0" borderId="0" xfId="21" applyNumberFormat="1" applyFont="1"/>
    <xf numFmtId="179" fontId="62" fillId="0" borderId="0" xfId="21" applyNumberFormat="1" applyFont="1"/>
    <xf numFmtId="37" fontId="55" fillId="0" borderId="0" xfId="21" applyNumberFormat="1" applyFont="1"/>
    <xf numFmtId="0" fontId="75" fillId="0" borderId="14" xfId="21" applyFont="1" applyBorder="1"/>
    <xf numFmtId="177" fontId="75" fillId="0" borderId="14" xfId="21" applyNumberFormat="1" applyFont="1" applyBorder="1"/>
    <xf numFmtId="0" fontId="54" fillId="0" borderId="11" xfId="12" applyFont="1" applyBorder="1" applyAlignment="1">
      <alignment wrapText="1"/>
    </xf>
    <xf numFmtId="0" fontId="54" fillId="0" borderId="11" xfId="12" applyFont="1" applyBorder="1" applyAlignment="1">
      <alignment horizontal="right" wrapText="1"/>
    </xf>
    <xf numFmtId="0" fontId="54" fillId="8" borderId="14" xfId="12" applyFont="1" applyFill="1" applyBorder="1" applyAlignment="1">
      <alignment vertical="center"/>
    </xf>
    <xf numFmtId="37" fontId="54" fillId="8" borderId="14" xfId="12" applyNumberFormat="1" applyFont="1" applyFill="1" applyBorder="1" applyAlignment="1">
      <alignment vertical="center"/>
    </xf>
    <xf numFmtId="39" fontId="55" fillId="8" borderId="14" xfId="12" applyNumberFormat="1" applyFont="1" applyFill="1" applyBorder="1" applyAlignment="1">
      <alignment vertical="center"/>
    </xf>
    <xf numFmtId="39" fontId="54" fillId="8" borderId="14" xfId="31" applyNumberFormat="1" applyFont="1" applyFill="1" applyBorder="1" applyAlignment="1">
      <alignment vertical="center"/>
    </xf>
    <xf numFmtId="9" fontId="54" fillId="8" borderId="14" xfId="1" applyFont="1" applyFill="1" applyBorder="1" applyAlignment="1">
      <alignment vertical="center"/>
    </xf>
    <xf numFmtId="39" fontId="54" fillId="8" borderId="14" xfId="12" applyNumberFormat="1" applyFont="1" applyFill="1" applyBorder="1" applyAlignment="1">
      <alignment vertical="center"/>
    </xf>
    <xf numFmtId="0" fontId="0" fillId="0" borderId="0" xfId="0" applyAlignment="1">
      <alignment horizontal="left" vertical="center"/>
    </xf>
    <xf numFmtId="0" fontId="56" fillId="0" borderId="0" xfId="0" applyFont="1" applyAlignment="1">
      <alignment horizontal="left" vertical="center"/>
    </xf>
    <xf numFmtId="0" fontId="56" fillId="0" borderId="0" xfId="0" applyFont="1" applyAlignment="1">
      <alignment horizontal="left" vertical="center" wrapText="1"/>
    </xf>
    <xf numFmtId="0" fontId="55" fillId="0" borderId="13" xfId="0" applyFont="1" applyBorder="1" applyAlignment="1">
      <alignment horizontal="left" vertical="center"/>
    </xf>
    <xf numFmtId="0" fontId="55" fillId="0" borderId="12" xfId="0" applyFont="1" applyBorder="1" applyAlignment="1">
      <alignment horizontal="left" vertical="center" wrapText="1"/>
    </xf>
    <xf numFmtId="0" fontId="56" fillId="0" borderId="6" xfId="0" applyFont="1" applyBorder="1" applyAlignment="1">
      <alignment horizontal="left" vertical="center" wrapText="1"/>
    </xf>
    <xf numFmtId="0" fontId="55" fillId="0" borderId="8" xfId="0" applyFont="1" applyBorder="1" applyAlignment="1">
      <alignment horizontal="left" vertical="center"/>
    </xf>
    <xf numFmtId="0" fontId="56" fillId="0" borderId="40" xfId="0" applyFont="1" applyBorder="1" applyAlignment="1">
      <alignment horizontal="left" vertical="center"/>
    </xf>
    <xf numFmtId="0" fontId="56" fillId="4" borderId="6" xfId="0" applyFont="1" applyFill="1" applyBorder="1" applyAlignment="1">
      <alignment horizontal="left" vertical="center" wrapText="1"/>
    </xf>
    <xf numFmtId="0" fontId="55" fillId="0" borderId="10" xfId="0" applyFont="1" applyBorder="1" applyAlignment="1">
      <alignment horizontal="left" vertical="center" wrapText="1"/>
    </xf>
    <xf numFmtId="0" fontId="56" fillId="4" borderId="41" xfId="0" applyFont="1" applyFill="1" applyBorder="1" applyAlignment="1">
      <alignment horizontal="left" vertical="center" wrapText="1"/>
    </xf>
    <xf numFmtId="0" fontId="56" fillId="0" borderId="42" xfId="0" applyFont="1" applyBorder="1" applyAlignment="1">
      <alignment horizontal="left" vertical="center"/>
    </xf>
    <xf numFmtId="0" fontId="56" fillId="4" borderId="43" xfId="0" applyFont="1" applyFill="1" applyBorder="1" applyAlignment="1">
      <alignment horizontal="left" vertical="center" wrapText="1"/>
    </xf>
    <xf numFmtId="0" fontId="56" fillId="4" borderId="44" xfId="0" applyFont="1" applyFill="1" applyBorder="1" applyAlignment="1">
      <alignment horizontal="left" vertical="center" wrapText="1"/>
    </xf>
    <xf numFmtId="0" fontId="55" fillId="0" borderId="40" xfId="0" applyFont="1" applyBorder="1" applyAlignment="1">
      <alignment horizontal="left" vertical="center"/>
    </xf>
    <xf numFmtId="0" fontId="61" fillId="4" borderId="41" xfId="0" applyFont="1" applyFill="1" applyBorder="1" applyAlignment="1">
      <alignment horizontal="left" vertical="center" wrapText="1"/>
    </xf>
    <xf numFmtId="0" fontId="61" fillId="4" borderId="43" xfId="0" applyFont="1" applyFill="1" applyBorder="1" applyAlignment="1">
      <alignment horizontal="left" vertical="center" wrapText="1"/>
    </xf>
    <xf numFmtId="0" fontId="55" fillId="0" borderId="42" xfId="0" applyFont="1" applyBorder="1" applyAlignment="1">
      <alignment horizontal="left" vertical="center"/>
    </xf>
    <xf numFmtId="0" fontId="56" fillId="0" borderId="43" xfId="0" applyFont="1" applyBorder="1" applyAlignment="1">
      <alignment horizontal="left" vertical="center" wrapText="1"/>
    </xf>
    <xf numFmtId="0" fontId="56" fillId="0" borderId="45" xfId="0" applyFont="1" applyBorder="1" applyAlignment="1">
      <alignment horizontal="left" vertical="center"/>
    </xf>
    <xf numFmtId="0" fontId="56" fillId="0" borderId="46" xfId="0" applyFont="1" applyBorder="1" applyAlignment="1">
      <alignment horizontal="left" vertical="center" wrapText="1"/>
    </xf>
    <xf numFmtId="0" fontId="55" fillId="8" borderId="0" xfId="0" applyFont="1" applyFill="1"/>
    <xf numFmtId="0" fontId="81" fillId="0" borderId="0" xfId="0" applyFont="1"/>
    <xf numFmtId="0" fontId="55" fillId="0" borderId="11" xfId="21" applyFont="1" applyBorder="1" applyAlignment="1">
      <alignment horizontal="left"/>
    </xf>
    <xf numFmtId="0" fontId="55" fillId="0" borderId="11" xfId="21" applyFont="1" applyBorder="1" applyAlignment="1">
      <alignment horizontal="center"/>
    </xf>
    <xf numFmtId="0" fontId="55" fillId="0" borderId="0" xfId="23" applyFont="1" applyFill="1" applyBorder="1" applyAlignment="1" applyProtection="1">
      <alignment horizontal="right" vertical="distributed" textRotation="90"/>
      <protection locked="0"/>
    </xf>
    <xf numFmtId="164" fontId="55" fillId="0" borderId="11" xfId="17" applyNumberFormat="1" applyFont="1" applyFill="1" applyBorder="1" applyAlignment="1" applyProtection="1">
      <alignment horizontal="center"/>
    </xf>
    <xf numFmtId="0" fontId="78" fillId="0" borderId="0" xfId="12" applyFont="1" applyAlignment="1">
      <alignment horizontal="center" vertical="center" wrapText="1"/>
    </xf>
    <xf numFmtId="0" fontId="78" fillId="0" borderId="1" xfId="12" applyFont="1" applyBorder="1" applyAlignment="1">
      <alignment horizontal="center" vertical="center" wrapText="1"/>
    </xf>
    <xf numFmtId="37" fontId="53" fillId="0" borderId="1" xfId="0" applyNumberFormat="1" applyFont="1" applyBorder="1" applyAlignment="1">
      <alignment horizontal="center"/>
    </xf>
    <xf numFmtId="0" fontId="81" fillId="0" borderId="0" xfId="0" applyFont="1" applyAlignment="1">
      <alignment horizontal="center"/>
    </xf>
    <xf numFmtId="0" fontId="56" fillId="4" borderId="43" xfId="0" applyFont="1" applyFill="1" applyBorder="1" applyAlignment="1">
      <alignment horizontal="left" vertical="center" wrapText="1"/>
    </xf>
  </cellXfs>
  <cellStyles count="34">
    <cellStyle name="_x000a_386grabber=M" xfId="22" xr:uid="{32A6C81B-AFA2-4C0D-8CFC-BDE8A94D39B9}"/>
    <cellStyle name="_x000a_386grabber=M 2" xfId="29" xr:uid="{AEB310CF-F799-4C29-9CF3-90CB67BD2698}"/>
    <cellStyle name="_x000a_386grabber=M_3.49.WACC" xfId="28" xr:uid="{1B7F4410-4068-4E86-8F2D-61ED9765DD5F}"/>
    <cellStyle name="AFE" xfId="23" xr:uid="{97267BC7-BC44-4826-ABDA-998CFB195DA8}"/>
    <cellStyle name="Comma" xfId="11" builtinId="3"/>
    <cellStyle name="Comma 2" xfId="7" xr:uid="{9CC3FB56-3014-4D78-B242-D30520CA7149}"/>
    <cellStyle name="Comma 2 2" xfId="16" xr:uid="{EBD90ED2-C74A-427A-AEA7-AA97498ED93B}"/>
    <cellStyle name="Comma 2 3" xfId="31" xr:uid="{78F3786F-96EC-4122-8FF3-BC4748BBDC0A}"/>
    <cellStyle name="Comma 3" xfId="13" xr:uid="{45B3CA0F-FD49-4631-A496-C94B089F1F8E}"/>
    <cellStyle name="Comma 3 2" xfId="20" xr:uid="{904D0641-9DCC-4BD0-825C-798EE61643BE}"/>
    <cellStyle name="Currency 2" xfId="9" xr:uid="{ECDF8264-8F2D-4178-8C9A-A4F11334C7E8}"/>
    <cellStyle name="Euro" xfId="24" xr:uid="{824EB55A-DF38-4CD5-90BC-DB9D739E1BBD}"/>
    <cellStyle name="Hyperlink" xfId="3" builtinId="8"/>
    <cellStyle name="Hyperlink 2" xfId="10" xr:uid="{345C8FC0-B16C-42C7-93F7-77C6F96C0F0F}"/>
    <cellStyle name="Hyperlink 3" xfId="14" xr:uid="{75D7F335-DC3F-4167-A724-D8A80B9C4BD7}"/>
    <cellStyle name="Normal" xfId="0" builtinId="0"/>
    <cellStyle name="Normal 2" xfId="2" xr:uid="{A2D1003C-8034-459A-B554-420F0A7D1C00}"/>
    <cellStyle name="Normal 2 2" xfId="4" xr:uid="{B87B0B08-2112-4DFA-9757-49E96EA07BD4}"/>
    <cellStyle name="Normal 2 3" xfId="32" xr:uid="{3E0247F7-2038-418C-A400-5488BB57AA72}"/>
    <cellStyle name="Normal 3" xfId="6" xr:uid="{AC349150-4DA5-4FAC-AC58-1BC8097AB285}"/>
    <cellStyle name="Normal 3 2" xfId="12" xr:uid="{B559FE20-6378-47FF-B882-A0609DAA19A8}"/>
    <cellStyle name="Normal 3 2 2" xfId="18" xr:uid="{0F0F138B-6C77-469A-843B-241933BFBC3B}"/>
    <cellStyle name="Normal 4" xfId="26" xr:uid="{86C3EAC9-1423-461F-B589-31F2D213B66D}"/>
    <cellStyle name="Normal 5" xfId="30" xr:uid="{B506148E-EB33-4229-AB1D-5E31E07E301B}"/>
    <cellStyle name="Normal_Ch01 Pics v2.2" xfId="21" xr:uid="{D2BD6761-4B02-4C40-9CB2-05EFB0376EBE}"/>
    <cellStyle name="Normal_Implied Share Price v12-22-07" xfId="27" xr:uid="{74052BF0-2A43-45E5-9E4F-380B5E73440A}"/>
    <cellStyle name="PB - Table Top Line" xfId="5" xr:uid="{992CCD53-7D88-4FAD-B2CC-210E1596A2CD}"/>
    <cellStyle name="Pctg" xfId="25" xr:uid="{7F2AB764-DD70-4E98-BF8A-F516545133FC}"/>
    <cellStyle name="Percent" xfId="1" builtinId="5"/>
    <cellStyle name="Percent 2" xfId="8" xr:uid="{7FC5ED57-22F5-401A-8497-5488BBB1FE03}"/>
    <cellStyle name="Percent 2 2" xfId="15" xr:uid="{B1E23AE1-64DA-48CD-8FE7-BDDE1973C6D9}"/>
    <cellStyle name="Percent 2 2 2" xfId="33" xr:uid="{5972CC2A-F655-4A5A-8923-DCBE6F89744B}"/>
    <cellStyle name="Percent 2 3" xfId="17" xr:uid="{FB5A9F23-8322-4A05-B559-26509D30E1B3}"/>
    <cellStyle name="Percent 3 2" xfId="19" xr:uid="{EE02E542-E40A-472B-8316-73D7291A4BC4}"/>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heetMetadata" Target="metadata.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AMZN_IS!$AC$5</c:f>
              <c:strCache>
                <c:ptCount val="1"/>
                <c:pt idx="0">
                  <c:v>Total Revenue</c:v>
                </c:pt>
              </c:strCache>
            </c:strRef>
          </c:tx>
          <c:spPr>
            <a:solidFill>
              <a:schemeClr val="tx1"/>
            </a:solidFill>
            <a:ln>
              <a:noFill/>
            </a:ln>
            <a:effectLst/>
          </c:spPr>
          <c:invertIfNegative val="0"/>
          <c:dPt>
            <c:idx val="0"/>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6-1F91-4D3D-991C-3C0FBE47C070}"/>
              </c:ext>
            </c:extLst>
          </c:dPt>
          <c:dPt>
            <c:idx val="1"/>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5-1F91-4D3D-991C-3C0FBE47C070}"/>
              </c:ext>
            </c:extLst>
          </c:dPt>
          <c:dPt>
            <c:idx val="2"/>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4-1F91-4D3D-991C-3C0FBE47C070}"/>
              </c:ext>
            </c:extLst>
          </c:dPt>
          <c:dPt>
            <c:idx val="3"/>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3-1F91-4D3D-991C-3C0FBE47C070}"/>
              </c:ext>
            </c:extLst>
          </c:dPt>
          <c:dPt>
            <c:idx val="4"/>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2-1F91-4D3D-991C-3C0FBE47C070}"/>
              </c:ext>
            </c:extLst>
          </c:dPt>
          <c:dLbls>
            <c:delete val="1"/>
          </c:dLbls>
          <c:cat>
            <c:numRef>
              <c:f>AMZN_IS!$AB$6:$AB$15</c:f>
              <c:numCache>
                <c:formatCode>0\A</c:formatCode>
                <c:ptCount val="10"/>
                <c:pt idx="0">
                  <c:v>2018</c:v>
                </c:pt>
                <c:pt idx="1">
                  <c:v>2019</c:v>
                </c:pt>
                <c:pt idx="2">
                  <c:v>2020</c:v>
                </c:pt>
                <c:pt idx="3">
                  <c:v>2021</c:v>
                </c:pt>
                <c:pt idx="4">
                  <c:v>2022</c:v>
                </c:pt>
                <c:pt idx="5" formatCode="0&quot;E&quot;">
                  <c:v>2023</c:v>
                </c:pt>
                <c:pt idx="6" formatCode="0&quot;E&quot;">
                  <c:v>2024</c:v>
                </c:pt>
                <c:pt idx="7" formatCode="0&quot;E&quot;">
                  <c:v>2025</c:v>
                </c:pt>
                <c:pt idx="8" formatCode="0&quot;E&quot;">
                  <c:v>2026</c:v>
                </c:pt>
                <c:pt idx="9" formatCode="0&quot;E&quot;">
                  <c:v>2027</c:v>
                </c:pt>
              </c:numCache>
            </c:numRef>
          </c:cat>
          <c:val>
            <c:numRef>
              <c:f>AMZN_IS!$AC$6:$AC$15</c:f>
              <c:numCache>
                <c:formatCode>_(* #,##0_);_(* \(#,##0\);_(* "-"??_);_(@_)</c:formatCode>
                <c:ptCount val="10"/>
                <c:pt idx="0">
                  <c:v>232887</c:v>
                </c:pt>
                <c:pt idx="1">
                  <c:v>280522</c:v>
                </c:pt>
                <c:pt idx="2">
                  <c:v>386064</c:v>
                </c:pt>
                <c:pt idx="3">
                  <c:v>469822</c:v>
                </c:pt>
                <c:pt idx="4">
                  <c:v>513983</c:v>
                </c:pt>
                <c:pt idx="5">
                  <c:v>559640.99699999997</c:v>
                </c:pt>
                <c:pt idx="6">
                  <c:v>622029.49790804414</c:v>
                </c:pt>
                <c:pt idx="7">
                  <c:v>689957.22583864792</c:v>
                </c:pt>
                <c:pt idx="8">
                  <c:v>763394.09155672102</c:v>
                </c:pt>
                <c:pt idx="9">
                  <c:v>842173.59956358478</c:v>
                </c:pt>
              </c:numCache>
            </c:numRef>
          </c:val>
          <c:extLst>
            <c:ext xmlns:c16="http://schemas.microsoft.com/office/drawing/2014/chart" uri="{C3380CC4-5D6E-409C-BE32-E72D297353CC}">
              <c16:uniqueId val="{00000000-1F91-4D3D-991C-3C0FBE47C070}"/>
            </c:ext>
          </c:extLst>
        </c:ser>
        <c:dLbls>
          <c:dLblPos val="outEnd"/>
          <c:showLegendKey val="0"/>
          <c:showVal val="1"/>
          <c:showCatName val="0"/>
          <c:showSerName val="0"/>
          <c:showPercent val="0"/>
          <c:showBubbleSize val="0"/>
        </c:dLbls>
        <c:gapWidth val="219"/>
        <c:axId val="372932208"/>
        <c:axId val="1761901791"/>
      </c:barChart>
      <c:lineChart>
        <c:grouping val="standard"/>
        <c:varyColors val="0"/>
        <c:ser>
          <c:idx val="1"/>
          <c:order val="1"/>
          <c:tx>
            <c:strRef>
              <c:f>AMZN_IS!$AD$5</c:f>
              <c:strCache>
                <c:ptCount val="1"/>
                <c:pt idx="0">
                  <c:v>Gross Margin</c:v>
                </c:pt>
              </c:strCache>
            </c:strRef>
          </c:tx>
          <c:spPr>
            <a:ln w="28575" cap="rnd">
              <a:solidFill>
                <a:schemeClr val="accent2"/>
              </a:solidFill>
              <a:round/>
            </a:ln>
            <a:effectLst/>
          </c:spPr>
          <c:marker>
            <c:symbol val="none"/>
          </c:marker>
          <c:dLbls>
            <c:delete val="1"/>
          </c:dLbls>
          <c:cat>
            <c:numRef>
              <c:f>AMZN_IS!$AB$6:$AB$15</c:f>
              <c:numCache>
                <c:formatCode>0\A</c:formatCode>
                <c:ptCount val="10"/>
                <c:pt idx="0">
                  <c:v>2018</c:v>
                </c:pt>
                <c:pt idx="1">
                  <c:v>2019</c:v>
                </c:pt>
                <c:pt idx="2">
                  <c:v>2020</c:v>
                </c:pt>
                <c:pt idx="3">
                  <c:v>2021</c:v>
                </c:pt>
                <c:pt idx="4">
                  <c:v>2022</c:v>
                </c:pt>
                <c:pt idx="5" formatCode="0&quot;E&quot;">
                  <c:v>2023</c:v>
                </c:pt>
                <c:pt idx="6" formatCode="0&quot;E&quot;">
                  <c:v>2024</c:v>
                </c:pt>
                <c:pt idx="7" formatCode="0&quot;E&quot;">
                  <c:v>2025</c:v>
                </c:pt>
                <c:pt idx="8" formatCode="0&quot;E&quot;">
                  <c:v>2026</c:v>
                </c:pt>
                <c:pt idx="9" formatCode="0&quot;E&quot;">
                  <c:v>2027</c:v>
                </c:pt>
              </c:numCache>
            </c:numRef>
          </c:cat>
          <c:val>
            <c:numRef>
              <c:f>AMZN_IS!$AD$6:$AD$15</c:f>
              <c:numCache>
                <c:formatCode>0%</c:formatCode>
                <c:ptCount val="10"/>
                <c:pt idx="0">
                  <c:v>0.40247416128852193</c:v>
                </c:pt>
                <c:pt idx="1">
                  <c:v>0.40990011478600608</c:v>
                </c:pt>
                <c:pt idx="2">
                  <c:v>0.3956779186870571</c:v>
                </c:pt>
                <c:pt idx="3">
                  <c:v>0.42032514441639601</c:v>
                </c:pt>
                <c:pt idx="4">
                  <c:v>0.43805339865326287</c:v>
                </c:pt>
                <c:pt idx="5">
                  <c:v>0.45828318265152984</c:v>
                </c:pt>
                <c:pt idx="6">
                  <c:v>0.46336332116774942</c:v>
                </c:pt>
                <c:pt idx="7">
                  <c:v>0.46224221411183308</c:v>
                </c:pt>
                <c:pt idx="8">
                  <c:v>0.46112110705591675</c:v>
                </c:pt>
                <c:pt idx="9">
                  <c:v>0.45999999999999996</c:v>
                </c:pt>
              </c:numCache>
            </c:numRef>
          </c:val>
          <c:smooth val="0"/>
          <c:extLst>
            <c:ext xmlns:c16="http://schemas.microsoft.com/office/drawing/2014/chart" uri="{C3380CC4-5D6E-409C-BE32-E72D297353CC}">
              <c16:uniqueId val="{00000001-1F91-4D3D-991C-3C0FBE47C070}"/>
            </c:ext>
          </c:extLst>
        </c:ser>
        <c:dLbls>
          <c:showLegendKey val="0"/>
          <c:showVal val="1"/>
          <c:showCatName val="0"/>
          <c:showSerName val="0"/>
          <c:showPercent val="0"/>
          <c:showBubbleSize val="0"/>
        </c:dLbls>
        <c:marker val="1"/>
        <c:smooth val="0"/>
        <c:axId val="672943376"/>
        <c:axId val="672941936"/>
      </c:lineChart>
      <c:catAx>
        <c:axId val="372932208"/>
        <c:scaling>
          <c:orientation val="minMax"/>
        </c:scaling>
        <c:delete val="0"/>
        <c:axPos val="b"/>
        <c:numFmt formatCode="0\A"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901791"/>
        <c:crosses val="autoZero"/>
        <c:auto val="1"/>
        <c:lblAlgn val="ctr"/>
        <c:lblOffset val="100"/>
        <c:noMultiLvlLbl val="0"/>
      </c:catAx>
      <c:valAx>
        <c:axId val="1761901791"/>
        <c:scaling>
          <c:orientation val="minMax"/>
          <c:max val="1200000"/>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372932208"/>
        <c:crosses val="autoZero"/>
        <c:crossBetween val="between"/>
      </c:valAx>
      <c:valAx>
        <c:axId val="672941936"/>
        <c:scaling>
          <c:orientation val="minMax"/>
          <c:min val="0.30000000000000004"/>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mazon Ember" panose="020B0603020204020204" pitchFamily="34" charset="0"/>
                <a:ea typeface="Amazon Ember" panose="020B0603020204020204" pitchFamily="34" charset="0"/>
                <a:cs typeface="Amazon Ember" panose="020B0603020204020204" pitchFamily="34" charset="0"/>
              </a:defRPr>
            </a:pPr>
            <a:endParaRPr lang="en-US"/>
          </a:p>
        </c:txPr>
        <c:crossAx val="672943376"/>
        <c:crosses val="max"/>
        <c:crossBetween val="between"/>
      </c:valAx>
      <c:catAx>
        <c:axId val="672943376"/>
        <c:scaling>
          <c:orientation val="minMax"/>
        </c:scaling>
        <c:delete val="1"/>
        <c:axPos val="b"/>
        <c:numFmt formatCode="0\A" sourceLinked="1"/>
        <c:majorTickMark val="out"/>
        <c:minorTickMark val="none"/>
        <c:tickLblPos val="nextTo"/>
        <c:crossAx val="6729419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AMZN_IS!$AC$22</c:f>
              <c:strCache>
                <c:ptCount val="1"/>
                <c:pt idx="0">
                  <c:v>Opearting Margin</c:v>
                </c:pt>
              </c:strCache>
            </c:strRef>
          </c:tx>
          <c:spPr>
            <a:ln w="28575" cap="rnd">
              <a:solidFill>
                <a:srgbClr val="FF99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AMZN_IS!$AB$23:$AB$32</c:f>
              <c:numCache>
                <c:formatCode>0\A</c:formatCode>
                <c:ptCount val="10"/>
                <c:pt idx="0">
                  <c:v>2018</c:v>
                </c:pt>
                <c:pt idx="1">
                  <c:v>2019</c:v>
                </c:pt>
                <c:pt idx="2">
                  <c:v>2020</c:v>
                </c:pt>
                <c:pt idx="3">
                  <c:v>2021</c:v>
                </c:pt>
                <c:pt idx="4">
                  <c:v>2022</c:v>
                </c:pt>
                <c:pt idx="5" formatCode="0&quot;E&quot;">
                  <c:v>2023</c:v>
                </c:pt>
                <c:pt idx="6" formatCode="0&quot;E&quot;">
                  <c:v>2024</c:v>
                </c:pt>
                <c:pt idx="7" formatCode="0&quot;E&quot;">
                  <c:v>2025</c:v>
                </c:pt>
                <c:pt idx="8" formatCode="0&quot;E&quot;">
                  <c:v>2026</c:v>
                </c:pt>
                <c:pt idx="9" formatCode="0&quot;E&quot;">
                  <c:v>2027</c:v>
                </c:pt>
              </c:numCache>
            </c:numRef>
          </c:cat>
          <c:val>
            <c:numRef>
              <c:f>AMZN_IS!$AC$23:$AC$32</c:f>
              <c:numCache>
                <c:formatCode>0.0%</c:formatCode>
                <c:ptCount val="10"/>
                <c:pt idx="0">
                  <c:v>5.3330585219441187E-2</c:v>
                </c:pt>
                <c:pt idx="1">
                  <c:v>5.1831941879781268E-2</c:v>
                </c:pt>
                <c:pt idx="2">
                  <c:v>5.9313999751336569E-2</c:v>
                </c:pt>
                <c:pt idx="3">
                  <c:v>5.2954097509269465E-2</c:v>
                </c:pt>
                <c:pt idx="4">
                  <c:v>2.3829581912242232E-2</c:v>
                </c:pt>
                <c:pt idx="5">
                  <c:v>4.7913349171317406E-2</c:v>
                </c:pt>
                <c:pt idx="6">
                  <c:v>5.8836332116774775E-2</c:v>
                </c:pt>
                <c:pt idx="7">
                  <c:v>6.0557554744516733E-2</c:v>
                </c:pt>
                <c:pt idx="8">
                  <c:v>6.2278777372258537E-2</c:v>
                </c:pt>
                <c:pt idx="9">
                  <c:v>6.3999999999999974E-2</c:v>
                </c:pt>
              </c:numCache>
            </c:numRef>
          </c:val>
          <c:smooth val="0"/>
          <c:extLst>
            <c:ext xmlns:c16="http://schemas.microsoft.com/office/drawing/2014/chart" uri="{C3380CC4-5D6E-409C-BE32-E72D297353CC}">
              <c16:uniqueId val="{0000000A-DD44-4FF3-8E2F-20FC8CCD8681}"/>
            </c:ext>
          </c:extLst>
        </c:ser>
        <c:dLbls>
          <c:dLblPos val="t"/>
          <c:showLegendKey val="0"/>
          <c:showVal val="1"/>
          <c:showCatName val="0"/>
          <c:showSerName val="0"/>
          <c:showPercent val="0"/>
          <c:showBubbleSize val="0"/>
        </c:dLbls>
        <c:smooth val="0"/>
        <c:axId val="372932208"/>
        <c:axId val="1761901791"/>
      </c:lineChart>
      <c:catAx>
        <c:axId val="372932208"/>
        <c:scaling>
          <c:orientation val="minMax"/>
        </c:scaling>
        <c:delete val="0"/>
        <c:axPos val="b"/>
        <c:numFmt formatCode="0\A"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901791"/>
        <c:crosses val="autoZero"/>
        <c:auto val="1"/>
        <c:lblAlgn val="ctr"/>
        <c:lblOffset val="100"/>
        <c:noMultiLvlLbl val="0"/>
      </c:catAx>
      <c:valAx>
        <c:axId val="176190179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37293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AMZN_IS!$AC$41</c:f>
              <c:strCache>
                <c:ptCount val="1"/>
                <c:pt idx="0">
                  <c:v>Technology &amp; Content</c:v>
                </c:pt>
              </c:strCache>
            </c:strRef>
          </c:tx>
          <c:spPr>
            <a:solidFill>
              <a:schemeClr val="tx1"/>
            </a:solidFill>
            <a:ln>
              <a:noFill/>
            </a:ln>
            <a:effectLst/>
          </c:spPr>
          <c:invertIfNegative val="0"/>
          <c:dPt>
            <c:idx val="0"/>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1-1F35-4464-8E97-61443F4B3EC5}"/>
              </c:ext>
            </c:extLst>
          </c:dPt>
          <c:dPt>
            <c:idx val="1"/>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3-1F35-4464-8E97-61443F4B3EC5}"/>
              </c:ext>
            </c:extLst>
          </c:dPt>
          <c:dPt>
            <c:idx val="2"/>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5-1F35-4464-8E97-61443F4B3EC5}"/>
              </c:ext>
            </c:extLst>
          </c:dPt>
          <c:dPt>
            <c:idx val="3"/>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7-1F35-4464-8E97-61443F4B3EC5}"/>
              </c:ext>
            </c:extLst>
          </c:dPt>
          <c:dPt>
            <c:idx val="4"/>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9-1F35-4464-8E97-61443F4B3EC5}"/>
              </c:ext>
            </c:extLst>
          </c:dPt>
          <c:dLbls>
            <c:delete val="1"/>
          </c:dLbls>
          <c:cat>
            <c:numRef>
              <c:f>AMZN_IS!$AB$42:$AB$51</c:f>
              <c:numCache>
                <c:formatCode>0\A</c:formatCode>
                <c:ptCount val="10"/>
                <c:pt idx="0">
                  <c:v>2018</c:v>
                </c:pt>
                <c:pt idx="1">
                  <c:v>2019</c:v>
                </c:pt>
                <c:pt idx="2">
                  <c:v>2020</c:v>
                </c:pt>
                <c:pt idx="3">
                  <c:v>2021</c:v>
                </c:pt>
                <c:pt idx="4">
                  <c:v>2022</c:v>
                </c:pt>
                <c:pt idx="5" formatCode="0&quot;E&quot;">
                  <c:v>2023</c:v>
                </c:pt>
                <c:pt idx="6" formatCode="0&quot;E&quot;">
                  <c:v>2024</c:v>
                </c:pt>
                <c:pt idx="7" formatCode="0&quot;E&quot;">
                  <c:v>2025</c:v>
                </c:pt>
                <c:pt idx="8" formatCode="0&quot;E&quot;">
                  <c:v>2026</c:v>
                </c:pt>
                <c:pt idx="9" formatCode="0&quot;E&quot;">
                  <c:v>2027</c:v>
                </c:pt>
              </c:numCache>
            </c:numRef>
          </c:cat>
          <c:val>
            <c:numRef>
              <c:f>AMZN_IS!$AC$42:$AC$51</c:f>
              <c:numCache>
                <c:formatCode>_(* #,##0_);_(* \(#,##0\);_(* "-"??_);_(@_)</c:formatCode>
                <c:ptCount val="10"/>
                <c:pt idx="0">
                  <c:v>16572</c:v>
                </c:pt>
                <c:pt idx="1">
                  <c:v>35932</c:v>
                </c:pt>
                <c:pt idx="2">
                  <c:v>42738</c:v>
                </c:pt>
                <c:pt idx="3">
                  <c:v>56052</c:v>
                </c:pt>
                <c:pt idx="4">
                  <c:v>73213</c:v>
                </c:pt>
                <c:pt idx="5">
                  <c:v>81349.801625838809</c:v>
                </c:pt>
                <c:pt idx="6">
                  <c:v>91417.759274984171</c:v>
                </c:pt>
                <c:pt idx="7">
                  <c:v>102673.4177879312</c:v>
                </c:pt>
                <c:pt idx="8">
                  <c:v>115009.62536136208</c:v>
                </c:pt>
                <c:pt idx="9">
                  <c:v>128431.47393344667</c:v>
                </c:pt>
              </c:numCache>
            </c:numRef>
          </c:val>
          <c:extLst>
            <c:ext xmlns:c16="http://schemas.microsoft.com/office/drawing/2014/chart" uri="{C3380CC4-5D6E-409C-BE32-E72D297353CC}">
              <c16:uniqueId val="{0000000A-1F35-4464-8E97-61443F4B3EC5}"/>
            </c:ext>
          </c:extLst>
        </c:ser>
        <c:dLbls>
          <c:dLblPos val="outEnd"/>
          <c:showLegendKey val="0"/>
          <c:showVal val="1"/>
          <c:showCatName val="0"/>
          <c:showSerName val="0"/>
          <c:showPercent val="0"/>
          <c:showBubbleSize val="0"/>
        </c:dLbls>
        <c:gapWidth val="219"/>
        <c:axId val="372932208"/>
        <c:axId val="1761901791"/>
      </c:barChart>
      <c:lineChart>
        <c:grouping val="standard"/>
        <c:varyColors val="0"/>
        <c:ser>
          <c:idx val="1"/>
          <c:order val="1"/>
          <c:tx>
            <c:strRef>
              <c:f>AMZN_IS!$AD$41</c:f>
              <c:strCache>
                <c:ptCount val="1"/>
                <c:pt idx="0">
                  <c:v>% of Revenue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zon Ember" panose="020B0603020204020204" pitchFamily="34" charset="0"/>
                    <a:ea typeface="Amazon Ember" panose="020B0603020204020204" pitchFamily="34" charset="0"/>
                    <a:cs typeface="Amazon Ember" panose="020B0603020204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AMZN_IS!$AB$42:$AB$51</c:f>
              <c:numCache>
                <c:formatCode>0\A</c:formatCode>
                <c:ptCount val="10"/>
                <c:pt idx="0">
                  <c:v>2018</c:v>
                </c:pt>
                <c:pt idx="1">
                  <c:v>2019</c:v>
                </c:pt>
                <c:pt idx="2">
                  <c:v>2020</c:v>
                </c:pt>
                <c:pt idx="3">
                  <c:v>2021</c:v>
                </c:pt>
                <c:pt idx="4">
                  <c:v>2022</c:v>
                </c:pt>
                <c:pt idx="5" formatCode="0&quot;E&quot;">
                  <c:v>2023</c:v>
                </c:pt>
                <c:pt idx="6" formatCode="0&quot;E&quot;">
                  <c:v>2024</c:v>
                </c:pt>
                <c:pt idx="7" formatCode="0&quot;E&quot;">
                  <c:v>2025</c:v>
                </c:pt>
                <c:pt idx="8" formatCode="0&quot;E&quot;">
                  <c:v>2026</c:v>
                </c:pt>
                <c:pt idx="9" formatCode="0&quot;E&quot;">
                  <c:v>2027</c:v>
                </c:pt>
              </c:numCache>
            </c:numRef>
          </c:cat>
          <c:val>
            <c:numRef>
              <c:f>AMZN_IS!$AD$42:$AD$51</c:f>
              <c:numCache>
                <c:formatCode>0.0%</c:formatCode>
                <c:ptCount val="10"/>
                <c:pt idx="0">
                  <c:v>7.1158974094732638E-2</c:v>
                </c:pt>
                <c:pt idx="1">
                  <c:v>0.12808977548997941</c:v>
                </c:pt>
                <c:pt idx="2">
                  <c:v>0.11070185254258361</c:v>
                </c:pt>
                <c:pt idx="3">
                  <c:v>0.11930475797216818</c:v>
                </c:pt>
                <c:pt idx="4">
                  <c:v>0.14244245432241923</c:v>
                </c:pt>
                <c:pt idx="5">
                  <c:v>0.14536069026736942</c:v>
                </c:pt>
                <c:pt idx="6">
                  <c:v>0.14696691970787959</c:v>
                </c:pt>
                <c:pt idx="7">
                  <c:v>0.14881127980525305</c:v>
                </c:pt>
                <c:pt idx="8">
                  <c:v>0.15065563990262654</c:v>
                </c:pt>
                <c:pt idx="9">
                  <c:v>0.1525</c:v>
                </c:pt>
              </c:numCache>
            </c:numRef>
          </c:val>
          <c:smooth val="0"/>
          <c:extLst>
            <c:ext xmlns:c16="http://schemas.microsoft.com/office/drawing/2014/chart" uri="{C3380CC4-5D6E-409C-BE32-E72D297353CC}">
              <c16:uniqueId val="{0000000B-1F35-4464-8E97-61443F4B3EC5}"/>
            </c:ext>
          </c:extLst>
        </c:ser>
        <c:dLbls>
          <c:showLegendKey val="0"/>
          <c:showVal val="1"/>
          <c:showCatName val="0"/>
          <c:showSerName val="0"/>
          <c:showPercent val="0"/>
          <c:showBubbleSize val="0"/>
        </c:dLbls>
        <c:marker val="1"/>
        <c:smooth val="0"/>
        <c:axId val="672943376"/>
        <c:axId val="672941936"/>
      </c:lineChart>
      <c:catAx>
        <c:axId val="372932208"/>
        <c:scaling>
          <c:orientation val="minMax"/>
        </c:scaling>
        <c:delete val="0"/>
        <c:axPos val="b"/>
        <c:numFmt formatCode="0\A"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901791"/>
        <c:crosses val="autoZero"/>
        <c:auto val="1"/>
        <c:lblAlgn val="ctr"/>
        <c:lblOffset val="100"/>
        <c:noMultiLvlLbl val="0"/>
      </c:catAx>
      <c:valAx>
        <c:axId val="1761901791"/>
        <c:scaling>
          <c:orientation val="minMax"/>
          <c:max val="200000"/>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372932208"/>
        <c:crosses val="autoZero"/>
        <c:crossBetween val="between"/>
      </c:valAx>
      <c:valAx>
        <c:axId val="67294193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mazon Ember" panose="020B0603020204020204" pitchFamily="34" charset="0"/>
                <a:ea typeface="Amazon Ember" panose="020B0603020204020204" pitchFamily="34" charset="0"/>
                <a:cs typeface="Amazon Ember" panose="020B0603020204020204" pitchFamily="34" charset="0"/>
              </a:defRPr>
            </a:pPr>
            <a:endParaRPr lang="en-US"/>
          </a:p>
        </c:txPr>
        <c:crossAx val="672943376"/>
        <c:crosses val="max"/>
        <c:crossBetween val="between"/>
      </c:valAx>
      <c:catAx>
        <c:axId val="672943376"/>
        <c:scaling>
          <c:orientation val="minMax"/>
        </c:scaling>
        <c:delete val="1"/>
        <c:axPos val="b"/>
        <c:numFmt formatCode="0\A" sourceLinked="1"/>
        <c:majorTickMark val="out"/>
        <c:minorTickMark val="none"/>
        <c:tickLblPos val="nextTo"/>
        <c:crossAx val="6729419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'Football Feild'!$F$6</c:f>
              <c:strCache>
                <c:ptCount val="1"/>
                <c:pt idx="0">
                  <c:v>Low</c:v>
                </c:pt>
              </c:strCache>
            </c:strRef>
          </c:tx>
          <c:spPr>
            <a:noFill/>
            <a:ln>
              <a:noFill/>
            </a:ln>
            <a:effectLst/>
          </c:spPr>
          <c:invertIfNegative val="0"/>
          <c:cat>
            <c:strRef>
              <c:f>'Football Feild'!$E$7:$E$11</c:f>
              <c:strCache>
                <c:ptCount val="5"/>
                <c:pt idx="0">
                  <c:v>Optimistic
Case (DCF)</c:v>
                </c:pt>
                <c:pt idx="1">
                  <c:v>Street
Case (DCF)</c:v>
                </c:pt>
                <c:pt idx="2">
                  <c:v>Conservative
Case (DCF)</c:v>
                </c:pt>
                <c:pt idx="3">
                  <c:v>Price / Sales
Multiple</c:v>
                </c:pt>
                <c:pt idx="4">
                  <c:v>52 week share 
price movement</c:v>
                </c:pt>
              </c:strCache>
            </c:strRef>
          </c:cat>
          <c:val>
            <c:numRef>
              <c:f>'Football Feild'!$F$7:$F$11</c:f>
              <c:numCache>
                <c:formatCode>0.0</c:formatCode>
                <c:ptCount val="5"/>
                <c:pt idx="0">
                  <c:v>146.17005878078507</c:v>
                </c:pt>
                <c:pt idx="1">
                  <c:v>117.68404710949451</c:v>
                </c:pt>
                <c:pt idx="2">
                  <c:v>91.189270354203828</c:v>
                </c:pt>
                <c:pt idx="3">
                  <c:v>165.32305660255793</c:v>
                </c:pt>
                <c:pt idx="4">
                  <c:v>81.430000000000007</c:v>
                </c:pt>
              </c:numCache>
            </c:numRef>
          </c:val>
          <c:extLst>
            <c:ext xmlns:c16="http://schemas.microsoft.com/office/drawing/2014/chart" uri="{C3380CC4-5D6E-409C-BE32-E72D297353CC}">
              <c16:uniqueId val="{00000000-3700-43DC-BFA0-40BC42D557DF}"/>
            </c:ext>
          </c:extLst>
        </c:ser>
        <c:ser>
          <c:idx val="1"/>
          <c:order val="1"/>
          <c:tx>
            <c:strRef>
              <c:f>'Football Feild'!$G$6</c:f>
              <c:strCache>
                <c:ptCount val="1"/>
                <c:pt idx="0">
                  <c:v>Difference</c:v>
                </c:pt>
              </c:strCache>
            </c:strRef>
          </c:tx>
          <c:spPr>
            <a:solidFill>
              <a:schemeClr val="tx1"/>
            </a:solidFill>
            <a:ln>
              <a:noFill/>
            </a:ln>
            <a:effectLst/>
          </c:spPr>
          <c:invertIfNegative val="0"/>
          <c:cat>
            <c:strRef>
              <c:f>'Football Feild'!$E$7:$E$11</c:f>
              <c:strCache>
                <c:ptCount val="5"/>
                <c:pt idx="0">
                  <c:v>Optimistic
Case (DCF)</c:v>
                </c:pt>
                <c:pt idx="1">
                  <c:v>Street
Case (DCF)</c:v>
                </c:pt>
                <c:pt idx="2">
                  <c:v>Conservative
Case (DCF)</c:v>
                </c:pt>
                <c:pt idx="3">
                  <c:v>Price / Sales
Multiple</c:v>
                </c:pt>
                <c:pt idx="4">
                  <c:v>52 week share 
price movement</c:v>
                </c:pt>
              </c:strCache>
            </c:strRef>
          </c:cat>
          <c:val>
            <c:numRef>
              <c:f>'Football Feild'!$G$7:$G$11</c:f>
              <c:numCache>
                <c:formatCode>0.0</c:formatCode>
                <c:ptCount val="5"/>
                <c:pt idx="0">
                  <c:v>32.580931967933907</c:v>
                </c:pt>
                <c:pt idx="1">
                  <c:v>25.870714457307116</c:v>
                </c:pt>
                <c:pt idx="2">
                  <c:v>19.673841857799871</c:v>
                </c:pt>
                <c:pt idx="3">
                  <c:v>115.90738056119324</c:v>
                </c:pt>
                <c:pt idx="4">
                  <c:v>65.139999999999986</c:v>
                </c:pt>
              </c:numCache>
            </c:numRef>
          </c:val>
          <c:extLst>
            <c:ext xmlns:c16="http://schemas.microsoft.com/office/drawing/2014/chart" uri="{C3380CC4-5D6E-409C-BE32-E72D297353CC}">
              <c16:uniqueId val="{00000001-3700-43DC-BFA0-40BC42D557DF}"/>
            </c:ext>
          </c:extLst>
        </c:ser>
        <c:ser>
          <c:idx val="2"/>
          <c:order val="2"/>
          <c:tx>
            <c:strRef>
              <c:f>'Football Feild'!$H$6</c:f>
              <c:strCache>
                <c:ptCount val="1"/>
                <c:pt idx="0">
                  <c:v>High</c:v>
                </c:pt>
              </c:strCache>
            </c:strRef>
          </c:tx>
          <c:spPr>
            <a:solidFill>
              <a:schemeClr val="accent3"/>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7-3700-43DC-BFA0-40BC42D557DF}"/>
              </c:ext>
            </c:extLst>
          </c:dPt>
          <c:dPt>
            <c:idx val="1"/>
            <c:invertIfNegative val="0"/>
            <c:bubble3D val="0"/>
            <c:spPr>
              <a:noFill/>
              <a:ln>
                <a:noFill/>
              </a:ln>
              <a:effectLst/>
            </c:spPr>
            <c:extLst>
              <c:ext xmlns:c16="http://schemas.microsoft.com/office/drawing/2014/chart" uri="{C3380CC4-5D6E-409C-BE32-E72D297353CC}">
                <c16:uniqueId val="{00000006-3700-43DC-BFA0-40BC42D557DF}"/>
              </c:ext>
            </c:extLst>
          </c:dPt>
          <c:dPt>
            <c:idx val="2"/>
            <c:invertIfNegative val="0"/>
            <c:bubble3D val="0"/>
            <c:spPr>
              <a:noFill/>
              <a:ln>
                <a:noFill/>
              </a:ln>
              <a:effectLst/>
            </c:spPr>
            <c:extLst>
              <c:ext xmlns:c16="http://schemas.microsoft.com/office/drawing/2014/chart" uri="{C3380CC4-5D6E-409C-BE32-E72D297353CC}">
                <c16:uniqueId val="{00000005-3700-43DC-BFA0-40BC42D557DF}"/>
              </c:ext>
            </c:extLst>
          </c:dPt>
          <c:dPt>
            <c:idx val="3"/>
            <c:invertIfNegative val="0"/>
            <c:bubble3D val="0"/>
            <c:spPr>
              <a:noFill/>
              <a:ln>
                <a:noFill/>
              </a:ln>
              <a:effectLst/>
            </c:spPr>
            <c:extLst>
              <c:ext xmlns:c16="http://schemas.microsoft.com/office/drawing/2014/chart" uri="{C3380CC4-5D6E-409C-BE32-E72D297353CC}">
                <c16:uniqueId val="{00000003-3700-43DC-BFA0-40BC42D557DF}"/>
              </c:ext>
            </c:extLst>
          </c:dPt>
          <c:dPt>
            <c:idx val="4"/>
            <c:invertIfNegative val="0"/>
            <c:bubble3D val="0"/>
            <c:spPr>
              <a:noFill/>
              <a:ln>
                <a:noFill/>
              </a:ln>
              <a:effectLst/>
            </c:spPr>
            <c:extLst>
              <c:ext xmlns:c16="http://schemas.microsoft.com/office/drawing/2014/chart" uri="{C3380CC4-5D6E-409C-BE32-E72D297353CC}">
                <c16:uniqueId val="{00000004-3700-43DC-BFA0-40BC42D557DF}"/>
              </c:ext>
            </c:extLst>
          </c:dPt>
          <c:cat>
            <c:strRef>
              <c:f>'Football Feild'!$E$7:$E$11</c:f>
              <c:strCache>
                <c:ptCount val="5"/>
                <c:pt idx="0">
                  <c:v>Optimistic
Case (DCF)</c:v>
                </c:pt>
                <c:pt idx="1">
                  <c:v>Street
Case (DCF)</c:v>
                </c:pt>
                <c:pt idx="2">
                  <c:v>Conservative
Case (DCF)</c:v>
                </c:pt>
                <c:pt idx="3">
                  <c:v>Price / Sales
Multiple</c:v>
                </c:pt>
                <c:pt idx="4">
                  <c:v>52 week share 
price movement</c:v>
                </c:pt>
              </c:strCache>
            </c:strRef>
          </c:cat>
          <c:val>
            <c:numRef>
              <c:f>'Football Feild'!$H$7:$H$11</c:f>
              <c:numCache>
                <c:formatCode>0.0</c:formatCode>
                <c:ptCount val="5"/>
                <c:pt idx="0">
                  <c:v>178.75099074871898</c:v>
                </c:pt>
                <c:pt idx="1">
                  <c:v>143.55476156680163</c:v>
                </c:pt>
                <c:pt idx="2">
                  <c:v>110.8631122120037</c:v>
                </c:pt>
                <c:pt idx="3">
                  <c:v>281.23043716375116</c:v>
                </c:pt>
                <c:pt idx="4">
                  <c:v>146.57</c:v>
                </c:pt>
              </c:numCache>
            </c:numRef>
          </c:val>
          <c:extLst>
            <c:ext xmlns:c16="http://schemas.microsoft.com/office/drawing/2014/chart" uri="{C3380CC4-5D6E-409C-BE32-E72D297353CC}">
              <c16:uniqueId val="{00000002-3700-43DC-BFA0-40BC42D557DF}"/>
            </c:ext>
          </c:extLst>
        </c:ser>
        <c:dLbls>
          <c:showLegendKey val="0"/>
          <c:showVal val="0"/>
          <c:showCatName val="0"/>
          <c:showSerName val="0"/>
          <c:showPercent val="0"/>
          <c:showBubbleSize val="0"/>
        </c:dLbls>
        <c:gapWidth val="150"/>
        <c:overlap val="100"/>
        <c:axId val="1869928192"/>
        <c:axId val="1869934432"/>
      </c:barChart>
      <c:catAx>
        <c:axId val="186992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defRPr>
            </a:pPr>
            <a:endParaRPr lang="en-US"/>
          </a:p>
        </c:txPr>
        <c:crossAx val="1869934432"/>
        <c:crosses val="autoZero"/>
        <c:auto val="1"/>
        <c:lblAlgn val="ctr"/>
        <c:lblOffset val="100"/>
        <c:noMultiLvlLbl val="0"/>
      </c:catAx>
      <c:valAx>
        <c:axId val="1869934432"/>
        <c:scaling>
          <c:orientation val="minMax"/>
          <c:max val="3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6992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plotArea>
      <cx:plotAreaRegion>
        <cx:plotSurface>
          <cx:spPr>
            <a:ln>
              <a:noFill/>
            </a:ln>
          </cx:spPr>
        </cx:plotSurface>
        <cx:series layoutId="waterfall" uniqueId="{E14C83CD-13B3-4D70-BF10-9E37AD3AE143}">
          <cx:spPr>
            <a:solidFill>
              <a:schemeClr val="tx1"/>
            </a:solidFill>
            <a:ln>
              <a:noFill/>
            </a:ln>
          </cx:spPr>
          <cx:dataPt idx="0">
            <cx:spPr>
              <a:ln>
                <a:noFill/>
              </a:ln>
            </cx:spPr>
          </cx:dataPt>
          <cx:dataPt idx="1">
            <cx:spPr>
              <a:solidFill>
                <a:srgbClr val="FF9900"/>
              </a:solidFill>
            </cx:spPr>
          </cx:dataPt>
          <cx:dataPt idx="2">
            <cx:spPr>
              <a:ln>
                <a:noFill/>
              </a:ln>
            </cx:spPr>
          </cx:dataPt>
          <cx:dataLabels pos="outEnd">
            <cx:txPr>
              <a:bodyPr spcFirstLastPara="1" vertOverflow="ellipsis" horzOverflow="overflow" wrap="square" lIns="0" tIns="0" rIns="0" bIns="0" anchor="ctr" anchorCtr="1"/>
              <a:lstStyle/>
              <a:p>
                <a:pPr algn="ctr" rtl="0">
                  <a:defRPr sz="1000" b="1">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defRPr>
                </a:pPr>
                <a:endParaRPr lang="en-US" sz="1000" b="1" i="0" u="none" strike="noStrike" baseline="0">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endParaRPr>
              </a:p>
            </cx:txPr>
            <cx:visibility seriesName="0" categoryName="0" value="1"/>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sz="1100" b="1">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defRPr>
            </a:pPr>
            <a:endParaRPr lang="en-US" sz="1100" b="1" i="0" u="none" strike="noStrike" baseline="0">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endParaRPr>
          </a:p>
        </cx:txPr>
      </cx:axis>
      <cx:axis id="1" hidden="1">
        <cx:valScaling/>
        <cx:tickLabels/>
      </cx:axis>
    </cx:plotArea>
  </cx:chart>
  <cx:spPr>
    <a:ln>
      <a:noFill/>
    </a:ln>
  </cx:spPr>
  <cx:fmtOvrs>
    <cx:fmtOvr idx="1">
      <cx:spPr>
        <a:solidFill>
          <a:srgbClr val="FF9900"/>
        </a:solidFill>
      </cx:spPr>
    </cx:fmtOvr>
    <cx:fmtOvr idx="0">
      <cx:spPr>
        <a:solidFill>
          <a:srgbClr val="FF9900"/>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6</xdr:row>
      <xdr:rowOff>104775</xdr:rowOff>
    </xdr:from>
    <xdr:to>
      <xdr:col>27</xdr:col>
      <xdr:colOff>542925</xdr:colOff>
      <xdr:row>35</xdr:row>
      <xdr:rowOff>49753</xdr:rowOff>
    </xdr:to>
    <xdr:pic>
      <xdr:nvPicPr>
        <xdr:cNvPr id="2" name="Picture 1">
          <a:extLst>
            <a:ext uri="{FF2B5EF4-FFF2-40B4-BE49-F238E27FC236}">
              <a16:creationId xmlns:a16="http://schemas.microsoft.com/office/drawing/2014/main" id="{D2E979C4-9711-3A4E-00D1-9A06F820C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725" y="1190625"/>
          <a:ext cx="17183100" cy="5193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20</xdr:col>
      <xdr:colOff>457199</xdr:colOff>
      <xdr:row>1</xdr:row>
      <xdr:rowOff>238124</xdr:rowOff>
    </xdr:from>
    <xdr:to>
      <xdr:col>25</xdr:col>
      <xdr:colOff>133349</xdr:colOff>
      <xdr:row>17</xdr:row>
      <xdr:rowOff>76199</xdr:rowOff>
    </xdr:to>
    <xdr:grpSp>
      <xdr:nvGrpSpPr>
        <xdr:cNvPr id="6" name="Group 5">
          <a:extLst>
            <a:ext uri="{FF2B5EF4-FFF2-40B4-BE49-F238E27FC236}">
              <a16:creationId xmlns:a16="http://schemas.microsoft.com/office/drawing/2014/main" id="{3768CA1F-DB68-0219-A418-7A1C65BBBCF5}"/>
            </a:ext>
          </a:extLst>
        </xdr:cNvPr>
        <xdr:cNvGrpSpPr/>
      </xdr:nvGrpSpPr>
      <xdr:grpSpPr>
        <a:xfrm>
          <a:off x="18783039" y="564323"/>
          <a:ext cx="4569129" cy="2734718"/>
          <a:chOff x="18869024" y="571499"/>
          <a:chExt cx="4572000" cy="2743200"/>
        </a:xfrm>
      </xdr:grpSpPr>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72758588-550F-629A-A055-E9F029B2DDAB}"/>
                  </a:ext>
                </a:extLst>
              </xdr:cNvPr>
              <xdr:cNvGraphicFramePr/>
            </xdr:nvGraphicFramePr>
            <xdr:xfrm>
              <a:off x="18869024" y="571499"/>
              <a:ext cx="4572000" cy="274320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869024" y="57149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5" name="TextBox 4">
            <a:extLst>
              <a:ext uri="{FF2B5EF4-FFF2-40B4-BE49-F238E27FC236}">
                <a16:creationId xmlns:a16="http://schemas.microsoft.com/office/drawing/2014/main" id="{870BD6F4-168E-9BA0-155B-A0E98A860A40}"/>
              </a:ext>
            </a:extLst>
          </xdr:cNvPr>
          <xdr:cNvSpPr txBox="1"/>
        </xdr:nvSpPr>
        <xdr:spPr>
          <a:xfrm>
            <a:off x="20793075" y="1047750"/>
            <a:ext cx="723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Amazon Ember" panose="020B0603020204020204" pitchFamily="34" charset="0"/>
                <a:ea typeface="Amazon Ember" panose="020B0603020204020204" pitchFamily="34" charset="0"/>
                <a:cs typeface="Amazon Ember" panose="020B0603020204020204" pitchFamily="34" charset="0"/>
              </a:rPr>
              <a:t>26.1%</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684609</xdr:colOff>
      <xdr:row>6</xdr:row>
      <xdr:rowOff>8</xdr:rowOff>
    </xdr:from>
    <xdr:to>
      <xdr:col>37</xdr:col>
      <xdr:colOff>427434</xdr:colOff>
      <xdr:row>20</xdr:row>
      <xdr:rowOff>76208</xdr:rowOff>
    </xdr:to>
    <xdr:graphicFrame macro="">
      <xdr:nvGraphicFramePr>
        <xdr:cNvPr id="2" name="Chart 1">
          <a:extLst>
            <a:ext uri="{FF2B5EF4-FFF2-40B4-BE49-F238E27FC236}">
              <a16:creationId xmlns:a16="http://schemas.microsoft.com/office/drawing/2014/main" id="{0AE92259-D42B-F8C8-858B-885042CD1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202406</xdr:colOff>
      <xdr:row>7</xdr:row>
      <xdr:rowOff>119062</xdr:rowOff>
    </xdr:from>
    <xdr:to>
      <xdr:col>34</xdr:col>
      <xdr:colOff>202406</xdr:colOff>
      <xdr:row>17</xdr:row>
      <xdr:rowOff>47625</xdr:rowOff>
    </xdr:to>
    <xdr:cxnSp macro="">
      <xdr:nvCxnSpPr>
        <xdr:cNvPr id="4" name="Straight Connector 3">
          <a:extLst>
            <a:ext uri="{FF2B5EF4-FFF2-40B4-BE49-F238E27FC236}">
              <a16:creationId xmlns:a16="http://schemas.microsoft.com/office/drawing/2014/main" id="{AA32A72D-41A5-C212-3F9C-9A3D50936F66}"/>
            </a:ext>
          </a:extLst>
        </xdr:cNvPr>
        <xdr:cNvCxnSpPr/>
      </xdr:nvCxnSpPr>
      <xdr:spPr>
        <a:xfrm>
          <a:off x="25288875" y="1452562"/>
          <a:ext cx="0" cy="1833563"/>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373855</xdr:colOff>
      <xdr:row>8</xdr:row>
      <xdr:rowOff>171449</xdr:rowOff>
    </xdr:from>
    <xdr:to>
      <xdr:col>36</xdr:col>
      <xdr:colOff>647699</xdr:colOff>
      <xdr:row>11</xdr:row>
      <xdr:rowOff>107156</xdr:rowOff>
    </xdr:to>
    <xdr:cxnSp macro="">
      <xdr:nvCxnSpPr>
        <xdr:cNvPr id="6" name="Straight Arrow Connector 5">
          <a:extLst>
            <a:ext uri="{FF2B5EF4-FFF2-40B4-BE49-F238E27FC236}">
              <a16:creationId xmlns:a16="http://schemas.microsoft.com/office/drawing/2014/main" id="{6E1DCE20-5CA2-2946-A895-37E5D3656D07}"/>
            </a:ext>
          </a:extLst>
        </xdr:cNvPr>
        <xdr:cNvCxnSpPr/>
      </xdr:nvCxnSpPr>
      <xdr:spPr>
        <a:xfrm flipV="1">
          <a:off x="25460324" y="1695449"/>
          <a:ext cx="1654969" cy="507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569714</xdr:colOff>
      <xdr:row>9</xdr:row>
      <xdr:rowOff>112728</xdr:rowOff>
    </xdr:from>
    <xdr:to>
      <xdr:col>36</xdr:col>
      <xdr:colOff>392700</xdr:colOff>
      <xdr:row>11</xdr:row>
      <xdr:rowOff>8666</xdr:rowOff>
    </xdr:to>
    <xdr:sp macro="" textlink="">
      <xdr:nvSpPr>
        <xdr:cNvPr id="7" name="Oval 6">
          <a:extLst>
            <a:ext uri="{FF2B5EF4-FFF2-40B4-BE49-F238E27FC236}">
              <a16:creationId xmlns:a16="http://schemas.microsoft.com/office/drawing/2014/main" id="{33A99D54-51D8-1F3D-5900-91057D789E41}"/>
            </a:ext>
          </a:extLst>
        </xdr:cNvPr>
        <xdr:cNvSpPr/>
      </xdr:nvSpPr>
      <xdr:spPr>
        <a:xfrm rot="20554129">
          <a:off x="25656183" y="1827228"/>
          <a:ext cx="1204111" cy="276938"/>
        </a:xfrm>
        <a:prstGeom prst="ellipse">
          <a:avLst/>
        </a:prstGeom>
        <a:solidFill>
          <a:sysClr val="window" lastClr="FFFFFF"/>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rPr>
            <a:t>CAGR 10.4%</a:t>
          </a:r>
        </a:p>
      </xdr:txBody>
    </xdr:sp>
    <xdr:clientData/>
  </xdr:twoCellAnchor>
  <xdr:twoCellAnchor>
    <xdr:from>
      <xdr:col>31</xdr:col>
      <xdr:colOff>290511</xdr:colOff>
      <xdr:row>11</xdr:row>
      <xdr:rowOff>100012</xdr:rowOff>
    </xdr:from>
    <xdr:to>
      <xdr:col>33</xdr:col>
      <xdr:colOff>569117</xdr:colOff>
      <xdr:row>14</xdr:row>
      <xdr:rowOff>30957</xdr:rowOff>
    </xdr:to>
    <xdr:cxnSp macro="">
      <xdr:nvCxnSpPr>
        <xdr:cNvPr id="10" name="Straight Arrow Connector 9">
          <a:extLst>
            <a:ext uri="{FF2B5EF4-FFF2-40B4-BE49-F238E27FC236}">
              <a16:creationId xmlns:a16="http://schemas.microsoft.com/office/drawing/2014/main" id="{C1970DC7-F6EB-4373-91F8-06F12AE77860}"/>
            </a:ext>
          </a:extLst>
        </xdr:cNvPr>
        <xdr:cNvCxnSpPr/>
      </xdr:nvCxnSpPr>
      <xdr:spPr>
        <a:xfrm flipV="1">
          <a:off x="23305292" y="2195512"/>
          <a:ext cx="1659731" cy="502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486370</xdr:colOff>
      <xdr:row>12</xdr:row>
      <xdr:rowOff>41291</xdr:rowOff>
    </xdr:from>
    <xdr:to>
      <xdr:col>33</xdr:col>
      <xdr:colOff>309356</xdr:colOff>
      <xdr:row>13</xdr:row>
      <xdr:rowOff>127729</xdr:rowOff>
    </xdr:to>
    <xdr:sp macro="" textlink="">
      <xdr:nvSpPr>
        <xdr:cNvPr id="11" name="Oval 10">
          <a:extLst>
            <a:ext uri="{FF2B5EF4-FFF2-40B4-BE49-F238E27FC236}">
              <a16:creationId xmlns:a16="http://schemas.microsoft.com/office/drawing/2014/main" id="{021C5033-307B-40BC-AC7B-3DBE0DF3709B}"/>
            </a:ext>
          </a:extLst>
        </xdr:cNvPr>
        <xdr:cNvSpPr/>
      </xdr:nvSpPr>
      <xdr:spPr>
        <a:xfrm rot="20554129">
          <a:off x="23501151" y="2327291"/>
          <a:ext cx="1204111" cy="276938"/>
        </a:xfrm>
        <a:prstGeom prst="ellipse">
          <a:avLst/>
        </a:prstGeom>
        <a:solidFill>
          <a:sysClr val="window" lastClr="FFFFFF"/>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ysClr val="windowText" lastClr="000000"/>
              </a:solidFill>
              <a:latin typeface="Amazon Ember" panose="020B0603020204020204" pitchFamily="34" charset="0"/>
              <a:ea typeface="Amazon Ember" panose="020B0603020204020204" pitchFamily="34" charset="0"/>
              <a:cs typeface="Amazon Ember" panose="020B0603020204020204" pitchFamily="34" charset="0"/>
            </a:rPr>
            <a:t>CAGR 26.4%</a:t>
          </a:r>
        </a:p>
      </xdr:txBody>
    </xdr:sp>
    <xdr:clientData/>
  </xdr:twoCellAnchor>
  <xdr:twoCellAnchor>
    <xdr:from>
      <xdr:col>31</xdr:col>
      <xdr:colOff>0</xdr:colOff>
      <xdr:row>22</xdr:row>
      <xdr:rowOff>0</xdr:rowOff>
    </xdr:from>
    <xdr:to>
      <xdr:col>37</xdr:col>
      <xdr:colOff>433387</xdr:colOff>
      <xdr:row>36</xdr:row>
      <xdr:rowOff>76200</xdr:rowOff>
    </xdr:to>
    <xdr:graphicFrame macro="">
      <xdr:nvGraphicFramePr>
        <xdr:cNvPr id="12" name="Chart 11">
          <a:extLst>
            <a:ext uri="{FF2B5EF4-FFF2-40B4-BE49-F238E27FC236}">
              <a16:creationId xmlns:a16="http://schemas.microsoft.com/office/drawing/2014/main" id="{06962A50-5570-4D68-BED0-2B336C6CA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0</xdr:colOff>
      <xdr:row>40</xdr:row>
      <xdr:rowOff>0</xdr:rowOff>
    </xdr:from>
    <xdr:to>
      <xdr:col>37</xdr:col>
      <xdr:colOff>438149</xdr:colOff>
      <xdr:row>54</xdr:row>
      <xdr:rowOff>76200</xdr:rowOff>
    </xdr:to>
    <xdr:graphicFrame macro="">
      <xdr:nvGraphicFramePr>
        <xdr:cNvPr id="13" name="Chart 12">
          <a:extLst>
            <a:ext uri="{FF2B5EF4-FFF2-40B4-BE49-F238E27FC236}">
              <a16:creationId xmlns:a16="http://schemas.microsoft.com/office/drawing/2014/main" id="{5D4D5CFD-B5A2-41D1-83A4-F3AEA1BC0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497679</xdr:colOff>
      <xdr:row>3</xdr:row>
      <xdr:rowOff>104776</xdr:rowOff>
    </xdr:from>
    <xdr:to>
      <xdr:col>16</xdr:col>
      <xdr:colOff>571500</xdr:colOff>
      <xdr:row>28</xdr:row>
      <xdr:rowOff>57150</xdr:rowOff>
    </xdr:to>
    <xdr:grpSp>
      <xdr:nvGrpSpPr>
        <xdr:cNvPr id="8" name="Group 7">
          <a:extLst>
            <a:ext uri="{FF2B5EF4-FFF2-40B4-BE49-F238E27FC236}">
              <a16:creationId xmlns:a16="http://schemas.microsoft.com/office/drawing/2014/main" id="{F38A1384-2E67-09D3-795F-7291ADE7742E}"/>
            </a:ext>
          </a:extLst>
        </xdr:cNvPr>
        <xdr:cNvGrpSpPr/>
      </xdr:nvGrpSpPr>
      <xdr:grpSpPr>
        <a:xfrm>
          <a:off x="6998492" y="685801"/>
          <a:ext cx="5255421" cy="5200649"/>
          <a:chOff x="7012779" y="685801"/>
          <a:chExt cx="5255421" cy="5381624"/>
        </a:xfrm>
      </xdr:grpSpPr>
      <xdr:graphicFrame macro="">
        <xdr:nvGraphicFramePr>
          <xdr:cNvPr id="2" name="Chart 1">
            <a:extLst>
              <a:ext uri="{FF2B5EF4-FFF2-40B4-BE49-F238E27FC236}">
                <a16:creationId xmlns:a16="http://schemas.microsoft.com/office/drawing/2014/main" id="{275BF97E-888A-448B-A784-894055D05D0C}"/>
              </a:ext>
            </a:extLst>
          </xdr:cNvPr>
          <xdr:cNvGraphicFramePr>
            <a:graphicFrameLocks/>
          </xdr:cNvGraphicFramePr>
        </xdr:nvGraphicFramePr>
        <xdr:xfrm>
          <a:off x="7012779" y="685801"/>
          <a:ext cx="5255421" cy="5381624"/>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Connector 3">
            <a:extLst>
              <a:ext uri="{FF2B5EF4-FFF2-40B4-BE49-F238E27FC236}">
                <a16:creationId xmlns:a16="http://schemas.microsoft.com/office/drawing/2014/main" id="{96C5C221-D98B-7465-A0C2-06D3FBEFB1DB}"/>
              </a:ext>
            </a:extLst>
          </xdr:cNvPr>
          <xdr:cNvCxnSpPr/>
        </xdr:nvCxnSpPr>
        <xdr:spPr>
          <a:xfrm>
            <a:off x="9858375" y="819149"/>
            <a:ext cx="0" cy="4942522"/>
          </a:xfrm>
          <a:prstGeom prst="line">
            <a:avLst/>
          </a:prstGeom>
          <a:ln w="9525">
            <a:solidFill>
              <a:srgbClr val="FF99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7B3CDC42-1958-4022-99F3-8135723FEB39}"/>
              </a:ext>
            </a:extLst>
          </xdr:cNvPr>
          <xdr:cNvCxnSpPr/>
        </xdr:nvCxnSpPr>
        <xdr:spPr>
          <a:xfrm>
            <a:off x="9477375" y="819149"/>
            <a:ext cx="0" cy="4942522"/>
          </a:xfrm>
          <a:prstGeom prst="line">
            <a:avLst/>
          </a:prstGeom>
          <a:ln w="12700">
            <a:solidFill>
              <a:srgbClr val="FF9900"/>
            </a:solidFill>
            <a:prstDash val="solid"/>
          </a:ln>
        </xdr:spPr>
        <xdr:style>
          <a:lnRef idx="1">
            <a:schemeClr val="accent1"/>
          </a:lnRef>
          <a:fillRef idx="0">
            <a:schemeClr val="accent1"/>
          </a:fillRef>
          <a:effectRef idx="0">
            <a:schemeClr val="accent1"/>
          </a:effectRef>
          <a:fontRef idx="minor">
            <a:schemeClr val="tx1"/>
          </a:fontRef>
        </xdr:style>
      </xdr:cxnSp>
      <xdr:sp macro="" textlink="">
        <xdr:nvSpPr>
          <xdr:cNvPr id="6" name="TextBox 5">
            <a:extLst>
              <a:ext uri="{FF2B5EF4-FFF2-40B4-BE49-F238E27FC236}">
                <a16:creationId xmlns:a16="http://schemas.microsoft.com/office/drawing/2014/main" id="{8F74AF74-731A-F73E-ED3E-BA94246E2330}"/>
              </a:ext>
            </a:extLst>
          </xdr:cNvPr>
          <xdr:cNvSpPr txBox="1"/>
        </xdr:nvSpPr>
        <xdr:spPr>
          <a:xfrm>
            <a:off x="8286751" y="4505325"/>
            <a:ext cx="1085850" cy="561975"/>
          </a:xfrm>
          <a:prstGeom prst="rect">
            <a:avLst/>
          </a:prstGeom>
          <a:solidFill>
            <a:schemeClr val="lt1"/>
          </a:solidFill>
          <a:ln w="9525" cmpd="sng">
            <a:solidFill>
              <a:srgbClr val="FF99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Amazon Ember" panose="020B0603020204020204" pitchFamily="34" charset="0"/>
                <a:ea typeface="Amazon Ember" panose="020B0603020204020204" pitchFamily="34" charset="0"/>
                <a:cs typeface="Amazon Ember" panose="020B0603020204020204" pitchFamily="34" charset="0"/>
              </a:rPr>
              <a:t>Current Price:</a:t>
            </a:r>
          </a:p>
          <a:p>
            <a:pPr algn="ctr"/>
            <a:r>
              <a:rPr lang="en-US" sz="1000" b="1">
                <a:latin typeface="Amazon Ember" panose="020B0603020204020204" pitchFamily="34" charset="0"/>
                <a:ea typeface="Amazon Ember" panose="020B0603020204020204" pitchFamily="34" charset="0"/>
                <a:cs typeface="Amazon Ember" panose="020B0603020204020204" pitchFamily="34" charset="0"/>
              </a:rPr>
              <a:t>$105.5</a:t>
            </a:r>
          </a:p>
        </xdr:txBody>
      </xdr:sp>
      <xdr:sp macro="" textlink="">
        <xdr:nvSpPr>
          <xdr:cNvPr id="7" name="TextBox 6">
            <a:extLst>
              <a:ext uri="{FF2B5EF4-FFF2-40B4-BE49-F238E27FC236}">
                <a16:creationId xmlns:a16="http://schemas.microsoft.com/office/drawing/2014/main" id="{2767EAF4-D0D5-4173-9645-DAA284C176A5}"/>
              </a:ext>
            </a:extLst>
          </xdr:cNvPr>
          <xdr:cNvSpPr txBox="1"/>
        </xdr:nvSpPr>
        <xdr:spPr>
          <a:xfrm>
            <a:off x="10287000" y="695325"/>
            <a:ext cx="962025" cy="895350"/>
          </a:xfrm>
          <a:prstGeom prst="rect">
            <a:avLst/>
          </a:prstGeom>
          <a:solidFill>
            <a:schemeClr val="lt1"/>
          </a:solidFill>
          <a:ln w="9525" cmpd="sng">
            <a:solidFill>
              <a:srgbClr val="FF99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Amazon Ember" panose="020B0603020204020204" pitchFamily="34" charset="0"/>
                <a:ea typeface="Amazon Ember" panose="020B0603020204020204" pitchFamily="34" charset="0"/>
                <a:cs typeface="Amazon Ember" panose="020B0603020204020204" pitchFamily="34" charset="0"/>
              </a:rPr>
              <a:t>Fair Value Estimate:</a:t>
            </a:r>
          </a:p>
          <a:p>
            <a:pPr algn="ctr"/>
            <a:r>
              <a:rPr lang="en-US" sz="1200" b="1">
                <a:latin typeface="Amazon Ember" panose="020B0603020204020204" pitchFamily="34" charset="0"/>
                <a:ea typeface="Amazon Ember" panose="020B0603020204020204" pitchFamily="34" charset="0"/>
                <a:cs typeface="Amazon Ember" panose="020B0603020204020204" pitchFamily="34" charset="0"/>
              </a:rPr>
              <a:t>$133.0</a:t>
            </a:r>
          </a:p>
          <a:p>
            <a:pPr algn="ctr"/>
            <a:r>
              <a:rPr lang="en-US" sz="1200" b="1">
                <a:solidFill>
                  <a:srgbClr val="00B050"/>
                </a:solidFill>
                <a:latin typeface="Amazon Ember" panose="020B0603020204020204" pitchFamily="34" charset="0"/>
                <a:ea typeface="Amazon Ember" panose="020B0603020204020204" pitchFamily="34" charset="0"/>
                <a:cs typeface="Amazon Ember" panose="020B0603020204020204" pitchFamily="34" charset="0"/>
              </a:rPr>
              <a:t>BUY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619125</xdr:colOff>
      <xdr:row>4</xdr:row>
      <xdr:rowOff>142874</xdr:rowOff>
    </xdr:from>
    <xdr:to>
      <xdr:col>12</xdr:col>
      <xdr:colOff>238125</xdr:colOff>
      <xdr:row>12</xdr:row>
      <xdr:rowOff>95249</xdr:rowOff>
    </xdr:to>
    <xdr:pic>
      <xdr:nvPicPr>
        <xdr:cNvPr id="3" name="Picture 2" descr="How to prepare for a stint in FAANG companies?">
          <a:extLst>
            <a:ext uri="{FF2B5EF4-FFF2-40B4-BE49-F238E27FC236}">
              <a16:creationId xmlns:a16="http://schemas.microsoft.com/office/drawing/2014/main" id="{07350C80-DA8D-B87A-B1CF-A6C91E6C121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3611" b="36666"/>
        <a:stretch/>
      </xdr:blipFill>
      <xdr:spPr bwMode="auto">
        <a:xfrm>
          <a:off x="6372225" y="1571624"/>
          <a:ext cx="6096000"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276225</xdr:colOff>
      <xdr:row>14</xdr:row>
      <xdr:rowOff>85726</xdr:rowOff>
    </xdr:from>
    <xdr:to>
      <xdr:col>6</xdr:col>
      <xdr:colOff>495300</xdr:colOff>
      <xdr:row>18</xdr:row>
      <xdr:rowOff>75986</xdr:rowOff>
    </xdr:to>
    <xdr:pic>
      <xdr:nvPicPr>
        <xdr:cNvPr id="4" name="Picture 3">
          <a:extLst>
            <a:ext uri="{FF2B5EF4-FFF2-40B4-BE49-F238E27FC236}">
              <a16:creationId xmlns:a16="http://schemas.microsoft.com/office/drawing/2014/main" id="{030CDECE-4C44-2F1E-C4E4-A077248D0A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77025" y="3781426"/>
          <a:ext cx="2162175" cy="866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590550</xdr:colOff>
      <xdr:row>13</xdr:row>
      <xdr:rowOff>152401</xdr:rowOff>
    </xdr:from>
    <xdr:to>
      <xdr:col>12</xdr:col>
      <xdr:colOff>457200</xdr:colOff>
      <xdr:row>20</xdr:row>
      <xdr:rowOff>38210</xdr:rowOff>
    </xdr:to>
    <xdr:pic>
      <xdr:nvPicPr>
        <xdr:cNvPr id="5" name="Picture 4" descr="Walmart Logo Tagline">
          <a:extLst>
            <a:ext uri="{FF2B5EF4-FFF2-40B4-BE49-F238E27FC236}">
              <a16:creationId xmlns:a16="http://schemas.microsoft.com/office/drawing/2014/main" id="{5D4F45BE-4BAA-155D-C6C3-6D1E3E9511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934450" y="3514726"/>
          <a:ext cx="3752850" cy="1457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390526</xdr:colOff>
      <xdr:row>4</xdr:row>
      <xdr:rowOff>95250</xdr:rowOff>
    </xdr:from>
    <xdr:to>
      <xdr:col>23</xdr:col>
      <xdr:colOff>219076</xdr:colOff>
      <xdr:row>7</xdr:row>
      <xdr:rowOff>95281</xdr:rowOff>
    </xdr:to>
    <xdr:pic>
      <xdr:nvPicPr>
        <xdr:cNvPr id="6" name="Picture 5" descr="One Medical Teams Up with Partners HealthCare to Expand ...">
          <a:extLst>
            <a:ext uri="{FF2B5EF4-FFF2-40B4-BE49-F238E27FC236}">
              <a16:creationId xmlns:a16="http://schemas.microsoft.com/office/drawing/2014/main" id="{A94201BD-2D7D-5739-DD04-DC39F5ED8459}"/>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27604" b="23958"/>
        <a:stretch/>
      </xdr:blipFill>
      <xdr:spPr bwMode="auto">
        <a:xfrm>
          <a:off x="12696826" y="1524000"/>
          <a:ext cx="2419350" cy="6191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104775</xdr:colOff>
      <xdr:row>9</xdr:row>
      <xdr:rowOff>133350</xdr:rowOff>
    </xdr:from>
    <xdr:to>
      <xdr:col>22</xdr:col>
      <xdr:colOff>638175</xdr:colOff>
      <xdr:row>15</xdr:row>
      <xdr:rowOff>76390</xdr:rowOff>
    </xdr:to>
    <xdr:pic>
      <xdr:nvPicPr>
        <xdr:cNvPr id="7" name="Picture 6">
          <a:extLst>
            <a:ext uri="{FF2B5EF4-FFF2-40B4-BE49-F238E27FC236}">
              <a16:creationId xmlns:a16="http://schemas.microsoft.com/office/drawing/2014/main" id="{32302D9A-C3A0-1E81-6965-D23D823AF84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3058775" y="2695575"/>
          <a:ext cx="1828800" cy="1257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533400</xdr:colOff>
      <xdr:row>18</xdr:row>
      <xdr:rowOff>123826</xdr:rowOff>
    </xdr:from>
    <xdr:to>
      <xdr:col>23</xdr:col>
      <xdr:colOff>361950</xdr:colOff>
      <xdr:row>26</xdr:row>
      <xdr:rowOff>94596</xdr:rowOff>
    </xdr:to>
    <xdr:pic>
      <xdr:nvPicPr>
        <xdr:cNvPr id="8" name="Picture 7" descr="Metro-Goldwyn-Mayer - Wikipedia">
          <a:extLst>
            <a:ext uri="{FF2B5EF4-FFF2-40B4-BE49-F238E27FC236}">
              <a16:creationId xmlns:a16="http://schemas.microsoft.com/office/drawing/2014/main" id="{E2AA6F51-2AA3-209E-1F31-062E125EAAD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39700" y="4695826"/>
          <a:ext cx="2419350" cy="1418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UMAMI/Templates/COMPANY/FINALCA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aulbumchanahn/Desktop/HULT/HULT%20Professor%20PG/PG%202023%20Spring_Investment%20/2023S_MFIN5744_Investments_Class%20Exercise_Session%205.%20Equity%20Valuation%20&amp;%20Investment_Q.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Paulahn/Desktop/Accounting%20TA/Performance%20Management/C:/Users/John/Accounting%20HULT%20My%20Files/accounting%20hult%20team%20files/Managerial%20Accounting/Chapter%202/C-V-P%20Graph%20for%20Clas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nsetivities"/>
      <sheetName val="Model"/>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CFF vs. FCF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 Case"/>
    </sheetNames>
    <sheetDataSet>
      <sheetData sheetId="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statista.com/statistics/375195/gdp-growth-forecast-u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3" Type="http://schemas.openxmlformats.org/officeDocument/2006/relationships/hyperlink" Target="https://pages.stern.nyu.edu/~adamodar/" TargetMode="External"/><Relationship Id="rId2" Type="http://schemas.openxmlformats.org/officeDocument/2006/relationships/hyperlink" Target="https://pages.stern.nyu.edu/~adamodar/" TargetMode="External"/><Relationship Id="rId1" Type="http://schemas.openxmlformats.org/officeDocument/2006/relationships/hyperlink" Target="https://pages.stern.nyu.edu/~adamodar/"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1782-985A-4F6E-8405-30EA8D9C5EDB}">
  <dimension ref="A1:B1"/>
  <sheetViews>
    <sheetView workbookViewId="0"/>
  </sheetViews>
  <sheetFormatPr defaultRowHeight="14.25" x14ac:dyDescent="0.45"/>
  <sheetData>
    <row r="1" spans="1:2" x14ac:dyDescent="0.45">
      <c r="B1" t="s">
        <v>16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FC63-D55E-4ECC-80D0-0192CE54D736}">
  <dimension ref="C39:C41"/>
  <sheetViews>
    <sheetView showGridLines="0" tabSelected="1" zoomScale="56" workbookViewId="0">
      <selection activeCell="F49" sqref="F49"/>
    </sheetView>
  </sheetViews>
  <sheetFormatPr defaultRowHeight="14.25" x14ac:dyDescent="0.45"/>
  <sheetData>
    <row r="39" spans="3:3" ht="25.9" x14ac:dyDescent="0.8">
      <c r="C39" s="611" t="s">
        <v>724</v>
      </c>
    </row>
    <row r="40" spans="3:3" ht="25.9" x14ac:dyDescent="0.8">
      <c r="C40" s="611" t="s">
        <v>725</v>
      </c>
    </row>
    <row r="41" spans="3:3" ht="25.9" x14ac:dyDescent="0.8">
      <c r="C41" s="611" t="s">
        <v>726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0A13-6E54-43F1-AC63-8C2F549053A2}">
  <dimension ref="A2:S19"/>
  <sheetViews>
    <sheetView showGridLines="0" workbookViewId="0">
      <selection activeCell="X37" sqref="X37"/>
    </sheetView>
  </sheetViews>
  <sheetFormatPr defaultColWidth="9.59765625" defaultRowHeight="14.25" x14ac:dyDescent="0.45"/>
  <cols>
    <col min="1" max="1" width="3.59765625" style="268" customWidth="1"/>
    <col min="2" max="2" width="31.265625" style="268" bestFit="1" customWidth="1"/>
    <col min="3" max="7" width="8.19921875" style="268" bestFit="1" customWidth="1"/>
    <col min="8" max="8" width="0.73046875" customWidth="1"/>
    <col min="9" max="13" width="8.19921875" style="268" bestFit="1" customWidth="1"/>
    <col min="14" max="14" width="9.59765625" style="268"/>
    <col min="15" max="15" width="10.46484375" style="268" bestFit="1" customWidth="1"/>
    <col min="16" max="16" width="12" style="268" bestFit="1" customWidth="1"/>
    <col min="17" max="18" width="9.59765625" style="268"/>
    <col min="19" max="19" width="10.33203125" style="268" bestFit="1" customWidth="1"/>
    <col min="20" max="16384" width="9.59765625" style="268"/>
  </cols>
  <sheetData>
    <row r="2" spans="1:19" s="275" customFormat="1" ht="15" customHeight="1" x14ac:dyDescent="0.45">
      <c r="B2" s="277" t="s">
        <v>539</v>
      </c>
      <c r="H2"/>
    </row>
    <row r="3" spans="1:19" ht="15" customHeight="1" x14ac:dyDescent="0.45"/>
    <row r="4" spans="1:19" ht="15" customHeight="1" x14ac:dyDescent="0.45">
      <c r="B4" s="278" t="s">
        <v>541</v>
      </c>
      <c r="C4" s="278"/>
      <c r="D4" s="278"/>
      <c r="E4" s="278"/>
      <c r="F4" s="278"/>
      <c r="G4" s="278"/>
      <c r="H4" s="282"/>
      <c r="I4" s="278"/>
      <c r="J4" s="278"/>
      <c r="K4" s="278"/>
      <c r="L4" s="278"/>
      <c r="M4" s="278"/>
    </row>
    <row r="5" spans="1:19" ht="15" customHeight="1" x14ac:dyDescent="0.45">
      <c r="C5" s="279" t="s">
        <v>109</v>
      </c>
      <c r="D5" s="280"/>
      <c r="E5" s="280"/>
      <c r="F5" s="280"/>
      <c r="G5" s="280"/>
      <c r="I5" s="279" t="s">
        <v>540</v>
      </c>
      <c r="J5" s="280"/>
      <c r="K5" s="280"/>
      <c r="L5" s="280"/>
      <c r="M5" s="280"/>
    </row>
    <row r="6" spans="1:19" ht="15" customHeight="1" x14ac:dyDescent="0.45">
      <c r="A6" s="268" t="s">
        <v>9</v>
      </c>
      <c r="B6" s="264" t="s">
        <v>543</v>
      </c>
      <c r="C6" s="265">
        <v>2018</v>
      </c>
      <c r="D6" s="265">
        <f t="shared" ref="D6:M6" si="0">C6+1</f>
        <v>2019</v>
      </c>
      <c r="E6" s="265">
        <f t="shared" si="0"/>
        <v>2020</v>
      </c>
      <c r="F6" s="265">
        <f t="shared" si="0"/>
        <v>2021</v>
      </c>
      <c r="G6" s="265">
        <f t="shared" si="0"/>
        <v>2022</v>
      </c>
      <c r="I6" s="266">
        <f>G6+1</f>
        <v>2023</v>
      </c>
      <c r="J6" s="266">
        <f t="shared" si="0"/>
        <v>2024</v>
      </c>
      <c r="K6" s="266">
        <f t="shared" si="0"/>
        <v>2025</v>
      </c>
      <c r="L6" s="266">
        <f t="shared" si="0"/>
        <v>2026</v>
      </c>
      <c r="M6" s="266">
        <f t="shared" si="0"/>
        <v>2027</v>
      </c>
    </row>
    <row r="7" spans="1:19" s="267" customFormat="1" ht="15" customHeight="1" x14ac:dyDescent="0.45">
      <c r="B7" s="268" t="s">
        <v>542</v>
      </c>
      <c r="C7" s="269">
        <f>AMZN_IS!C13</f>
        <v>232887</v>
      </c>
      <c r="D7" s="269">
        <f>AMZN_IS!D13</f>
        <v>280522</v>
      </c>
      <c r="E7" s="269">
        <f>AMZN_IS!E13</f>
        <v>386064</v>
      </c>
      <c r="F7" s="269">
        <f>AMZN_IS!F13</f>
        <v>469822</v>
      </c>
      <c r="G7" s="269">
        <f>AMZN_IS!G13</f>
        <v>513983</v>
      </c>
      <c r="H7"/>
      <c r="I7" s="269">
        <f>AMZN_IS!H13</f>
        <v>559640.99699999997</v>
      </c>
      <c r="J7" s="269">
        <f>AMZN_IS!I13</f>
        <v>622029.49790804414</v>
      </c>
      <c r="K7" s="269">
        <f>AMZN_IS!J13</f>
        <v>689957.22583864792</v>
      </c>
      <c r="L7" s="269">
        <f>AMZN_IS!K13</f>
        <v>763394.09155672102</v>
      </c>
      <c r="M7" s="269">
        <f>AMZN_IS!L13</f>
        <v>842173.59956358478</v>
      </c>
      <c r="R7" s="270"/>
      <c r="S7" s="271"/>
    </row>
    <row r="8" spans="1:19" s="267" customFormat="1" ht="15" customHeight="1" x14ac:dyDescent="0.45">
      <c r="B8" s="284" t="s">
        <v>544</v>
      </c>
      <c r="C8" s="285"/>
      <c r="D8" s="295">
        <f>D7/C7-1</f>
        <v>0.20454125820676983</v>
      </c>
      <c r="E8" s="295">
        <f t="shared" ref="E8:G8" si="1">E7/D7-1</f>
        <v>0.37623430604373276</v>
      </c>
      <c r="F8" s="295">
        <f t="shared" si="1"/>
        <v>0.21695366571345676</v>
      </c>
      <c r="G8" s="295">
        <f t="shared" si="1"/>
        <v>9.399517263985091E-2</v>
      </c>
      <c r="H8"/>
      <c r="I8" s="295">
        <f>I7/G7-1</f>
        <v>8.8831725952025709E-2</v>
      </c>
      <c r="J8" s="295">
        <f>J7/I7-1</f>
        <v>0.11147950425805586</v>
      </c>
      <c r="K8" s="295">
        <f t="shared" ref="K8:M8" si="2">K7/J7-1</f>
        <v>0.10920338691179832</v>
      </c>
      <c r="L8" s="295">
        <f t="shared" si="2"/>
        <v>0.10643683835445028</v>
      </c>
      <c r="M8" s="295">
        <f t="shared" si="2"/>
        <v>0.10319638163064093</v>
      </c>
      <c r="R8" s="270"/>
    </row>
    <row r="9" spans="1:19" s="267" customFormat="1" ht="15" customHeight="1" x14ac:dyDescent="0.45">
      <c r="B9" s="268" t="s">
        <v>545</v>
      </c>
      <c r="C9" s="269">
        <f>AMZN_IS!C31</f>
        <v>12420</v>
      </c>
      <c r="D9" s="269">
        <f>AMZN_IS!D31</f>
        <v>14540</v>
      </c>
      <c r="E9" s="269">
        <f>AMZN_IS!E31</f>
        <v>22899</v>
      </c>
      <c r="F9" s="269">
        <f>AMZN_IS!F31</f>
        <v>24879</v>
      </c>
      <c r="G9" s="269">
        <f>AMZN_IS!G31</f>
        <v>12248</v>
      </c>
      <c r="H9"/>
      <c r="I9" s="269">
        <f>AMZN_IS!H31</f>
        <v>26814.274499845196</v>
      </c>
      <c r="J9" s="269">
        <f>AMZN_IS!I31</f>
        <v>36597.934125348344</v>
      </c>
      <c r="K9" s="269">
        <f>AMZN_IS!J31</f>
        <v>41782.122475098819</v>
      </c>
      <c r="L9" s="269">
        <f>AMZN_IS!K31</f>
        <v>47543.250675358577</v>
      </c>
      <c r="M9" s="269">
        <f>AMZN_IS!L31</f>
        <v>53899.110372069408</v>
      </c>
      <c r="R9" s="270"/>
      <c r="S9" s="271"/>
    </row>
    <row r="10" spans="1:19" s="267" customFormat="1" ht="15" customHeight="1" x14ac:dyDescent="0.45">
      <c r="B10" s="284" t="s">
        <v>557</v>
      </c>
      <c r="C10" s="295">
        <f>C9/C$7</f>
        <v>5.3330585219441187E-2</v>
      </c>
      <c r="D10" s="295">
        <f t="shared" ref="D10:G10" si="3">D9/D$7</f>
        <v>5.1831941879781268E-2</v>
      </c>
      <c r="E10" s="295">
        <f t="shared" si="3"/>
        <v>5.9313999751336569E-2</v>
      </c>
      <c r="F10" s="295">
        <f t="shared" si="3"/>
        <v>5.2954097509269465E-2</v>
      </c>
      <c r="G10" s="295">
        <f t="shared" si="3"/>
        <v>2.3829581912242232E-2</v>
      </c>
      <c r="H10"/>
      <c r="I10" s="295">
        <f t="shared" ref="I10" si="4">I9/I$7</f>
        <v>4.7913349171317406E-2</v>
      </c>
      <c r="J10" s="295">
        <f t="shared" ref="J10" si="5">J9/J$7</f>
        <v>5.8836332116774775E-2</v>
      </c>
      <c r="K10" s="295">
        <f t="shared" ref="K10" si="6">K9/K$7</f>
        <v>6.0557554744516733E-2</v>
      </c>
      <c r="L10" s="295">
        <f t="shared" ref="L10" si="7">L9/L$7</f>
        <v>6.2278777372258537E-2</v>
      </c>
      <c r="M10" s="295">
        <f t="shared" ref="M10" si="8">M9/M$7</f>
        <v>6.3999999999999974E-2</v>
      </c>
      <c r="R10" s="270"/>
    </row>
    <row r="11" spans="1:19" s="267" customFormat="1" ht="15" customHeight="1" x14ac:dyDescent="0.45">
      <c r="B11" s="268" t="s">
        <v>1</v>
      </c>
      <c r="C11" s="269">
        <f>AMZN_IS!C27</f>
        <v>27761</v>
      </c>
      <c r="D11" s="269">
        <f>AMZN_IS!D27</f>
        <v>36329</v>
      </c>
      <c r="E11" s="269">
        <f>AMZN_IS!E27</f>
        <v>48150</v>
      </c>
      <c r="F11" s="269">
        <f>AMZN_IS!F27</f>
        <v>59175</v>
      </c>
      <c r="G11" s="269">
        <f>AMZN_IS!G27</f>
        <v>53709</v>
      </c>
      <c r="H11"/>
      <c r="I11" s="269">
        <f>AMZN_IS!H27</f>
        <v>73152.549051445181</v>
      </c>
      <c r="J11" s="269">
        <f>AMZN_IS!I27</f>
        <v>87565.476110188698</v>
      </c>
      <c r="K11" s="269">
        <f>AMZN_IS!J27</f>
        <v>97565.164184153517</v>
      </c>
      <c r="L11" s="269">
        <f>AMZN_IS!K27</f>
        <v>108261.70823255129</v>
      </c>
      <c r="M11" s="269">
        <f>AMZN_IS!L27</f>
        <v>119588.65113802903</v>
      </c>
      <c r="R11" s="270"/>
      <c r="S11" s="271"/>
    </row>
    <row r="12" spans="1:19" s="267" customFormat="1" ht="15" customHeight="1" x14ac:dyDescent="0.45">
      <c r="B12" s="284" t="s">
        <v>546</v>
      </c>
      <c r="C12" s="295">
        <f>C11/C$7</f>
        <v>0.11920373399975095</v>
      </c>
      <c r="D12" s="295">
        <f t="shared" ref="D12" si="9">D11/D$7</f>
        <v>0.1295049942606997</v>
      </c>
      <c r="E12" s="295">
        <f t="shared" ref="E12" si="10">E11/E$7</f>
        <v>0.12472025363670272</v>
      </c>
      <c r="F12" s="295">
        <f t="shared" ref="F12" si="11">F11/F$7</f>
        <v>0.1259519562728012</v>
      </c>
      <c r="G12" s="295">
        <f t="shared" ref="G12" si="12">G11/G$7</f>
        <v>0.10449567398143518</v>
      </c>
      <c r="H12"/>
      <c r="I12" s="295">
        <f t="shared" ref="I12" si="13">I11/I$7</f>
        <v>0.13071334917131738</v>
      </c>
      <c r="J12" s="295">
        <f t="shared" ref="J12" si="14">J11/J$7</f>
        <v>0.14077383211677474</v>
      </c>
      <c r="K12" s="295">
        <f t="shared" ref="K12" si="15">K11/K$7</f>
        <v>0.14140755474451674</v>
      </c>
      <c r="L12" s="295">
        <f t="shared" ref="L12" si="16">L11/L$7</f>
        <v>0.14181627737225855</v>
      </c>
      <c r="M12" s="295">
        <f t="shared" ref="M12" si="17">M11/M$7</f>
        <v>0.14199999999999999</v>
      </c>
      <c r="R12" s="270"/>
    </row>
    <row r="13" spans="1:19" s="267" customFormat="1" ht="15" customHeight="1" x14ac:dyDescent="0.45">
      <c r="B13" s="268" t="s">
        <v>547</v>
      </c>
      <c r="C13" s="269"/>
      <c r="D13" s="269"/>
      <c r="E13" s="288">
        <f>AMZN_IS!E46</f>
        <v>2.0916846440478527</v>
      </c>
      <c r="F13" s="288">
        <f>AMZN_IS!F46</f>
        <v>3.2404817404817403</v>
      </c>
      <c r="G13" s="288">
        <f>AMZN_IS!G46</f>
        <v>-0.2671508489547551</v>
      </c>
      <c r="H13" s="298"/>
      <c r="I13" s="288">
        <f ca="1">AMZN_IS!H46</f>
        <v>0.6476918739500368</v>
      </c>
      <c r="J13" s="288">
        <f ca="1">AMZN_IS!I46</f>
        <v>1.1969791893240385</v>
      </c>
      <c r="K13" s="288">
        <f ca="1">AMZN_IS!J46</f>
        <v>1.3734086984060518</v>
      </c>
      <c r="L13" s="288">
        <f ca="1">AMZN_IS!K46</f>
        <v>1.578591556352068</v>
      </c>
      <c r="M13" s="288">
        <f ca="1">AMZN_IS!L46</f>
        <v>1.8146504739450686</v>
      </c>
      <c r="R13" s="270"/>
      <c r="S13" s="271"/>
    </row>
    <row r="14" spans="1:19" s="267" customFormat="1" ht="15" customHeight="1" x14ac:dyDescent="0.45">
      <c r="B14" s="268" t="s">
        <v>548</v>
      </c>
      <c r="C14" s="269"/>
      <c r="D14" s="269"/>
      <c r="E14" s="288">
        <f>'Valuation Summary'!F34</f>
        <v>50.413909333833388</v>
      </c>
      <c r="F14" s="288">
        <f>'Valuation Summary'!G34</f>
        <v>32.541457858769931</v>
      </c>
      <c r="G14" s="288">
        <f>'Valuation Summary'!H34</f>
        <v>-394.72081190301253</v>
      </c>
      <c r="H14" s="298"/>
      <c r="I14" s="288">
        <f ca="1">'Valuation Summary'!J34</f>
        <v>162.80889762735305</v>
      </c>
      <c r="J14" s="288">
        <f ca="1">'Valuation Summary'!K34</f>
        <v>88.096769718736738</v>
      </c>
      <c r="K14" s="288">
        <f ca="1">'Valuation Summary'!L34</f>
        <v>76.779767102380362</v>
      </c>
      <c r="L14" s="288">
        <f ca="1">'Valuation Summary'!M34</f>
        <v>66.800053234594799</v>
      </c>
      <c r="M14" s="288">
        <f ca="1">'Valuation Summary'!N34</f>
        <v>58.110364234910001</v>
      </c>
      <c r="R14" s="270"/>
      <c r="S14" s="271"/>
    </row>
    <row r="15" spans="1:19" s="267" customFormat="1" ht="15" customHeight="1" x14ac:dyDescent="0.45">
      <c r="B15" s="284" t="s">
        <v>549</v>
      </c>
      <c r="C15" s="285"/>
      <c r="D15" s="285"/>
      <c r="E15" s="297">
        <f>'Valuation Summary'!F35</f>
        <v>2.7854943739898048</v>
      </c>
      <c r="F15" s="297">
        <f>'Valuation Summary'!G35</f>
        <v>2.3109032782628316</v>
      </c>
      <c r="G15" s="297">
        <f>'Valuation Summary'!H35</f>
        <v>2.0903999743182169</v>
      </c>
      <c r="H15" s="298"/>
      <c r="I15" s="297">
        <f>'Valuation Summary'!J35</f>
        <v>1.9496269141268792</v>
      </c>
      <c r="J15" s="297">
        <f>'Valuation Summary'!K35</f>
        <v>1.7540826498895365</v>
      </c>
      <c r="K15" s="297">
        <f>'Valuation Summary'!L35</f>
        <v>1.5813895545100944</v>
      </c>
      <c r="L15" s="297">
        <f>'Valuation Summary'!M35</f>
        <v>1.4292632888670069</v>
      </c>
      <c r="M15" s="297">
        <f>'Valuation Summary'!N35</f>
        <v>1.295565606147479</v>
      </c>
      <c r="R15" s="270"/>
    </row>
    <row r="16" spans="1:19" s="267" customFormat="1" ht="15" customHeight="1" x14ac:dyDescent="0.45">
      <c r="B16" s="268" t="s">
        <v>60</v>
      </c>
      <c r="C16" s="288">
        <f>'Valuation Summary'!D38</f>
        <v>39.061456719858796</v>
      </c>
      <c r="D16" s="288">
        <f>'Valuation Summary'!E38</f>
        <v>29.849021442924389</v>
      </c>
      <c r="E16" s="288">
        <f>'Valuation Summary'!F38</f>
        <v>22.520978193146419</v>
      </c>
      <c r="F16" s="288">
        <f>'Valuation Summary'!G38</f>
        <v>18.325054499366288</v>
      </c>
      <c r="G16" s="288">
        <f>'Valuation Summary'!H38</f>
        <v>20.190007261352847</v>
      </c>
      <c r="H16"/>
      <c r="I16" s="288">
        <f>'Valuation Summary'!J38</f>
        <v>14.823613313015198</v>
      </c>
      <c r="J16" s="288">
        <f>'Valuation Summary'!K38</f>
        <v>12.383705864117676</v>
      </c>
      <c r="K16" s="288">
        <f>'Valuation Summary'!L38</f>
        <v>11.114470098704814</v>
      </c>
      <c r="L16" s="288">
        <f>'Valuation Summary'!M38</f>
        <v>10.016330960441612</v>
      </c>
      <c r="M16" s="288">
        <f>'Valuation Summary'!N38</f>
        <v>9.0676254785113723</v>
      </c>
      <c r="R16" s="270"/>
      <c r="S16" s="271"/>
    </row>
    <row r="17" spans="2:19" s="267" customFormat="1" ht="15" customHeight="1" x14ac:dyDescent="0.45">
      <c r="B17" s="268" t="s">
        <v>550</v>
      </c>
      <c r="C17" s="293"/>
      <c r="D17" s="293"/>
      <c r="E17" s="294">
        <f>'Valuation Summary'!F40</f>
        <v>2.4105917624770649E-2</v>
      </c>
      <c r="F17" s="294">
        <f>'Valuation Summary'!G40</f>
        <v>-1.3563434616066194E-2</v>
      </c>
      <c r="G17" s="294">
        <f>'Valuation Summary'!H40</f>
        <v>-1.5722754589747374E-2</v>
      </c>
      <c r="H17" s="157"/>
      <c r="I17" s="294">
        <f ca="1">'Valuation Summary'!J40</f>
        <v>1.8304255558970531E-2</v>
      </c>
      <c r="J17" s="294">
        <f ca="1">'Valuation Summary'!K40</f>
        <v>2.0868425107219882E-2</v>
      </c>
      <c r="K17" s="294">
        <f ca="1">'Valuation Summary'!L40</f>
        <v>2.4338356473668058E-2</v>
      </c>
      <c r="L17" s="294">
        <f ca="1">'Valuation Summary'!M40</f>
        <v>2.7504545194092827E-2</v>
      </c>
      <c r="M17" s="294">
        <f ca="1">'Valuation Summary'!N40</f>
        <v>3.0858607099471594E-2</v>
      </c>
      <c r="R17" s="270"/>
      <c r="S17" s="271"/>
    </row>
    <row r="18" spans="2:19" s="267" customFormat="1" ht="15" customHeight="1" x14ac:dyDescent="0.45">
      <c r="B18" s="275" t="s">
        <v>552</v>
      </c>
      <c r="C18" s="306">
        <f>'Financials Summary'!D62/'Financials Summary'!D28</f>
        <v>1.1067324664097116</v>
      </c>
      <c r="D18" s="306">
        <f>'Financials Summary'!E62/'Financials Summary'!E28</f>
        <v>1.0601723141292081</v>
      </c>
      <c r="E18" s="306">
        <f>'Financials Summary'!F62/'Financials Summary'!F28</f>
        <v>1.3720456905503635</v>
      </c>
      <c r="F18" s="306">
        <f>'Financials Summary'!G62/'Financials Summary'!G28</f>
        <v>0.78288128432615123</v>
      </c>
      <c r="G18" s="306">
        <f>'Financials Summary'!H62/'Financials Summary'!H28</f>
        <v>0.87046863654136175</v>
      </c>
      <c r="H18"/>
      <c r="I18" s="306">
        <f ca="1">'Financials Summary'!J62/'Financials Summary'!J28</f>
        <v>1.191052560949819</v>
      </c>
      <c r="J18" s="306">
        <f ca="1">'Financials Summary'!K62/'Financials Summary'!K28</f>
        <v>1.0769397986220495</v>
      </c>
      <c r="K18" s="306">
        <f ca="1">'Financials Summary'!L62/'Financials Summary'!L28</f>
        <v>1.0500741842943127</v>
      </c>
      <c r="L18" s="306">
        <f ca="1">'Financials Summary'!M62/'Financials Summary'!M28</f>
        <v>1.0175928983391145</v>
      </c>
      <c r="M18" s="306">
        <f ca="1">'Financials Summary'!N62/'Financials Summary'!N28</f>
        <v>0.98577007050488619</v>
      </c>
      <c r="R18" s="270"/>
    </row>
    <row r="19" spans="2:19" ht="15" customHeight="1" x14ac:dyDescent="0.45"/>
  </sheetData>
  <pageMargins left="0.7" right="0.7" top="0.75" bottom="0.75" header="0.3" footer="0.3"/>
  <ignoredErrors>
    <ignoredError sqref="C11:M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9DDF3-1B44-4BE0-9749-3A356B0DB59D}">
  <sheetPr>
    <tabColor rgb="FFFF0000"/>
    <pageSetUpPr fitToPage="1"/>
  </sheetPr>
  <dimension ref="B2:T124"/>
  <sheetViews>
    <sheetView showGridLines="0" zoomScale="88" workbookViewId="0">
      <selection activeCell="L43" sqref="L43:O61"/>
    </sheetView>
  </sheetViews>
  <sheetFormatPr defaultColWidth="11.53125" defaultRowHeight="15" x14ac:dyDescent="0.55000000000000004"/>
  <cols>
    <col min="1" max="1" width="2.1328125" style="174" customWidth="1"/>
    <col min="2" max="2" width="42.86328125" style="174" customWidth="1"/>
    <col min="3" max="4" width="13.6640625" style="174" customWidth="1"/>
    <col min="5" max="5" width="13.6640625" style="233" customWidth="1"/>
    <col min="6" max="9" width="13.6640625" style="174" customWidth="1"/>
    <col min="10" max="10" width="3.3984375" style="174" customWidth="1"/>
    <col min="11" max="11" width="3.19921875" style="174" customWidth="1"/>
    <col min="12" max="12" width="54.9296875" style="174" customWidth="1"/>
    <col min="13" max="13" width="13.6640625" style="174" customWidth="1"/>
    <col min="14" max="14" width="13.6640625" style="175" customWidth="1"/>
    <col min="15" max="18" width="13.6640625" style="174" customWidth="1"/>
    <col min="19" max="19" width="6.06640625" style="174" customWidth="1"/>
    <col min="20" max="16384" width="11.53125" style="174"/>
  </cols>
  <sheetData>
    <row r="2" spans="2:18" ht="30" customHeight="1" x14ac:dyDescent="0.45">
      <c r="B2" s="173" t="s">
        <v>395</v>
      </c>
      <c r="E2" s="174"/>
      <c r="N2" s="174"/>
    </row>
    <row r="3" spans="2:18" x14ac:dyDescent="0.45">
      <c r="E3" s="174"/>
      <c r="G3" s="173"/>
    </row>
    <row r="4" spans="2:18" x14ac:dyDescent="0.45">
      <c r="B4" s="176" t="s">
        <v>328</v>
      </c>
      <c r="C4" s="177"/>
      <c r="D4" s="177"/>
      <c r="E4" s="177"/>
      <c r="F4" s="177"/>
      <c r="G4" s="177"/>
      <c r="H4" s="177"/>
      <c r="I4" s="177"/>
      <c r="L4" s="176" t="s">
        <v>396</v>
      </c>
      <c r="M4" s="177"/>
      <c r="N4" s="177"/>
      <c r="O4" s="177"/>
      <c r="P4" s="177"/>
      <c r="Q4" s="177"/>
      <c r="R4" s="177"/>
    </row>
    <row r="5" spans="2:18" x14ac:dyDescent="0.45">
      <c r="B5" s="173"/>
      <c r="E5" s="174"/>
      <c r="L5" s="173"/>
      <c r="N5" s="174"/>
    </row>
    <row r="6" spans="2:18" x14ac:dyDescent="0.45">
      <c r="B6" s="173" t="s">
        <v>330</v>
      </c>
      <c r="E6" s="174"/>
      <c r="L6" s="175"/>
      <c r="N6" s="174"/>
    </row>
    <row r="7" spans="2:18" x14ac:dyDescent="0.45">
      <c r="B7" s="176" t="s">
        <v>331</v>
      </c>
      <c r="C7" s="178" t="s">
        <v>267</v>
      </c>
      <c r="D7" s="178" t="s">
        <v>332</v>
      </c>
      <c r="E7" s="176">
        <v>2023</v>
      </c>
      <c r="F7" s="176">
        <v>2024</v>
      </c>
      <c r="G7" s="176">
        <v>2025</v>
      </c>
      <c r="H7" s="176">
        <v>2026</v>
      </c>
      <c r="I7" s="176">
        <v>2027</v>
      </c>
      <c r="L7" s="176" t="s">
        <v>334</v>
      </c>
      <c r="M7" s="178" t="s">
        <v>332</v>
      </c>
      <c r="N7" s="176">
        <v>2023</v>
      </c>
      <c r="O7" s="176">
        <v>2024</v>
      </c>
      <c r="P7" s="176">
        <v>2025</v>
      </c>
      <c r="Q7" s="176">
        <v>2026</v>
      </c>
      <c r="R7" s="176">
        <v>2027</v>
      </c>
    </row>
    <row r="8" spans="2:18" x14ac:dyDescent="0.45">
      <c r="B8" s="174" t="s">
        <v>280</v>
      </c>
      <c r="C8" s="180">
        <f t="shared" ref="C8:C20" si="0">D8/$D$8</f>
        <v>1</v>
      </c>
      <c r="D8" s="181">
        <v>394323</v>
      </c>
      <c r="E8" s="181">
        <f>D8*(1+N8)</f>
        <v>433755.30000000005</v>
      </c>
      <c r="F8" s="181">
        <f>E8*(1+O8)</f>
        <v>498818.59500000003</v>
      </c>
      <c r="G8" s="181">
        <f>F8*(1+P8)</f>
        <v>598582.31400000001</v>
      </c>
      <c r="H8" s="181">
        <f>G8*(1+Q8)</f>
        <v>688369.66109999991</v>
      </c>
      <c r="I8" s="181">
        <f>H8*(1+R8)</f>
        <v>722788.14415499999</v>
      </c>
      <c r="L8" s="174" t="s">
        <v>335</v>
      </c>
      <c r="N8" s="183">
        <v>0.1</v>
      </c>
      <c r="O8" s="183">
        <v>0.15</v>
      </c>
      <c r="P8" s="183">
        <v>0.2</v>
      </c>
      <c r="Q8" s="183">
        <v>0.15</v>
      </c>
      <c r="R8" s="183">
        <v>0.05</v>
      </c>
    </row>
    <row r="9" spans="2:18" ht="16.149999999999999" x14ac:dyDescent="0.45">
      <c r="B9" s="184" t="s">
        <v>336</v>
      </c>
      <c r="C9" s="180">
        <f t="shared" si="0"/>
        <v>0.56691088270275891</v>
      </c>
      <c r="D9" s="185">
        <v>223546</v>
      </c>
      <c r="E9" s="186">
        <f>N9*E8</f>
        <v>260253.18000000002</v>
      </c>
      <c r="F9" s="186">
        <f>O9*F8</f>
        <v>309267.52890000003</v>
      </c>
      <c r="G9" s="186">
        <f>P9*G8</f>
        <v>383092.68096000003</v>
      </c>
      <c r="H9" s="186">
        <f>Q9*H8</f>
        <v>433672.88649299997</v>
      </c>
      <c r="I9" s="186">
        <f>R9*I8</f>
        <v>448128.64937609999</v>
      </c>
      <c r="L9" s="174" t="s">
        <v>337</v>
      </c>
      <c r="M9" s="183">
        <f>D9/D8</f>
        <v>0.56691088270275891</v>
      </c>
      <c r="N9" s="183">
        <v>0.6</v>
      </c>
      <c r="O9" s="183">
        <v>0.62</v>
      </c>
      <c r="P9" s="183">
        <v>0.64</v>
      </c>
      <c r="Q9" s="183">
        <v>0.63</v>
      </c>
      <c r="R9" s="183">
        <v>0.62</v>
      </c>
    </row>
    <row r="10" spans="2:18" x14ac:dyDescent="0.45">
      <c r="B10" s="174" t="s">
        <v>281</v>
      </c>
      <c r="C10" s="180">
        <f t="shared" si="0"/>
        <v>0.43308911729724109</v>
      </c>
      <c r="D10" s="181">
        <f>D8-D9</f>
        <v>170777</v>
      </c>
      <c r="E10" s="181">
        <f t="shared" ref="E10:I10" si="1">E8-E9</f>
        <v>173502.12000000002</v>
      </c>
      <c r="F10" s="181">
        <f t="shared" si="1"/>
        <v>189551.0661</v>
      </c>
      <c r="G10" s="181">
        <f t="shared" si="1"/>
        <v>215489.63303999999</v>
      </c>
      <c r="H10" s="181">
        <f t="shared" si="1"/>
        <v>254696.77460699994</v>
      </c>
      <c r="I10" s="181">
        <f t="shared" si="1"/>
        <v>274659.4947789</v>
      </c>
      <c r="L10" s="174" t="s">
        <v>338</v>
      </c>
      <c r="M10" s="183">
        <f>D11/D8</f>
        <v>6.6572327761758768E-2</v>
      </c>
      <c r="N10" s="183">
        <v>7.0000000000000007E-2</v>
      </c>
      <c r="O10" s="183">
        <v>0.08</v>
      </c>
      <c r="P10" s="183">
        <v>0.09</v>
      </c>
      <c r="Q10" s="183">
        <v>0.08</v>
      </c>
      <c r="R10" s="183">
        <v>7.0000000000000007E-2</v>
      </c>
    </row>
    <row r="11" spans="2:18" x14ac:dyDescent="0.45">
      <c r="B11" s="174" t="s">
        <v>339</v>
      </c>
      <c r="C11" s="180">
        <f t="shared" si="0"/>
        <v>6.6572327761758768E-2</v>
      </c>
      <c r="D11" s="181">
        <v>26251</v>
      </c>
      <c r="E11" s="181">
        <f>E8*N10</f>
        <v>30362.871000000006</v>
      </c>
      <c r="F11" s="181">
        <f>F8*O10</f>
        <v>39905.4876</v>
      </c>
      <c r="G11" s="181">
        <f>G8*P10</f>
        <v>53872.408259999997</v>
      </c>
      <c r="H11" s="181">
        <f>H8*Q10</f>
        <v>55069.572887999995</v>
      </c>
      <c r="I11" s="181">
        <f>I8*R10</f>
        <v>50595.170090850006</v>
      </c>
      <c r="L11" s="174" t="s">
        <v>340</v>
      </c>
      <c r="M11" s="183">
        <f>D12/D8</f>
        <v>6.3638184939757508E-2</v>
      </c>
      <c r="N11" s="183">
        <v>0.08</v>
      </c>
      <c r="O11" s="183">
        <v>0.09</v>
      </c>
      <c r="P11" s="183">
        <v>0.1</v>
      </c>
      <c r="Q11" s="183">
        <v>0.08</v>
      </c>
      <c r="R11" s="183">
        <v>7.0000000000000007E-2</v>
      </c>
    </row>
    <row r="12" spans="2:18" ht="16.149999999999999" x14ac:dyDescent="0.45">
      <c r="B12" s="184" t="s">
        <v>341</v>
      </c>
      <c r="C12" s="180">
        <f t="shared" si="0"/>
        <v>6.3638184939757508E-2</v>
      </c>
      <c r="D12" s="185">
        <v>25094</v>
      </c>
      <c r="E12" s="186">
        <f>N11*E8</f>
        <v>34700.424000000006</v>
      </c>
      <c r="F12" s="186">
        <f>O11*F8</f>
        <v>44893.67355</v>
      </c>
      <c r="G12" s="186">
        <f>P11*G8</f>
        <v>59858.231400000004</v>
      </c>
      <c r="H12" s="186">
        <f>Q11*H8</f>
        <v>55069.572887999995</v>
      </c>
      <c r="I12" s="186">
        <f>R11*I8</f>
        <v>50595.170090850006</v>
      </c>
      <c r="L12" s="174" t="s">
        <v>342</v>
      </c>
      <c r="M12" s="188">
        <f>D14/D8</f>
        <v>7.3619849717110088E-3</v>
      </c>
      <c r="N12" s="188">
        <v>0.01</v>
      </c>
      <c r="O12" s="188">
        <v>1.2E-2</v>
      </c>
      <c r="P12" s="188">
        <v>1.4E-2</v>
      </c>
      <c r="Q12" s="188">
        <v>1.2999999999999999E-2</v>
      </c>
      <c r="R12" s="188">
        <v>1.2E-2</v>
      </c>
    </row>
    <row r="13" spans="2:18" x14ac:dyDescent="0.45">
      <c r="B13" s="174" t="s">
        <v>283</v>
      </c>
      <c r="C13" s="180">
        <f t="shared" si="0"/>
        <v>0.3028786045957248</v>
      </c>
      <c r="D13" s="181">
        <f>D10-D11-D12</f>
        <v>119432</v>
      </c>
      <c r="E13" s="181">
        <f>E10-E11-E12</f>
        <v>108438.82500000001</v>
      </c>
      <c r="F13" s="181">
        <f t="shared" ref="F13:I13" si="2">F10-F11-F12</f>
        <v>104751.90495</v>
      </c>
      <c r="G13" s="181">
        <f t="shared" si="2"/>
        <v>101758.99337999999</v>
      </c>
      <c r="H13" s="181">
        <f t="shared" si="2"/>
        <v>144557.62883099995</v>
      </c>
      <c r="I13" s="181">
        <f t="shared" si="2"/>
        <v>173469.15459719999</v>
      </c>
      <c r="L13" s="174" t="s">
        <v>343</v>
      </c>
      <c r="M13" s="188">
        <v>7.0000000000000001E-3</v>
      </c>
      <c r="N13" s="188">
        <v>8.0000000000000002E-3</v>
      </c>
      <c r="O13" s="188">
        <v>8.9999999999999993E-3</v>
      </c>
      <c r="P13" s="188">
        <v>8.0000000000000002E-3</v>
      </c>
      <c r="Q13" s="188">
        <v>7.0000000000000001E-3</v>
      </c>
      <c r="R13" s="188">
        <v>6.0000000000000001E-3</v>
      </c>
    </row>
    <row r="14" spans="2:18" x14ac:dyDescent="0.45">
      <c r="B14" s="174" t="s">
        <v>285</v>
      </c>
      <c r="C14" s="180">
        <f t="shared" si="0"/>
        <v>7.3619849717110088E-3</v>
      </c>
      <c r="D14" s="181">
        <v>2903</v>
      </c>
      <c r="E14" s="181">
        <f>E8*N12</f>
        <v>4337.5530000000008</v>
      </c>
      <c r="F14" s="181">
        <f>F8*O12</f>
        <v>5985.8231400000004</v>
      </c>
      <c r="G14" s="181">
        <f>G8*P12</f>
        <v>8380.1523959999995</v>
      </c>
      <c r="H14" s="181">
        <f>H8*Q12</f>
        <v>8948.8055942999981</v>
      </c>
      <c r="I14" s="181">
        <f>I8*R12</f>
        <v>8673.4577298599997</v>
      </c>
      <c r="L14" s="174" t="s">
        <v>344</v>
      </c>
      <c r="M14" s="188">
        <v>0.22900000000000001</v>
      </c>
      <c r="N14" s="188">
        <v>0.15</v>
      </c>
      <c r="O14" s="188">
        <v>0.1</v>
      </c>
      <c r="P14" s="188">
        <v>0.05</v>
      </c>
      <c r="Q14" s="188">
        <v>0.1</v>
      </c>
      <c r="R14" s="188">
        <v>0.15</v>
      </c>
    </row>
    <row r="15" spans="2:18" ht="16.149999999999999" x14ac:dyDescent="0.45">
      <c r="B15" s="184" t="s">
        <v>345</v>
      </c>
      <c r="C15" s="180">
        <f t="shared" si="0"/>
        <v>6.7076990183174709E-3</v>
      </c>
      <c r="D15" s="185">
        <v>2645</v>
      </c>
      <c r="E15" s="186">
        <f>N13*E8</f>
        <v>3470.0424000000003</v>
      </c>
      <c r="F15" s="186">
        <f>O13*F8</f>
        <v>4489.3673550000003</v>
      </c>
      <c r="G15" s="186">
        <f>P13*G8</f>
        <v>4788.658512</v>
      </c>
      <c r="H15" s="186">
        <f>Q13*H8</f>
        <v>4818.5876276999998</v>
      </c>
      <c r="I15" s="186">
        <f>R13*I8</f>
        <v>4336.7288649299999</v>
      </c>
      <c r="L15" s="174" t="s">
        <v>346</v>
      </c>
      <c r="M15" s="183">
        <f>D38/D8</f>
        <v>0.10680837790339393</v>
      </c>
      <c r="N15" s="183">
        <v>0.12</v>
      </c>
      <c r="O15" s="183">
        <v>0.13</v>
      </c>
      <c r="P15" s="183">
        <v>0.14000000000000001</v>
      </c>
      <c r="Q15" s="183">
        <v>0.15</v>
      </c>
      <c r="R15" s="183">
        <v>0.15</v>
      </c>
    </row>
    <row r="16" spans="2:18" x14ac:dyDescent="0.45">
      <c r="B16" s="174" t="s">
        <v>286</v>
      </c>
      <c r="C16" s="180">
        <f t="shared" si="0"/>
        <v>0.30353289054911836</v>
      </c>
      <c r="D16" s="181">
        <f>D13+D14-D15</f>
        <v>119690</v>
      </c>
      <c r="E16" s="181">
        <f>E13+E14-E15</f>
        <v>109306.33560000001</v>
      </c>
      <c r="F16" s="181">
        <f t="shared" ref="F16:I16" si="3">F13+F14-F15</f>
        <v>106248.36073499999</v>
      </c>
      <c r="G16" s="181">
        <f t="shared" si="3"/>
        <v>105350.487264</v>
      </c>
      <c r="H16" s="181">
        <f t="shared" si="3"/>
        <v>148687.84679759995</v>
      </c>
      <c r="I16" s="181">
        <f t="shared" si="3"/>
        <v>177805.88346213</v>
      </c>
      <c r="L16" s="174" t="s">
        <v>347</v>
      </c>
      <c r="M16" s="183">
        <f>11284/(D38+11284)</f>
        <v>0.21130690436508678</v>
      </c>
      <c r="N16" s="183">
        <f>M16</f>
        <v>0.21130690436508678</v>
      </c>
      <c r="O16" s="183">
        <f>N16</f>
        <v>0.21130690436508678</v>
      </c>
      <c r="P16" s="183">
        <f t="shared" ref="P16:R16" si="4">O16</f>
        <v>0.21130690436508678</v>
      </c>
      <c r="Q16" s="183">
        <f t="shared" si="4"/>
        <v>0.21130690436508678</v>
      </c>
      <c r="R16" s="183">
        <f t="shared" si="4"/>
        <v>0.21130690436508678</v>
      </c>
    </row>
    <row r="17" spans="2:20" ht="16.149999999999999" x14ac:dyDescent="0.45">
      <c r="B17" s="184" t="s">
        <v>348</v>
      </c>
      <c r="C17" s="180">
        <f t="shared" si="0"/>
        <v>4.8944646901144494E-2</v>
      </c>
      <c r="D17" s="185">
        <v>19300</v>
      </c>
      <c r="E17" s="186">
        <f>E16*N17</f>
        <v>14209.823628000002</v>
      </c>
      <c r="F17" s="186">
        <f>F16*O17</f>
        <v>12749.803288199999</v>
      </c>
      <c r="G17" s="186">
        <f>G16*P17</f>
        <v>12642.058471679999</v>
      </c>
      <c r="H17" s="186">
        <f>H16*Q17</f>
        <v>16355.663147735995</v>
      </c>
      <c r="I17" s="186">
        <f>I16*R17</f>
        <v>19558.647180834301</v>
      </c>
      <c r="L17" s="177" t="s">
        <v>349</v>
      </c>
      <c r="M17" s="189">
        <f>D17/D16</f>
        <v>0.16124989556353914</v>
      </c>
      <c r="N17" s="189">
        <v>0.13</v>
      </c>
      <c r="O17" s="189">
        <v>0.12</v>
      </c>
      <c r="P17" s="189">
        <v>0.12</v>
      </c>
      <c r="Q17" s="189">
        <v>0.11</v>
      </c>
      <c r="R17" s="189">
        <v>0.11</v>
      </c>
    </row>
    <row r="18" spans="2:20" ht="19.05" customHeight="1" x14ac:dyDescent="0.45">
      <c r="B18" s="174" t="s">
        <v>288</v>
      </c>
      <c r="C18" s="180">
        <f t="shared" si="0"/>
        <v>0.2530996163044002</v>
      </c>
      <c r="D18" s="181">
        <v>99803</v>
      </c>
      <c r="E18" s="181">
        <f>E16-E17</f>
        <v>95096.511972000008</v>
      </c>
      <c r="F18" s="181">
        <f t="shared" ref="F18:I18" si="5">F16-F17</f>
        <v>93498.557446799998</v>
      </c>
      <c r="G18" s="181">
        <f t="shared" si="5"/>
        <v>92708.428792320003</v>
      </c>
      <c r="H18" s="181">
        <f t="shared" si="5"/>
        <v>132332.18364986396</v>
      </c>
      <c r="I18" s="181">
        <f t="shared" si="5"/>
        <v>158247.23628129571</v>
      </c>
      <c r="L18" s="174" t="s">
        <v>32</v>
      </c>
      <c r="M18" s="181">
        <f>M19/D18</f>
        <v>28.575974670100099</v>
      </c>
      <c r="N18" s="181">
        <f>$M18+1*($R18-$M18)/5</f>
        <v>28.86077973608008</v>
      </c>
      <c r="O18" s="181">
        <f>$M18+2*($R18-$M18)/5</f>
        <v>29.145584802060061</v>
      </c>
      <c r="P18" s="181">
        <f>$M18+3*($R18-$M18)/5</f>
        <v>29.430389868040038</v>
      </c>
      <c r="Q18" s="181">
        <f>$M18+4*($R18-$M18)/5</f>
        <v>29.715194934020019</v>
      </c>
      <c r="R18" s="181">
        <v>30</v>
      </c>
    </row>
    <row r="19" spans="2:20" x14ac:dyDescent="0.45">
      <c r="B19" s="174" t="s">
        <v>350</v>
      </c>
      <c r="C19" s="180">
        <f t="shared" si="0"/>
        <v>3.7514930653296918E-2</v>
      </c>
      <c r="D19" s="181">
        <v>14793</v>
      </c>
      <c r="E19" s="181">
        <f>$C$19*E8</f>
        <v>16272.300000000003</v>
      </c>
      <c r="F19" s="181">
        <f>$C$19*F8</f>
        <v>18713.145</v>
      </c>
      <c r="G19" s="181">
        <f>$C$19*G8</f>
        <v>22455.774000000001</v>
      </c>
      <c r="H19" s="181">
        <f>$C$19*H8</f>
        <v>25824.140099999997</v>
      </c>
      <c r="I19" s="181">
        <f>$C$19*I8</f>
        <v>27115.347105000001</v>
      </c>
      <c r="L19" s="174" t="s">
        <v>351</v>
      </c>
      <c r="M19" s="181">
        <v>2851968</v>
      </c>
      <c r="N19" s="181">
        <f>N18*E18</f>
        <v>2744559.4856933947</v>
      </c>
      <c r="O19" s="181">
        <f>O18*F18</f>
        <v>2725070.1349359937</v>
      </c>
      <c r="P19" s="181">
        <f>P18*G18</f>
        <v>2728445.2034114059</v>
      </c>
      <c r="Q19" s="181">
        <f>Q18*H18</f>
        <v>3932276.6332002445</v>
      </c>
      <c r="R19" s="181">
        <f>R18*I18</f>
        <v>4747417.0884388713</v>
      </c>
    </row>
    <row r="20" spans="2:20" x14ac:dyDescent="0.45">
      <c r="B20" s="174" t="s">
        <v>352</v>
      </c>
      <c r="C20" s="180">
        <f t="shared" si="0"/>
        <v>0.22871098059205272</v>
      </c>
      <c r="D20" s="181">
        <v>90186</v>
      </c>
      <c r="E20" s="181">
        <f>E8*N14</f>
        <v>65063.295000000006</v>
      </c>
      <c r="F20" s="181">
        <f>F8*O14</f>
        <v>49881.859500000006</v>
      </c>
      <c r="G20" s="181">
        <f>G8*P14</f>
        <v>29929.115700000002</v>
      </c>
      <c r="H20" s="181">
        <f>H8*Q14</f>
        <v>68836.966109999994</v>
      </c>
      <c r="I20" s="181">
        <f>I8*R14</f>
        <v>108418.22162324999</v>
      </c>
      <c r="J20" s="173"/>
      <c r="K20" s="173"/>
      <c r="L20" s="174" t="s">
        <v>353</v>
      </c>
      <c r="M20" s="181">
        <f t="shared" ref="M20:R20" si="6">D55</f>
        <v>148101</v>
      </c>
      <c r="N20" s="181">
        <f t="shared" si="6"/>
        <v>162911.1</v>
      </c>
      <c r="O20" s="181">
        <f t="shared" si="6"/>
        <v>187347.76500000001</v>
      </c>
      <c r="P20" s="181">
        <f t="shared" si="6"/>
        <v>224817.318</v>
      </c>
      <c r="Q20" s="181">
        <f t="shared" si="6"/>
        <v>258539.91569999995</v>
      </c>
      <c r="R20" s="181">
        <f t="shared" si="6"/>
        <v>271466.91148499999</v>
      </c>
    </row>
    <row r="21" spans="2:20" x14ac:dyDescent="0.45">
      <c r="D21" s="191"/>
      <c r="E21" s="174"/>
      <c r="L21" s="174" t="s">
        <v>354</v>
      </c>
      <c r="M21" s="192">
        <v>1.2505791312022332</v>
      </c>
      <c r="N21" s="192">
        <v>1.2739162918920433</v>
      </c>
      <c r="O21" s="192">
        <v>1.284647035287259</v>
      </c>
      <c r="P21" s="192">
        <v>1.2991956423887865</v>
      </c>
      <c r="Q21" s="192">
        <v>1.2822438355342369</v>
      </c>
      <c r="R21" s="192">
        <v>1.2730086035543053</v>
      </c>
    </row>
    <row r="22" spans="2:20" x14ac:dyDescent="0.45">
      <c r="B22" s="175"/>
      <c r="E22" s="175"/>
      <c r="L22" s="174" t="s">
        <v>20</v>
      </c>
      <c r="M22" s="193">
        <v>9.3781852216122841E-2</v>
      </c>
      <c r="N22" s="193">
        <v>9.506539605406239E-2</v>
      </c>
      <c r="O22" s="193">
        <v>9.5655586940799259E-2</v>
      </c>
      <c r="P22" s="193">
        <v>9.6455760331383256E-2</v>
      </c>
      <c r="Q22" s="193">
        <v>9.552341095438302E-2</v>
      </c>
      <c r="R22" s="193">
        <v>9.5015473195486783E-2</v>
      </c>
    </row>
    <row r="23" spans="2:20" x14ac:dyDescent="0.45">
      <c r="B23" s="173" t="s">
        <v>355</v>
      </c>
      <c r="E23" s="175"/>
      <c r="L23" s="173" t="s">
        <v>356</v>
      </c>
      <c r="M23" s="194">
        <v>9.1745913377317911E-2</v>
      </c>
      <c r="N23" s="195">
        <v>9.2005471824259305E-2</v>
      </c>
      <c r="O23" s="195">
        <v>9.2134598459184966E-2</v>
      </c>
      <c r="P23" s="195">
        <v>9.2228096654255964E-2</v>
      </c>
      <c r="Q23" s="195">
        <v>9.2183503315631521E-2</v>
      </c>
      <c r="R23" s="195">
        <v>9.2114649243373398E-2</v>
      </c>
    </row>
    <row r="24" spans="2:20" x14ac:dyDescent="0.45">
      <c r="B24" s="196" t="s">
        <v>357</v>
      </c>
      <c r="C24" s="178" t="s">
        <v>267</v>
      </c>
      <c r="D24" s="178" t="s">
        <v>332</v>
      </c>
      <c r="E24" s="176">
        <v>2023</v>
      </c>
      <c r="F24" s="176">
        <v>2024</v>
      </c>
      <c r="G24" s="176">
        <v>2025</v>
      </c>
      <c r="H24" s="176">
        <v>2026</v>
      </c>
      <c r="I24" s="176">
        <v>2027</v>
      </c>
      <c r="L24" s="173"/>
      <c r="N24" s="174"/>
      <c r="P24" s="173"/>
      <c r="Q24" s="235"/>
    </row>
    <row r="25" spans="2:20" x14ac:dyDescent="0.45">
      <c r="B25" s="198" t="s">
        <v>292</v>
      </c>
      <c r="E25" s="174"/>
      <c r="N25" s="174"/>
      <c r="P25" s="173"/>
      <c r="Q25" s="235"/>
      <c r="R25" s="173"/>
    </row>
    <row r="26" spans="2:20" x14ac:dyDescent="0.45">
      <c r="B26" s="198" t="s">
        <v>294</v>
      </c>
      <c r="E26" s="174"/>
      <c r="L26" s="176" t="s">
        <v>397</v>
      </c>
      <c r="M26" s="178" t="s">
        <v>332</v>
      </c>
      <c r="N26" s="176">
        <v>2023</v>
      </c>
      <c r="O26" s="176">
        <v>2024</v>
      </c>
      <c r="P26" s="176">
        <v>2025</v>
      </c>
      <c r="Q26" s="176">
        <v>2026</v>
      </c>
      <c r="R26" s="176">
        <v>2027</v>
      </c>
    </row>
    <row r="27" spans="2:20" x14ac:dyDescent="0.45">
      <c r="B27" s="198" t="s">
        <v>143</v>
      </c>
      <c r="C27" s="199">
        <f>D27/$D$8</f>
        <v>5.9966068426137963E-2</v>
      </c>
      <c r="D27" s="200">
        <v>23646</v>
      </c>
      <c r="E27" s="201">
        <f>$C27*E$8</f>
        <v>26010.600000000002</v>
      </c>
      <c r="F27" s="201">
        <f>$C27*F$8</f>
        <v>29912.190000000002</v>
      </c>
      <c r="G27" s="201">
        <f>$C27*G$8</f>
        <v>35894.627999999997</v>
      </c>
      <c r="H27" s="201">
        <f>$C27*H$8</f>
        <v>41278.822199999995</v>
      </c>
      <c r="I27" s="201">
        <f>$C27*I$8</f>
        <v>43342.763310000002</v>
      </c>
      <c r="L27" s="173" t="s">
        <v>398</v>
      </c>
      <c r="N27" s="174"/>
    </row>
    <row r="28" spans="2:20" x14ac:dyDescent="0.45">
      <c r="B28" s="204" t="s">
        <v>360</v>
      </c>
      <c r="C28" s="199"/>
      <c r="D28" s="200">
        <v>0</v>
      </c>
      <c r="E28" s="205">
        <f>E41-E27-E29-E30-E31-E32-E33-E40</f>
        <v>1860.8809720000718</v>
      </c>
      <c r="F28" s="205">
        <f t="shared" ref="F28:I28" si="7">F41-F27-F29-F30-F31-F32-F33-F40</f>
        <v>10724.092568800086</v>
      </c>
      <c r="G28" s="205">
        <f t="shared" si="7"/>
        <v>27117.533051119943</v>
      </c>
      <c r="H28" s="205">
        <f t="shared" si="7"/>
        <v>40857.192485983833</v>
      </c>
      <c r="I28" s="205">
        <f t="shared" si="7"/>
        <v>56691.715340779861</v>
      </c>
      <c r="L28" s="174" t="s">
        <v>399</v>
      </c>
      <c r="M28" s="181">
        <f>D18</f>
        <v>99803</v>
      </c>
      <c r="N28" s="181">
        <f t="shared" ref="N28:R28" si="8">E18</f>
        <v>95096.511972000008</v>
      </c>
      <c r="O28" s="181">
        <f t="shared" si="8"/>
        <v>93498.557446799998</v>
      </c>
      <c r="P28" s="181">
        <f t="shared" si="8"/>
        <v>92708.428792320003</v>
      </c>
      <c r="Q28" s="181">
        <f t="shared" si="8"/>
        <v>132332.18364986396</v>
      </c>
      <c r="R28" s="181">
        <f t="shared" si="8"/>
        <v>158247.23628129571</v>
      </c>
    </row>
    <row r="29" spans="2:20" x14ac:dyDescent="0.45">
      <c r="B29" s="198" t="s">
        <v>297</v>
      </c>
      <c r="C29" s="199">
        <f>D29/$D$8</f>
        <v>6.2532492398363781E-2</v>
      </c>
      <c r="D29" s="208">
        <v>24658</v>
      </c>
      <c r="E29" s="201">
        <f t="shared" ref="E29:I33" si="9">$C29*E$8</f>
        <v>27123.800000000003</v>
      </c>
      <c r="F29" s="201">
        <f t="shared" si="9"/>
        <v>31192.370000000003</v>
      </c>
      <c r="G29" s="201">
        <f t="shared" si="9"/>
        <v>37430.844000000005</v>
      </c>
      <c r="H29" s="201">
        <f t="shared" si="9"/>
        <v>43045.470599999993</v>
      </c>
      <c r="I29" s="201">
        <f t="shared" si="9"/>
        <v>45197.744129999999</v>
      </c>
      <c r="L29" s="174" t="s">
        <v>400</v>
      </c>
      <c r="M29" s="213"/>
      <c r="N29" s="201">
        <f>N13*E8*(1-N17)</f>
        <v>3018.9368880000002</v>
      </c>
      <c r="O29" s="201">
        <f t="shared" ref="O29:R29" si="10">O13*F8*(1-O17)</f>
        <v>3950.6432724000001</v>
      </c>
      <c r="P29" s="201">
        <f t="shared" si="10"/>
        <v>4214.0194905600001</v>
      </c>
      <c r="Q29" s="201">
        <f t="shared" si="10"/>
        <v>4288.5429886530001</v>
      </c>
      <c r="R29" s="201">
        <f t="shared" si="10"/>
        <v>3859.6886897876998</v>
      </c>
      <c r="T29" s="174" t="s">
        <v>401</v>
      </c>
    </row>
    <row r="30" spans="2:20" x14ac:dyDescent="0.45">
      <c r="B30" s="198" t="s">
        <v>299</v>
      </c>
      <c r="C30" s="199">
        <f>D30/$D$8</f>
        <v>7.1474400428075457E-2</v>
      </c>
      <c r="D30" s="208">
        <v>28184</v>
      </c>
      <c r="E30" s="201">
        <f t="shared" si="9"/>
        <v>31002.400000000001</v>
      </c>
      <c r="F30" s="201">
        <f t="shared" si="9"/>
        <v>35652.76</v>
      </c>
      <c r="G30" s="201">
        <f t="shared" si="9"/>
        <v>42783.311999999998</v>
      </c>
      <c r="H30" s="201">
        <f t="shared" si="9"/>
        <v>49200.808799999992</v>
      </c>
      <c r="I30" s="201">
        <f t="shared" si="9"/>
        <v>51660.849239999996</v>
      </c>
      <c r="L30" s="184" t="s">
        <v>402</v>
      </c>
      <c r="M30" s="236"/>
      <c r="N30" s="216">
        <f>N16*E38</f>
        <v>10998.658763393945</v>
      </c>
      <c r="O30" s="216">
        <f t="shared" ref="O30:R30" si="11">O16*F38</f>
        <v>13702.495709394954</v>
      </c>
      <c r="P30" s="216">
        <f t="shared" si="11"/>
        <v>17707.840609064249</v>
      </c>
      <c r="Q30" s="216">
        <f t="shared" si="11"/>
        <v>21818.589321882733</v>
      </c>
      <c r="R30" s="216">
        <f t="shared" si="11"/>
        <v>22909.518787976871</v>
      </c>
    </row>
    <row r="31" spans="2:20" x14ac:dyDescent="0.45">
      <c r="B31" s="198" t="s">
        <v>6</v>
      </c>
      <c r="C31" s="199">
        <f>D31/$D$8</f>
        <v>1.2543016765443558E-2</v>
      </c>
      <c r="D31" s="208">
        <v>4946</v>
      </c>
      <c r="E31" s="201">
        <f t="shared" si="9"/>
        <v>5440.6</v>
      </c>
      <c r="F31" s="201">
        <f t="shared" si="9"/>
        <v>6256.6900000000005</v>
      </c>
      <c r="G31" s="201">
        <f t="shared" si="9"/>
        <v>7508.0280000000002</v>
      </c>
      <c r="H31" s="201">
        <f t="shared" si="9"/>
        <v>8634.2321999999986</v>
      </c>
      <c r="I31" s="201">
        <f t="shared" si="9"/>
        <v>9065.9438100000007</v>
      </c>
      <c r="L31" s="174" t="s">
        <v>403</v>
      </c>
      <c r="M31" s="213"/>
      <c r="N31" s="201">
        <f>SUM(N28:N30)</f>
        <v>109114.10762339395</v>
      </c>
      <c r="O31" s="201">
        <f t="shared" ref="O31:R31" si="12">SUM(O28:O30)</f>
        <v>111151.69642859495</v>
      </c>
      <c r="P31" s="201">
        <f t="shared" si="12"/>
        <v>114630.28889194426</v>
      </c>
      <c r="Q31" s="201">
        <f t="shared" si="12"/>
        <v>158439.31596039969</v>
      </c>
      <c r="R31" s="201">
        <f t="shared" si="12"/>
        <v>185016.44375906029</v>
      </c>
    </row>
    <row r="32" spans="2:20" x14ac:dyDescent="0.45">
      <c r="B32" s="198" t="s">
        <v>301</v>
      </c>
      <c r="C32" s="199">
        <f>D32/$D$8</f>
        <v>8.304866822376579E-2</v>
      </c>
      <c r="D32" s="208">
        <v>32748</v>
      </c>
      <c r="E32" s="201">
        <f t="shared" si="9"/>
        <v>36022.800000000003</v>
      </c>
      <c r="F32" s="201">
        <f t="shared" si="9"/>
        <v>41426.22</v>
      </c>
      <c r="G32" s="201">
        <f t="shared" si="9"/>
        <v>49711.464</v>
      </c>
      <c r="H32" s="201">
        <f t="shared" si="9"/>
        <v>57168.183599999989</v>
      </c>
      <c r="I32" s="201">
        <f t="shared" si="9"/>
        <v>60026.592779999992</v>
      </c>
      <c r="L32" s="173" t="s">
        <v>404</v>
      </c>
      <c r="N32" s="174"/>
    </row>
    <row r="33" spans="2:18" x14ac:dyDescent="0.45">
      <c r="B33" s="198" t="s">
        <v>302</v>
      </c>
      <c r="C33" s="199">
        <f>D33/$D$8</f>
        <v>5.3821359646787026E-2</v>
      </c>
      <c r="D33" s="208">
        <v>21223</v>
      </c>
      <c r="E33" s="201">
        <f t="shared" si="9"/>
        <v>23345.300000000003</v>
      </c>
      <c r="F33" s="201">
        <f t="shared" si="9"/>
        <v>26847.095000000001</v>
      </c>
      <c r="G33" s="201">
        <f t="shared" si="9"/>
        <v>32216.514000000003</v>
      </c>
      <c r="H33" s="201">
        <f t="shared" si="9"/>
        <v>37048.991099999999</v>
      </c>
      <c r="I33" s="201">
        <f t="shared" si="9"/>
        <v>38901.440654999999</v>
      </c>
      <c r="L33" s="184" t="s">
        <v>405</v>
      </c>
      <c r="M33" s="216">
        <f>(D34-D28-D50)</f>
        <v>-18577</v>
      </c>
      <c r="N33" s="216">
        <f t="shared" ref="N33:R33" si="13">(E34-E28-E50)</f>
        <v>-20434.699999999983</v>
      </c>
      <c r="O33" s="216">
        <f t="shared" si="13"/>
        <v>-23499.904999999999</v>
      </c>
      <c r="P33" s="216">
        <f t="shared" si="13"/>
        <v>-28199.885999999999</v>
      </c>
      <c r="Q33" s="216">
        <f t="shared" si="13"/>
        <v>-32429.868899999943</v>
      </c>
      <c r="R33" s="216">
        <f t="shared" si="13"/>
        <v>-34051.362344999972</v>
      </c>
    </row>
    <row r="34" spans="2:18" x14ac:dyDescent="0.45">
      <c r="B34" s="198" t="s">
        <v>303</v>
      </c>
      <c r="C34" s="199"/>
      <c r="D34" s="208">
        <v>135405</v>
      </c>
      <c r="E34" s="201">
        <f>SUM(E27:E33)</f>
        <v>150806.3809720001</v>
      </c>
      <c r="F34" s="201">
        <f t="shared" ref="F34:I34" si="14">SUM(F27:F33)</f>
        <v>182011.4175688001</v>
      </c>
      <c r="G34" s="201">
        <f t="shared" si="14"/>
        <v>232662.32305111995</v>
      </c>
      <c r="H34" s="201">
        <f t="shared" si="14"/>
        <v>277233.70098598383</v>
      </c>
      <c r="I34" s="201">
        <f t="shared" si="14"/>
        <v>304887.04926577985</v>
      </c>
      <c r="L34" s="174" t="s">
        <v>406</v>
      </c>
      <c r="M34" s="213"/>
      <c r="N34" s="201">
        <f>M33-N33</f>
        <v>1857.6999999999825</v>
      </c>
      <c r="O34" s="201">
        <f t="shared" ref="O34:R34" si="15">N33-O33</f>
        <v>3065.2050000000163</v>
      </c>
      <c r="P34" s="201">
        <f t="shared" si="15"/>
        <v>4699.9809999999998</v>
      </c>
      <c r="Q34" s="201">
        <f t="shared" si="15"/>
        <v>4229.9828999999445</v>
      </c>
      <c r="R34" s="201">
        <f t="shared" si="15"/>
        <v>1621.4934450000292</v>
      </c>
    </row>
    <row r="35" spans="2:18" x14ac:dyDescent="0.45">
      <c r="C35" s="199"/>
      <c r="D35" s="212"/>
      <c r="E35" s="201"/>
      <c r="F35" s="201"/>
      <c r="G35" s="201"/>
      <c r="H35" s="201"/>
      <c r="I35" s="201"/>
      <c r="L35" s="173" t="s">
        <v>407</v>
      </c>
      <c r="N35" s="213"/>
      <c r="O35" s="213"/>
      <c r="P35" s="213"/>
      <c r="Q35" s="213"/>
      <c r="R35" s="213"/>
    </row>
    <row r="36" spans="2:18" x14ac:dyDescent="0.45">
      <c r="B36" s="198" t="s">
        <v>304</v>
      </c>
      <c r="C36" s="199"/>
      <c r="D36" s="212"/>
      <c r="E36" s="201"/>
      <c r="F36" s="201"/>
      <c r="G36" s="201"/>
      <c r="H36" s="201"/>
      <c r="I36" s="201"/>
      <c r="L36" s="184" t="s">
        <v>408</v>
      </c>
      <c r="M36" s="216">
        <f>D38</f>
        <v>42117</v>
      </c>
      <c r="N36" s="216">
        <f t="shared" ref="N36:R36" si="16">E38</f>
        <v>52050.636000000006</v>
      </c>
      <c r="O36" s="216">
        <f t="shared" si="16"/>
        <v>64846.417350000003</v>
      </c>
      <c r="P36" s="216">
        <f t="shared" si="16"/>
        <v>83801.523960000006</v>
      </c>
      <c r="Q36" s="216">
        <f t="shared" si="16"/>
        <v>103255.44916499998</v>
      </c>
      <c r="R36" s="216">
        <f t="shared" si="16"/>
        <v>108418.22162324999</v>
      </c>
    </row>
    <row r="37" spans="2:18" x14ac:dyDescent="0.45">
      <c r="B37" s="198" t="s">
        <v>297</v>
      </c>
      <c r="C37" s="199">
        <f>D37/$D$8</f>
        <v>0.30636052170428812</v>
      </c>
      <c r="D37" s="208">
        <v>120805</v>
      </c>
      <c r="E37" s="201">
        <f t="shared" ref="E37:I37" si="17">$C37*E$8</f>
        <v>132885.50000000003</v>
      </c>
      <c r="F37" s="201">
        <f t="shared" si="17"/>
        <v>152818.32500000001</v>
      </c>
      <c r="G37" s="201">
        <f t="shared" si="17"/>
        <v>183381.99000000002</v>
      </c>
      <c r="H37" s="201">
        <f t="shared" si="17"/>
        <v>210889.2885</v>
      </c>
      <c r="I37" s="201">
        <f t="shared" si="17"/>
        <v>221433.75292500001</v>
      </c>
      <c r="L37" s="174" t="s">
        <v>409</v>
      </c>
      <c r="M37" s="237"/>
      <c r="N37" s="201">
        <f>M36-(N36+N30)</f>
        <v>-20932.294763393948</v>
      </c>
      <c r="O37" s="201">
        <f t="shared" ref="O37:R37" si="18">N36-(O36+O30)</f>
        <v>-26498.277059394946</v>
      </c>
      <c r="P37" s="201">
        <f t="shared" si="18"/>
        <v>-36662.947219064255</v>
      </c>
      <c r="Q37" s="201">
        <f t="shared" si="18"/>
        <v>-41272.514526882718</v>
      </c>
      <c r="R37" s="201">
        <f t="shared" si="18"/>
        <v>-28072.291246226887</v>
      </c>
    </row>
    <row r="38" spans="2:18" x14ac:dyDescent="0.45">
      <c r="B38" s="198" t="s">
        <v>305</v>
      </c>
      <c r="C38" s="199">
        <f>D38/$D$8</f>
        <v>0.10680837790339393</v>
      </c>
      <c r="D38" s="208">
        <v>42117</v>
      </c>
      <c r="E38" s="201">
        <f>E8*N15</f>
        <v>52050.636000000006</v>
      </c>
      <c r="F38" s="201">
        <f>F8*O15</f>
        <v>64846.417350000003</v>
      </c>
      <c r="G38" s="201">
        <f>G8*P15</f>
        <v>83801.523960000006</v>
      </c>
      <c r="H38" s="201">
        <f>H8*Q15</f>
        <v>103255.44916499998</v>
      </c>
      <c r="I38" s="201">
        <f>I8*R15</f>
        <v>108418.22162324999</v>
      </c>
      <c r="L38" s="173" t="s">
        <v>410</v>
      </c>
      <c r="N38" s="213"/>
      <c r="O38" s="213"/>
      <c r="P38" s="213"/>
      <c r="Q38" s="213"/>
      <c r="R38" s="213"/>
    </row>
    <row r="39" spans="2:18" x14ac:dyDescent="0.45">
      <c r="B39" s="198" t="s">
        <v>306</v>
      </c>
      <c r="C39" s="199">
        <f>D39/$D$8</f>
        <v>0.13802897624536231</v>
      </c>
      <c r="D39" s="208">
        <v>54428</v>
      </c>
      <c r="E39" s="201">
        <f>$C39*E$8</f>
        <v>59870.80000000001</v>
      </c>
      <c r="F39" s="201">
        <f>$C39*F$8</f>
        <v>68851.420000000013</v>
      </c>
      <c r="G39" s="201">
        <f>$C39*G$8</f>
        <v>82621.704000000012</v>
      </c>
      <c r="H39" s="201">
        <f>$C39*H$8</f>
        <v>95014.959599999987</v>
      </c>
      <c r="I39" s="201">
        <f>$C39*I$8</f>
        <v>99765.707580000002</v>
      </c>
      <c r="L39" s="174" t="s">
        <v>411</v>
      </c>
      <c r="M39" s="213"/>
      <c r="N39" s="201">
        <f>N31+N34+N37</f>
        <v>90039.512859999988</v>
      </c>
      <c r="O39" s="201">
        <f t="shared" ref="O39:R39" si="19">O31+O34+O37</f>
        <v>87718.624369200028</v>
      </c>
      <c r="P39" s="201">
        <f t="shared" si="19"/>
        <v>82667.322672880007</v>
      </c>
      <c r="Q39" s="201">
        <f t="shared" si="19"/>
        <v>121396.78433351692</v>
      </c>
      <c r="R39" s="201">
        <f t="shared" si="19"/>
        <v>158565.64595783345</v>
      </c>
    </row>
    <row r="40" spans="2:18" x14ac:dyDescent="0.45">
      <c r="B40" s="214" t="s">
        <v>307</v>
      </c>
      <c r="C40" s="199">
        <f t="shared" ref="C40:C41" si="20">D40/$D$8</f>
        <v>0.55119787585304436</v>
      </c>
      <c r="D40" s="215">
        <v>217350</v>
      </c>
      <c r="E40" s="216">
        <f>SUM(E37:E39)</f>
        <v>244806.93600000005</v>
      </c>
      <c r="F40" s="216">
        <f t="shared" ref="F40:I40" si="21">SUM(F37:F39)</f>
        <v>286516.16235</v>
      </c>
      <c r="G40" s="216">
        <f t="shared" si="21"/>
        <v>349805.21796000004</v>
      </c>
      <c r="H40" s="216">
        <f t="shared" si="21"/>
        <v>409159.69726499997</v>
      </c>
      <c r="I40" s="216">
        <f t="shared" si="21"/>
        <v>429617.68212824996</v>
      </c>
      <c r="L40" s="177" t="s">
        <v>412</v>
      </c>
      <c r="M40" s="238"/>
      <c r="N40" s="238"/>
      <c r="O40" s="238"/>
      <c r="P40" s="238"/>
      <c r="Q40" s="238"/>
      <c r="R40" s="234">
        <f>(R39*(1+R8))/(R23-R8)</f>
        <v>3953349.5172566921</v>
      </c>
    </row>
    <row r="41" spans="2:18" x14ac:dyDescent="0.45">
      <c r="B41" s="204" t="s">
        <v>308</v>
      </c>
      <c r="C41" s="199">
        <f t="shared" si="20"/>
        <v>0.89458388174161796</v>
      </c>
      <c r="D41" s="217">
        <v>352755</v>
      </c>
      <c r="E41" s="205">
        <f>E66</f>
        <v>395613.31697200006</v>
      </c>
      <c r="F41" s="205">
        <f t="shared" ref="F41:I41" si="22">F66</f>
        <v>468527.57991880004</v>
      </c>
      <c r="G41" s="205">
        <f t="shared" si="22"/>
        <v>582467.54101111996</v>
      </c>
      <c r="H41" s="205">
        <f t="shared" si="22"/>
        <v>686393.3982509838</v>
      </c>
      <c r="I41" s="205">
        <f t="shared" si="22"/>
        <v>734504.73139402969</v>
      </c>
      <c r="L41" s="173" t="s">
        <v>413</v>
      </c>
      <c r="M41" s="213"/>
      <c r="N41" s="205">
        <f>N39+N40</f>
        <v>90039.512859999988</v>
      </c>
      <c r="O41" s="205">
        <f t="shared" ref="O41:R41" si="23">O39+O40</f>
        <v>87718.624369200028</v>
      </c>
      <c r="P41" s="205">
        <f t="shared" si="23"/>
        <v>82667.322672880007</v>
      </c>
      <c r="Q41" s="205">
        <f t="shared" si="23"/>
        <v>121396.78433351692</v>
      </c>
      <c r="R41" s="205">
        <f t="shared" si="23"/>
        <v>4111915.1632145257</v>
      </c>
    </row>
    <row r="42" spans="2:18" x14ac:dyDescent="0.45">
      <c r="C42" s="218"/>
      <c r="E42" s="213"/>
      <c r="F42" s="213"/>
      <c r="G42" s="213"/>
      <c r="H42" s="213"/>
      <c r="I42" s="213"/>
      <c r="M42" s="239"/>
      <c r="N42" s="174"/>
    </row>
    <row r="43" spans="2:18" x14ac:dyDescent="0.45">
      <c r="B43" s="198" t="s">
        <v>309</v>
      </c>
      <c r="C43" s="218"/>
      <c r="E43" s="213"/>
      <c r="F43" s="213"/>
      <c r="G43" s="213"/>
      <c r="H43" s="213"/>
      <c r="I43" s="213"/>
      <c r="L43" s="176" t="s">
        <v>414</v>
      </c>
      <c r="M43" s="240" t="s">
        <v>415</v>
      </c>
      <c r="N43" s="174"/>
      <c r="O43" s="173"/>
      <c r="Q43" s="175"/>
      <c r="R43" s="241"/>
    </row>
    <row r="44" spans="2:18" x14ac:dyDescent="0.45">
      <c r="B44" s="198" t="s">
        <v>310</v>
      </c>
      <c r="C44" s="218"/>
      <c r="E44" s="213"/>
      <c r="F44" s="213"/>
      <c r="G44" s="213"/>
      <c r="H44" s="213"/>
      <c r="I44" s="213"/>
      <c r="L44" s="174" t="s">
        <v>416</v>
      </c>
      <c r="M44" s="242">
        <f>NPV(M23,N41:R41)</f>
        <v>2956210.359727012</v>
      </c>
    </row>
    <row r="45" spans="2:18" x14ac:dyDescent="0.45">
      <c r="B45" s="198" t="s">
        <v>5</v>
      </c>
      <c r="C45" s="199">
        <f t="shared" ref="C45:C50" si="24">D45/$D$8</f>
        <v>0.16259513140242898</v>
      </c>
      <c r="D45" s="200">
        <v>64115</v>
      </c>
      <c r="E45" s="201">
        <f t="shared" ref="E45:I56" si="25">$C45*E$8</f>
        <v>70526.500000000015</v>
      </c>
      <c r="F45" s="201">
        <f t="shared" si="25"/>
        <v>81105.475000000006</v>
      </c>
      <c r="G45" s="201">
        <f t="shared" si="25"/>
        <v>97326.57</v>
      </c>
      <c r="H45" s="201">
        <f t="shared" si="25"/>
        <v>111925.55549999999</v>
      </c>
      <c r="I45" s="201">
        <f t="shared" si="25"/>
        <v>117521.83327500001</v>
      </c>
      <c r="L45" s="177" t="s">
        <v>417</v>
      </c>
      <c r="M45" s="243">
        <v>-110087</v>
      </c>
    </row>
    <row r="46" spans="2:18" x14ac:dyDescent="0.45">
      <c r="B46" s="198" t="s">
        <v>311</v>
      </c>
      <c r="C46" s="199">
        <f t="shared" si="24"/>
        <v>0.15430243734197599</v>
      </c>
      <c r="D46" s="208">
        <v>60845</v>
      </c>
      <c r="E46" s="201">
        <f t="shared" si="25"/>
        <v>66929.5</v>
      </c>
      <c r="F46" s="201">
        <f t="shared" si="25"/>
        <v>76968.925000000003</v>
      </c>
      <c r="G46" s="201">
        <f t="shared" si="25"/>
        <v>92362.71</v>
      </c>
      <c r="H46" s="201">
        <f t="shared" si="25"/>
        <v>106217.11649999999</v>
      </c>
      <c r="I46" s="201">
        <f t="shared" si="25"/>
        <v>111527.972325</v>
      </c>
      <c r="L46" s="173" t="s">
        <v>418</v>
      </c>
      <c r="M46" s="244">
        <f>SUM(M44:M45)</f>
        <v>2846123.359727012</v>
      </c>
    </row>
    <row r="47" spans="2:18" x14ac:dyDescent="0.45">
      <c r="B47" s="198" t="s">
        <v>312</v>
      </c>
      <c r="C47" s="199">
        <f t="shared" si="24"/>
        <v>2.0064769237401827E-2</v>
      </c>
      <c r="D47" s="208">
        <v>7912</v>
      </c>
      <c r="E47" s="201">
        <f t="shared" si="25"/>
        <v>8703.2000000000007</v>
      </c>
      <c r="F47" s="201">
        <f t="shared" si="25"/>
        <v>10008.680000000002</v>
      </c>
      <c r="G47" s="201">
        <f t="shared" si="25"/>
        <v>12010.416000000001</v>
      </c>
      <c r="H47" s="201">
        <f t="shared" si="25"/>
        <v>13811.9784</v>
      </c>
      <c r="I47" s="201">
        <f t="shared" si="25"/>
        <v>14502.57732</v>
      </c>
      <c r="L47" s="177" t="s">
        <v>287</v>
      </c>
      <c r="M47" s="234">
        <v>16976</v>
      </c>
    </row>
    <row r="48" spans="2:18" x14ac:dyDescent="0.45">
      <c r="B48" s="198" t="s">
        <v>313</v>
      </c>
      <c r="C48" s="199">
        <f t="shared" si="24"/>
        <v>2.5314272816954628E-2</v>
      </c>
      <c r="D48" s="208">
        <v>9982</v>
      </c>
      <c r="E48" s="201">
        <f t="shared" si="25"/>
        <v>10980.2</v>
      </c>
      <c r="F48" s="201">
        <f t="shared" si="25"/>
        <v>12627.23</v>
      </c>
      <c r="G48" s="201">
        <f t="shared" si="25"/>
        <v>15152.675999999999</v>
      </c>
      <c r="H48" s="201">
        <f t="shared" si="25"/>
        <v>17425.577399999998</v>
      </c>
      <c r="I48" s="201">
        <f t="shared" si="25"/>
        <v>18296.85627</v>
      </c>
      <c r="L48" s="173" t="s">
        <v>419</v>
      </c>
      <c r="M48" s="245">
        <f>M46/M47</f>
        <v>167.65571157675612</v>
      </c>
    </row>
    <row r="49" spans="2:16" x14ac:dyDescent="0.45">
      <c r="B49" s="198" t="s">
        <v>314</v>
      </c>
      <c r="C49" s="199">
        <f t="shared" si="24"/>
        <v>2.8220519726214296E-2</v>
      </c>
      <c r="D49" s="208">
        <v>11128</v>
      </c>
      <c r="E49" s="201">
        <f t="shared" si="25"/>
        <v>12240.800000000001</v>
      </c>
      <c r="F49" s="201">
        <f t="shared" si="25"/>
        <v>14076.92</v>
      </c>
      <c r="G49" s="201">
        <f t="shared" si="25"/>
        <v>16892.304</v>
      </c>
      <c r="H49" s="201">
        <f t="shared" si="25"/>
        <v>19426.149599999997</v>
      </c>
      <c r="I49" s="201">
        <f t="shared" si="25"/>
        <v>20397.45708</v>
      </c>
      <c r="N49" s="174"/>
    </row>
    <row r="50" spans="2:16" x14ac:dyDescent="0.45">
      <c r="B50" s="198" t="s">
        <v>315</v>
      </c>
      <c r="C50" s="199">
        <f t="shared" si="24"/>
        <v>0.3904971305249757</v>
      </c>
      <c r="D50" s="208">
        <v>153982</v>
      </c>
      <c r="E50" s="201">
        <f t="shared" si="25"/>
        <v>169380.2</v>
      </c>
      <c r="F50" s="201">
        <f t="shared" si="25"/>
        <v>194787.23</v>
      </c>
      <c r="G50" s="201">
        <f t="shared" si="25"/>
        <v>233744.67600000001</v>
      </c>
      <c r="H50" s="201">
        <f t="shared" si="25"/>
        <v>268806.37739999994</v>
      </c>
      <c r="I50" s="201">
        <f t="shared" si="25"/>
        <v>282246.69626999996</v>
      </c>
      <c r="L50" s="176" t="s">
        <v>420</v>
      </c>
      <c r="M50" s="240" t="s">
        <v>421</v>
      </c>
      <c r="N50" s="179" t="s">
        <v>422</v>
      </c>
      <c r="O50" s="179" t="s">
        <v>65</v>
      </c>
    </row>
    <row r="51" spans="2:16" x14ac:dyDescent="0.45">
      <c r="C51" s="199"/>
      <c r="D51" s="212"/>
      <c r="E51" s="201"/>
      <c r="F51" s="201"/>
      <c r="G51" s="201"/>
      <c r="H51" s="201"/>
      <c r="I51" s="201"/>
      <c r="L51" s="174" t="s">
        <v>423</v>
      </c>
      <c r="M51" s="246"/>
      <c r="N51" s="192"/>
      <c r="O51" s="247">
        <v>28.07</v>
      </c>
      <c r="P51" s="175"/>
    </row>
    <row r="52" spans="2:16" x14ac:dyDescent="0.45">
      <c r="B52" s="198" t="s">
        <v>316</v>
      </c>
      <c r="C52" s="199"/>
      <c r="D52" s="212"/>
      <c r="E52" s="201"/>
      <c r="F52" s="201"/>
      <c r="G52" s="201"/>
      <c r="H52" s="201"/>
      <c r="I52" s="201"/>
      <c r="L52" s="174" t="s">
        <v>424</v>
      </c>
      <c r="M52" s="247"/>
      <c r="N52" s="192"/>
      <c r="O52" s="212">
        <v>6.24</v>
      </c>
      <c r="P52" s="175"/>
    </row>
    <row r="53" spans="2:16" x14ac:dyDescent="0.45">
      <c r="B53" s="198" t="s">
        <v>314</v>
      </c>
      <c r="C53" s="199">
        <f>D53/$D$8</f>
        <v>0.2509592389995004</v>
      </c>
      <c r="D53" s="208">
        <v>98959</v>
      </c>
      <c r="E53" s="201">
        <f t="shared" si="25"/>
        <v>108854.90000000001</v>
      </c>
      <c r="F53" s="201">
        <f t="shared" si="25"/>
        <v>125183.13500000001</v>
      </c>
      <c r="G53" s="201">
        <f t="shared" si="25"/>
        <v>150219.76199999999</v>
      </c>
      <c r="H53" s="201">
        <f t="shared" si="25"/>
        <v>172752.72629999998</v>
      </c>
      <c r="I53" s="201">
        <f t="shared" si="25"/>
        <v>181390.36261499999</v>
      </c>
      <c r="L53" s="174" t="s">
        <v>425</v>
      </c>
      <c r="M53" s="247"/>
      <c r="N53" s="192"/>
      <c r="O53" s="212">
        <v>3.41</v>
      </c>
    </row>
    <row r="54" spans="2:16" x14ac:dyDescent="0.45">
      <c r="B54" s="198" t="s">
        <v>317</v>
      </c>
      <c r="C54" s="199">
        <f>D54/$D$8</f>
        <v>0.12462372217699703</v>
      </c>
      <c r="D54" s="208">
        <v>49142</v>
      </c>
      <c r="E54" s="201">
        <f t="shared" si="25"/>
        <v>54056.200000000004</v>
      </c>
      <c r="F54" s="201">
        <f t="shared" si="25"/>
        <v>62164.630000000005</v>
      </c>
      <c r="G54" s="201">
        <f t="shared" si="25"/>
        <v>74597.555999999997</v>
      </c>
      <c r="H54" s="201">
        <f t="shared" si="25"/>
        <v>85787.189399999988</v>
      </c>
      <c r="I54" s="201">
        <f t="shared" si="25"/>
        <v>90076.548869999999</v>
      </c>
      <c r="L54" s="174" t="s">
        <v>426</v>
      </c>
      <c r="M54" s="246"/>
      <c r="N54" s="192"/>
      <c r="O54" s="212">
        <v>24.76</v>
      </c>
    </row>
    <row r="55" spans="2:16" x14ac:dyDescent="0.45">
      <c r="B55" s="214" t="s">
        <v>318</v>
      </c>
      <c r="C55" s="223">
        <f>D55/$D$8</f>
        <v>0.37558296117649742</v>
      </c>
      <c r="D55" s="215">
        <v>148101</v>
      </c>
      <c r="E55" s="216">
        <f t="shared" si="25"/>
        <v>162911.1</v>
      </c>
      <c r="F55" s="216">
        <f t="shared" si="25"/>
        <v>187347.76500000001</v>
      </c>
      <c r="G55" s="216">
        <f t="shared" si="25"/>
        <v>224817.318</v>
      </c>
      <c r="H55" s="216">
        <f t="shared" si="25"/>
        <v>258539.91569999995</v>
      </c>
      <c r="I55" s="216">
        <f t="shared" si="25"/>
        <v>271466.91148499999</v>
      </c>
      <c r="N55" s="174"/>
    </row>
    <row r="56" spans="2:16" ht="15.4" thickBot="1" x14ac:dyDescent="0.5">
      <c r="B56" s="204" t="s">
        <v>319</v>
      </c>
      <c r="C56" s="224">
        <f>D56/$D$8</f>
        <v>0.76608009170147318</v>
      </c>
      <c r="D56" s="225">
        <v>302083</v>
      </c>
      <c r="E56" s="205">
        <f t="shared" si="25"/>
        <v>332291.30000000005</v>
      </c>
      <c r="F56" s="205">
        <f t="shared" si="25"/>
        <v>382134.99500000005</v>
      </c>
      <c r="G56" s="205">
        <f t="shared" si="25"/>
        <v>458561.99400000001</v>
      </c>
      <c r="H56" s="205">
        <f t="shared" si="25"/>
        <v>527346.29309999989</v>
      </c>
      <c r="I56" s="205">
        <f t="shared" si="25"/>
        <v>553713.607755</v>
      </c>
      <c r="L56" s="176" t="s">
        <v>427</v>
      </c>
      <c r="M56" s="241" t="s">
        <v>421</v>
      </c>
      <c r="N56" s="174"/>
    </row>
    <row r="57" spans="2:16" x14ac:dyDescent="0.45">
      <c r="C57" s="218"/>
      <c r="E57" s="213"/>
      <c r="F57" s="213"/>
      <c r="G57" s="213"/>
      <c r="H57" s="213"/>
      <c r="I57" s="213"/>
      <c r="L57" s="173" t="s">
        <v>428</v>
      </c>
      <c r="M57" s="248">
        <f>M48</f>
        <v>167.65571157675612</v>
      </c>
      <c r="N57" s="174"/>
    </row>
    <row r="58" spans="2:16" ht="15.4" thickBot="1" x14ac:dyDescent="0.5">
      <c r="B58" s="198" t="s">
        <v>320</v>
      </c>
      <c r="C58" s="218"/>
      <c r="E58" s="213"/>
      <c r="F58" s="213"/>
      <c r="G58" s="213"/>
      <c r="H58" s="213"/>
      <c r="I58" s="213"/>
      <c r="L58" s="176" t="s">
        <v>429</v>
      </c>
      <c r="M58" s="249">
        <v>168</v>
      </c>
      <c r="N58" s="174"/>
    </row>
    <row r="59" spans="2:16" x14ac:dyDescent="0.45">
      <c r="B59" s="204" t="s">
        <v>394</v>
      </c>
      <c r="C59" s="218"/>
      <c r="E59" s="213"/>
      <c r="F59" s="213"/>
      <c r="G59" s="213"/>
      <c r="H59" s="213"/>
      <c r="I59" s="213"/>
      <c r="L59" s="173" t="s">
        <v>430</v>
      </c>
      <c r="M59" s="248">
        <f>M57-M58</f>
        <v>-0.34428842324388143</v>
      </c>
      <c r="N59" s="174"/>
    </row>
    <row r="60" spans="2:16" ht="15.4" thickBot="1" x14ac:dyDescent="0.5">
      <c r="B60" s="198" t="s">
        <v>321</v>
      </c>
      <c r="C60" s="218"/>
      <c r="E60" s="213"/>
      <c r="F60" s="213"/>
      <c r="G60" s="213"/>
      <c r="H60" s="213"/>
      <c r="I60" s="213"/>
      <c r="L60" s="176" t="s">
        <v>431</v>
      </c>
      <c r="M60" s="250">
        <f>M59/M58</f>
        <v>-2.0493358526421515E-3</v>
      </c>
      <c r="N60" s="174"/>
    </row>
    <row r="61" spans="2:16" ht="15.4" thickBot="1" x14ac:dyDescent="0.5">
      <c r="B61" s="198" t="s">
        <v>322</v>
      </c>
      <c r="C61" s="218"/>
      <c r="E61" s="213"/>
      <c r="F61" s="213"/>
      <c r="G61" s="213"/>
      <c r="H61" s="213"/>
      <c r="I61" s="213"/>
      <c r="L61" s="173" t="s">
        <v>432</v>
      </c>
      <c r="M61" s="251" t="s">
        <v>433</v>
      </c>
      <c r="N61" s="174"/>
    </row>
    <row r="62" spans="2:16" x14ac:dyDescent="0.45">
      <c r="B62" s="198" t="s">
        <v>323</v>
      </c>
      <c r="C62" s="199">
        <f>D62/$D$8</f>
        <v>0.1644565495799129</v>
      </c>
      <c r="D62" s="208">
        <v>64849</v>
      </c>
      <c r="E62" s="201">
        <f>D62</f>
        <v>64849</v>
      </c>
      <c r="F62" s="201">
        <f t="shared" ref="F62:I62" si="26">E62</f>
        <v>64849</v>
      </c>
      <c r="G62" s="201">
        <f t="shared" si="26"/>
        <v>64849</v>
      </c>
      <c r="H62" s="201">
        <f t="shared" si="26"/>
        <v>64849</v>
      </c>
      <c r="I62" s="201">
        <f t="shared" si="26"/>
        <v>64849</v>
      </c>
    </row>
    <row r="63" spans="2:16" x14ac:dyDescent="0.45">
      <c r="B63" s="198" t="s">
        <v>324</v>
      </c>
      <c r="C63" s="199">
        <f>D63/$D$8</f>
        <v>-7.7804236628347826E-3</v>
      </c>
      <c r="D63" s="208">
        <v>-3068</v>
      </c>
      <c r="E63" s="201">
        <f>D63+E18-E19-E20</f>
        <v>10692.916971999999</v>
      </c>
      <c r="F63" s="201">
        <f>E63+F18-F19-F20</f>
        <v>35596.469918799994</v>
      </c>
      <c r="G63" s="201">
        <f>F63+G18-G19-G20</f>
        <v>75920.009011119982</v>
      </c>
      <c r="H63" s="201">
        <f>G63+H18-H19-H20</f>
        <v>113591.08645098396</v>
      </c>
      <c r="I63" s="201">
        <f>H63+I18-I19-I20</f>
        <v>136304.75400402967</v>
      </c>
      <c r="N63" s="174"/>
    </row>
    <row r="64" spans="2:16" x14ac:dyDescent="0.45">
      <c r="B64" s="198" t="s">
        <v>325</v>
      </c>
      <c r="C64" s="199">
        <f>D64/$D$8</f>
        <v>-2.8172335876933376E-2</v>
      </c>
      <c r="D64" s="208">
        <v>-11109</v>
      </c>
      <c r="E64" s="201">
        <f>$C64*E$8</f>
        <v>-12219.900000000001</v>
      </c>
      <c r="F64" s="201">
        <f>$C64*F$8</f>
        <v>-14052.885</v>
      </c>
      <c r="G64" s="201">
        <f>$C64*G$8</f>
        <v>-16863.462</v>
      </c>
      <c r="H64" s="201">
        <f>$C64*H$8</f>
        <v>-19392.981299999996</v>
      </c>
      <c r="I64" s="201">
        <f>$C64*I$8</f>
        <v>-20362.630365000001</v>
      </c>
      <c r="N64" s="174"/>
    </row>
    <row r="65" spans="2:14" x14ac:dyDescent="0.45">
      <c r="B65" s="229" t="s">
        <v>326</v>
      </c>
      <c r="C65" s="230">
        <f>D65/$D$8</f>
        <v>0.12850379004014476</v>
      </c>
      <c r="D65" s="231">
        <v>50672</v>
      </c>
      <c r="E65" s="232">
        <f>SUM(E59:E64)</f>
        <v>63322.016972000005</v>
      </c>
      <c r="F65" s="232">
        <f t="shared" ref="F65:I65" si="27">SUM(F59:F64)</f>
        <v>86392.584918799999</v>
      </c>
      <c r="G65" s="232">
        <f t="shared" si="27"/>
        <v>123905.54701111998</v>
      </c>
      <c r="H65" s="232">
        <f t="shared" si="27"/>
        <v>159047.10515098396</v>
      </c>
      <c r="I65" s="232">
        <f t="shared" si="27"/>
        <v>180791.12363902968</v>
      </c>
      <c r="N65" s="174"/>
    </row>
    <row r="66" spans="2:14" x14ac:dyDescent="0.45">
      <c r="B66" s="204" t="s">
        <v>327</v>
      </c>
      <c r="C66" s="224">
        <f>D66/$D$8</f>
        <v>0.89458388174161796</v>
      </c>
      <c r="D66" s="217">
        <v>352755</v>
      </c>
      <c r="E66" s="205">
        <f>E56+E65</f>
        <v>395613.31697200006</v>
      </c>
      <c r="F66" s="205">
        <f t="shared" ref="F66:I66" si="28">F56+F65</f>
        <v>468527.57991880004</v>
      </c>
      <c r="G66" s="205">
        <f t="shared" si="28"/>
        <v>582467.54101111996</v>
      </c>
      <c r="H66" s="205">
        <f t="shared" si="28"/>
        <v>686393.3982509838</v>
      </c>
      <c r="I66" s="205">
        <f t="shared" si="28"/>
        <v>734504.73139402969</v>
      </c>
      <c r="N66" s="174"/>
    </row>
    <row r="67" spans="2:14" x14ac:dyDescent="0.45">
      <c r="E67" s="174"/>
      <c r="N67" s="174"/>
    </row>
    <row r="68" spans="2:14" x14ac:dyDescent="0.45">
      <c r="B68" s="173"/>
      <c r="E68" s="174"/>
      <c r="N68" s="174"/>
    </row>
    <row r="69" spans="2:14" x14ac:dyDescent="0.45">
      <c r="E69" s="174"/>
    </row>
    <row r="70" spans="2:14" x14ac:dyDescent="0.45">
      <c r="E70" s="174"/>
      <c r="N70" s="174"/>
    </row>
    <row r="71" spans="2:14" x14ac:dyDescent="0.45">
      <c r="E71" s="174"/>
      <c r="N71" s="174"/>
    </row>
    <row r="72" spans="2:14" x14ac:dyDescent="0.45">
      <c r="E72" s="174"/>
      <c r="N72" s="174"/>
    </row>
    <row r="73" spans="2:14" x14ac:dyDescent="0.45">
      <c r="E73" s="174"/>
      <c r="N73" s="174"/>
    </row>
    <row r="74" spans="2:14" x14ac:dyDescent="0.45">
      <c r="E74" s="174"/>
      <c r="N74" s="174"/>
    </row>
    <row r="75" spans="2:14" x14ac:dyDescent="0.45">
      <c r="E75" s="174"/>
    </row>
    <row r="76" spans="2:14" x14ac:dyDescent="0.45">
      <c r="E76" s="174"/>
    </row>
    <row r="77" spans="2:14" x14ac:dyDescent="0.45">
      <c r="E77" s="174"/>
    </row>
    <row r="78" spans="2:14" x14ac:dyDescent="0.45">
      <c r="E78" s="174"/>
    </row>
    <row r="79" spans="2:14" x14ac:dyDescent="0.45">
      <c r="E79" s="174"/>
    </row>
    <row r="80" spans="2:14" x14ac:dyDescent="0.45">
      <c r="E80" s="174"/>
    </row>
    <row r="81" spans="14:14" s="174" customFormat="1" x14ac:dyDescent="0.45">
      <c r="N81" s="175"/>
    </row>
    <row r="82" spans="14:14" s="174" customFormat="1" x14ac:dyDescent="0.45">
      <c r="N82" s="175"/>
    </row>
    <row r="83" spans="14:14" s="174" customFormat="1" x14ac:dyDescent="0.45">
      <c r="N83" s="175"/>
    </row>
    <row r="84" spans="14:14" s="174" customFormat="1" x14ac:dyDescent="0.45">
      <c r="N84" s="175"/>
    </row>
    <row r="85" spans="14:14" s="174" customFormat="1" x14ac:dyDescent="0.45">
      <c r="N85" s="175"/>
    </row>
    <row r="86" spans="14:14" s="174" customFormat="1" x14ac:dyDescent="0.45">
      <c r="N86" s="175"/>
    </row>
    <row r="87" spans="14:14" s="174" customFormat="1" x14ac:dyDescent="0.45">
      <c r="N87" s="175"/>
    </row>
    <row r="88" spans="14:14" s="174" customFormat="1" x14ac:dyDescent="0.45">
      <c r="N88" s="175"/>
    </row>
    <row r="89" spans="14:14" s="174" customFormat="1" x14ac:dyDescent="0.45">
      <c r="N89" s="175"/>
    </row>
    <row r="90" spans="14:14" s="174" customFormat="1" x14ac:dyDescent="0.45">
      <c r="N90" s="175"/>
    </row>
    <row r="91" spans="14:14" s="174" customFormat="1" x14ac:dyDescent="0.45">
      <c r="N91" s="175"/>
    </row>
    <row r="92" spans="14:14" s="174" customFormat="1" x14ac:dyDescent="0.45">
      <c r="N92" s="175"/>
    </row>
    <row r="93" spans="14:14" s="174" customFormat="1" x14ac:dyDescent="0.45">
      <c r="N93" s="175"/>
    </row>
    <row r="94" spans="14:14" s="174" customFormat="1" x14ac:dyDescent="0.45">
      <c r="N94" s="175"/>
    </row>
    <row r="95" spans="14:14" s="174" customFormat="1" x14ac:dyDescent="0.45">
      <c r="N95" s="175"/>
    </row>
    <row r="96" spans="14:14" s="174" customFormat="1" x14ac:dyDescent="0.45">
      <c r="N96" s="175"/>
    </row>
    <row r="97" spans="14:14" s="174" customFormat="1" x14ac:dyDescent="0.45">
      <c r="N97" s="175"/>
    </row>
    <row r="98" spans="14:14" s="174" customFormat="1" x14ac:dyDescent="0.45">
      <c r="N98" s="175"/>
    </row>
    <row r="99" spans="14:14" s="174" customFormat="1" x14ac:dyDescent="0.45">
      <c r="N99" s="175"/>
    </row>
    <row r="100" spans="14:14" s="174" customFormat="1" x14ac:dyDescent="0.45">
      <c r="N100" s="175"/>
    </row>
    <row r="101" spans="14:14" s="174" customFormat="1" x14ac:dyDescent="0.45">
      <c r="N101" s="175"/>
    </row>
    <row r="102" spans="14:14" s="174" customFormat="1" x14ac:dyDescent="0.45">
      <c r="N102" s="175"/>
    </row>
    <row r="103" spans="14:14" s="174" customFormat="1" x14ac:dyDescent="0.45">
      <c r="N103" s="175"/>
    </row>
    <row r="104" spans="14:14" s="174" customFormat="1" x14ac:dyDescent="0.45">
      <c r="N104" s="175"/>
    </row>
    <row r="105" spans="14:14" s="174" customFormat="1" x14ac:dyDescent="0.45">
      <c r="N105" s="175"/>
    </row>
    <row r="106" spans="14:14" s="174" customFormat="1" x14ac:dyDescent="0.45">
      <c r="N106" s="175"/>
    </row>
    <row r="107" spans="14:14" s="174" customFormat="1" x14ac:dyDescent="0.45">
      <c r="N107" s="175"/>
    </row>
    <row r="108" spans="14:14" s="174" customFormat="1" x14ac:dyDescent="0.45">
      <c r="N108" s="175"/>
    </row>
    <row r="109" spans="14:14" s="174" customFormat="1" x14ac:dyDescent="0.45">
      <c r="N109" s="175"/>
    </row>
    <row r="110" spans="14:14" s="174" customFormat="1" x14ac:dyDescent="0.45">
      <c r="N110" s="175"/>
    </row>
    <row r="111" spans="14:14" s="174" customFormat="1" x14ac:dyDescent="0.45">
      <c r="N111" s="175"/>
    </row>
    <row r="112" spans="14:14" s="174" customFormat="1" x14ac:dyDescent="0.45">
      <c r="N112" s="175"/>
    </row>
    <row r="113" spans="14:14" s="174" customFormat="1" x14ac:dyDescent="0.45">
      <c r="N113" s="175"/>
    </row>
    <row r="114" spans="14:14" s="174" customFormat="1" x14ac:dyDescent="0.45">
      <c r="N114" s="175"/>
    </row>
    <row r="115" spans="14:14" s="174" customFormat="1" x14ac:dyDescent="0.45">
      <c r="N115" s="175"/>
    </row>
    <row r="116" spans="14:14" s="174" customFormat="1" x14ac:dyDescent="0.45">
      <c r="N116" s="175"/>
    </row>
    <row r="117" spans="14:14" s="174" customFormat="1" x14ac:dyDescent="0.45">
      <c r="N117" s="175"/>
    </row>
    <row r="118" spans="14:14" s="174" customFormat="1" x14ac:dyDescent="0.45">
      <c r="N118" s="175"/>
    </row>
    <row r="119" spans="14:14" s="174" customFormat="1" x14ac:dyDescent="0.45">
      <c r="N119" s="175"/>
    </row>
    <row r="120" spans="14:14" s="174" customFormat="1" x14ac:dyDescent="0.45">
      <c r="N120" s="175"/>
    </row>
    <row r="121" spans="14:14" s="174" customFormat="1" x14ac:dyDescent="0.45">
      <c r="N121" s="175"/>
    </row>
    <row r="122" spans="14:14" s="174" customFormat="1" x14ac:dyDescent="0.45">
      <c r="N122" s="175"/>
    </row>
    <row r="123" spans="14:14" s="174" customFormat="1" x14ac:dyDescent="0.45">
      <c r="N123" s="175"/>
    </row>
    <row r="124" spans="14:14" s="174" customFormat="1" x14ac:dyDescent="0.45">
      <c r="N124" s="175"/>
    </row>
  </sheetData>
  <sheetProtection formatCells="0" formatColumns="0" formatRows="0" insertColumns="0" insertRows="0" insertHyperlinks="0" deleteColumns="0" deleteRows="0" sort="0" autoFilter="0" pivotTables="0"/>
  <pageMargins left="0.25" right="0.25" top="0.75" bottom="0.75" header="0.3" footer="0.3"/>
  <pageSetup scale="47"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850D-3510-42D4-B06F-79E9C69C4510}">
  <sheetPr>
    <pageSetUpPr fitToPage="1"/>
  </sheetPr>
  <dimension ref="A2:S65"/>
  <sheetViews>
    <sheetView showGridLines="0" zoomScaleNormal="100" workbookViewId="0">
      <selection activeCell="P18" sqref="P18"/>
    </sheetView>
  </sheetViews>
  <sheetFormatPr defaultColWidth="9.59765625" defaultRowHeight="15" customHeight="1" x14ac:dyDescent="0.45"/>
  <cols>
    <col min="1" max="1" width="3.59765625" style="268" customWidth="1"/>
    <col min="2" max="2" width="32.33203125" style="268" bestFit="1" customWidth="1"/>
    <col min="3" max="4" width="9.6640625" style="268" customWidth="1"/>
    <col min="5" max="7" width="10.3984375" style="268" bestFit="1" customWidth="1"/>
    <col min="8" max="8" width="9.6640625" style="268" customWidth="1"/>
    <col min="9" max="9" width="0.73046875" customWidth="1"/>
    <col min="10" max="14" width="9.73046875" style="268" bestFit="1" customWidth="1"/>
    <col min="15" max="15" width="9.59765625" style="268"/>
    <col min="16" max="16" width="10.46484375" style="268" bestFit="1" customWidth="1"/>
    <col min="17" max="17" width="12" style="268" bestFit="1" customWidth="1"/>
    <col min="18" max="16384" width="9.59765625" style="268"/>
  </cols>
  <sheetData>
    <row r="2" spans="1:19" s="275" customFormat="1" ht="15" customHeight="1" x14ac:dyDescent="0.45">
      <c r="B2" s="277" t="s">
        <v>556</v>
      </c>
      <c r="C2" s="277"/>
      <c r="I2"/>
    </row>
    <row r="4" spans="1:19" ht="15" customHeight="1" x14ac:dyDescent="0.45">
      <c r="B4" s="283" t="s">
        <v>555</v>
      </c>
      <c r="C4" s="283"/>
      <c r="D4" s="278"/>
      <c r="E4" s="278"/>
      <c r="F4" s="278"/>
      <c r="G4" s="278"/>
      <c r="H4" s="278"/>
      <c r="I4" s="282"/>
      <c r="J4" s="278"/>
      <c r="K4" s="278"/>
      <c r="L4" s="278"/>
      <c r="M4" s="278"/>
      <c r="N4" s="278"/>
    </row>
    <row r="5" spans="1:19" ht="15" customHeight="1" x14ac:dyDescent="0.45">
      <c r="D5" s="279" t="s">
        <v>109</v>
      </c>
      <c r="E5" s="280"/>
      <c r="F5" s="280"/>
      <c r="G5" s="280"/>
      <c r="H5" s="280"/>
      <c r="J5" s="279" t="s">
        <v>540</v>
      </c>
      <c r="K5" s="280"/>
      <c r="L5" s="280"/>
      <c r="M5" s="280"/>
      <c r="N5" s="280"/>
      <c r="O5" s="280" t="s">
        <v>333</v>
      </c>
    </row>
    <row r="6" spans="1:19" ht="15" customHeight="1" x14ac:dyDescent="0.45">
      <c r="A6" s="268" t="s">
        <v>9</v>
      </c>
      <c r="B6" s="264" t="s">
        <v>543</v>
      </c>
      <c r="C6" s="264"/>
      <c r="D6" s="265">
        <v>2018</v>
      </c>
      <c r="E6" s="265">
        <f t="shared" ref="E6:N6" si="0">D6+1</f>
        <v>2019</v>
      </c>
      <c r="F6" s="265">
        <f t="shared" si="0"/>
        <v>2020</v>
      </c>
      <c r="G6" s="265">
        <f t="shared" si="0"/>
        <v>2021</v>
      </c>
      <c r="H6" s="265">
        <f t="shared" si="0"/>
        <v>2022</v>
      </c>
      <c r="J6" s="266">
        <f>H6+1</f>
        <v>2023</v>
      </c>
      <c r="K6" s="266">
        <f t="shared" si="0"/>
        <v>2024</v>
      </c>
      <c r="L6" s="266">
        <f t="shared" si="0"/>
        <v>2025</v>
      </c>
      <c r="M6" s="266">
        <f t="shared" si="0"/>
        <v>2026</v>
      </c>
      <c r="N6" s="266">
        <f t="shared" si="0"/>
        <v>2027</v>
      </c>
    </row>
    <row r="7" spans="1:19" s="267" customFormat="1" ht="15" customHeight="1" x14ac:dyDescent="0.45">
      <c r="B7" s="268" t="s">
        <v>542</v>
      </c>
      <c r="C7" s="268"/>
      <c r="D7" s="269">
        <f>'Financials Summary'!D7</f>
        <v>232887</v>
      </c>
      <c r="E7" s="269">
        <f>'Financials Summary'!E7</f>
        <v>280522</v>
      </c>
      <c r="F7" s="269">
        <f>'Financials Summary'!F7</f>
        <v>386064</v>
      </c>
      <c r="G7" s="269">
        <f>'Financials Summary'!G7</f>
        <v>469822</v>
      </c>
      <c r="H7" s="269">
        <f>'Financials Summary'!H7</f>
        <v>513983</v>
      </c>
      <c r="I7"/>
      <c r="J7" s="269">
        <f>'Financials Summary'!J7</f>
        <v>559640.99699999997</v>
      </c>
      <c r="K7" s="269">
        <f>'Financials Summary'!K7</f>
        <v>622029.49790804414</v>
      </c>
      <c r="L7" s="269">
        <f>'Financials Summary'!L7</f>
        <v>689957.22583864792</v>
      </c>
      <c r="M7" s="269">
        <f>'Financials Summary'!M7</f>
        <v>763394.09155672102</v>
      </c>
      <c r="N7" s="269">
        <f>'Financials Summary'!N7</f>
        <v>842173.59956358478</v>
      </c>
      <c r="S7" s="270"/>
    </row>
    <row r="8" spans="1:19" s="267" customFormat="1" ht="15" customHeight="1" x14ac:dyDescent="0.45">
      <c r="B8" s="284" t="s">
        <v>34</v>
      </c>
      <c r="C8" s="284"/>
      <c r="D8" s="285">
        <f>'Financials Summary'!D9</f>
        <v>93731</v>
      </c>
      <c r="E8" s="285">
        <f>'Financials Summary'!E9</f>
        <v>114986</v>
      </c>
      <c r="F8" s="285">
        <f>'Financials Summary'!F9</f>
        <v>152757</v>
      </c>
      <c r="G8" s="285">
        <f>'Financials Summary'!G9</f>
        <v>197478</v>
      </c>
      <c r="H8" s="285">
        <f>'Financials Summary'!H9</f>
        <v>225152</v>
      </c>
      <c r="I8"/>
      <c r="J8" s="285">
        <f>'Financials Summary'!J9</f>
        <v>256474.05724743527</v>
      </c>
      <c r="K8" s="285">
        <f>'Financials Summary'!K9</f>
        <v>288225.65401497897</v>
      </c>
      <c r="L8" s="285">
        <f>'Financials Summary'!L9</f>
        <v>318927.35571411467</v>
      </c>
      <c r="M8" s="285">
        <f>'Financials Summary'!M9</f>
        <v>352017.12861858105</v>
      </c>
      <c r="N8" s="285">
        <f>'Financials Summary'!N9</f>
        <v>387399.85579924897</v>
      </c>
      <c r="S8" s="270"/>
    </row>
    <row r="9" spans="1:19" s="267" customFormat="1" ht="15" customHeight="1" x14ac:dyDescent="0.45">
      <c r="B9" s="268" t="s">
        <v>568</v>
      </c>
      <c r="C9" s="268"/>
      <c r="D9" s="269">
        <f>'Financials Summary'!D11</f>
        <v>34027</v>
      </c>
      <c r="E9" s="269">
        <f>'Financials Summary'!E11</f>
        <v>40231</v>
      </c>
      <c r="F9" s="269">
        <f>'Financials Summary'!F11</f>
        <v>58516</v>
      </c>
      <c r="G9" s="269">
        <f>'Financials Summary'!G11</f>
        <v>75111</v>
      </c>
      <c r="H9" s="269">
        <f>'Financials Summary'!H11</f>
        <v>84299</v>
      </c>
      <c r="I9"/>
      <c r="J9" s="269">
        <f>'Financials Summary'!J11</f>
        <v>91520.767873729754</v>
      </c>
      <c r="K9" s="269">
        <f>'Financials Summary'!K11</f>
        <v>100103.78826459442</v>
      </c>
      <c r="L9" s="269">
        <f>'Financials Summary'!L11</f>
        <v>109671.43065885657</v>
      </c>
      <c r="M9" s="269">
        <f>'Financials Summary'!M11</f>
        <v>119835.29759364319</v>
      </c>
      <c r="N9" s="269">
        <f>'Financials Summary'!N11</f>
        <v>130536.90793235564</v>
      </c>
      <c r="S9" s="270"/>
    </row>
    <row r="10" spans="1:19" s="267" customFormat="1" ht="15" customHeight="1" x14ac:dyDescent="0.45">
      <c r="B10" s="268" t="s">
        <v>569</v>
      </c>
      <c r="C10" s="268"/>
      <c r="D10" s="269">
        <f>'Financials Summary'!D12</f>
        <v>16572</v>
      </c>
      <c r="E10" s="269">
        <f>'Financials Summary'!E12</f>
        <v>35932</v>
      </c>
      <c r="F10" s="269">
        <f>'Financials Summary'!F12</f>
        <v>42738</v>
      </c>
      <c r="G10" s="269">
        <f>'Financials Summary'!G12</f>
        <v>56052</v>
      </c>
      <c r="H10" s="269">
        <f>'Financials Summary'!H12</f>
        <v>73213</v>
      </c>
      <c r="I10"/>
      <c r="J10" s="269">
        <f>'Financials Summary'!J12</f>
        <v>81349.801625838809</v>
      </c>
      <c r="K10" s="269">
        <f>'Financials Summary'!K12</f>
        <v>91417.759274984171</v>
      </c>
      <c r="L10" s="269">
        <f>'Financials Summary'!L12</f>
        <v>102673.4177879312</v>
      </c>
      <c r="M10" s="269">
        <f>'Financials Summary'!M12</f>
        <v>115009.62536136208</v>
      </c>
      <c r="N10" s="269">
        <f>'Financials Summary'!N12</f>
        <v>128431.47393344667</v>
      </c>
      <c r="S10" s="270"/>
    </row>
    <row r="11" spans="1:19" s="267" customFormat="1" ht="15" customHeight="1" x14ac:dyDescent="0.45">
      <c r="B11" s="268" t="s">
        <v>583</v>
      </c>
      <c r="C11" s="268"/>
      <c r="D11" s="269">
        <f>'Financials Summary'!D13</f>
        <v>26079</v>
      </c>
      <c r="E11" s="269">
        <f>'Financials Summary'!E13</f>
        <v>18879</v>
      </c>
      <c r="F11" s="269">
        <f>'Financials Summary'!F13</f>
        <v>22010</v>
      </c>
      <c r="G11" s="269">
        <f>'Financials Summary'!G13</f>
        <v>32551</v>
      </c>
      <c r="H11" s="269">
        <f>'Financials Summary'!H13</f>
        <v>42238</v>
      </c>
      <c r="I11"/>
      <c r="J11" s="269">
        <f>'Financials Summary'!J13</f>
        <v>43843.280565354085</v>
      </c>
      <c r="K11" s="269">
        <f>'Financials Summary'!K13</f>
        <v>46110.508647121074</v>
      </c>
      <c r="L11" s="269">
        <f>'Financials Summary'!L13</f>
        <v>51346.218888374497</v>
      </c>
      <c r="M11" s="269">
        <f>'Financials Summary'!M13</f>
        <v>57032.952477531362</v>
      </c>
      <c r="N11" s="269">
        <f>'Financials Summary'!N13</f>
        <v>63163.019967268854</v>
      </c>
      <c r="S11" s="270"/>
    </row>
    <row r="12" spans="1:19" s="267" customFormat="1" ht="15" customHeight="1" x14ac:dyDescent="0.45">
      <c r="B12" s="284" t="s">
        <v>614</v>
      </c>
      <c r="C12" s="284"/>
      <c r="D12" s="285">
        <f>'Financials Summary'!D14</f>
        <v>4633</v>
      </c>
      <c r="E12" s="285">
        <f>'Financials Summary'!E14</f>
        <v>5404</v>
      </c>
      <c r="F12" s="285">
        <f>'Financials Summary'!F14</f>
        <v>6594</v>
      </c>
      <c r="G12" s="285">
        <f>'Financials Summary'!G14</f>
        <v>8885</v>
      </c>
      <c r="H12" s="285">
        <f>'Financials Summary'!H14</f>
        <v>13154</v>
      </c>
      <c r="I12"/>
      <c r="J12" s="285">
        <f>'Financials Summary'!J14</f>
        <v>12945.932682667431</v>
      </c>
      <c r="K12" s="285">
        <f>'Financials Summary'!K14</f>
        <v>13995.66370293095</v>
      </c>
      <c r="L12" s="285">
        <f>'Financials Summary'!L14</f>
        <v>13454.165903853602</v>
      </c>
      <c r="M12" s="285">
        <f>'Financials Summary'!M14</f>
        <v>12596.002510685877</v>
      </c>
      <c r="N12" s="285">
        <f>'Financials Summary'!N14</f>
        <v>11369.343594108395</v>
      </c>
      <c r="S12" s="270"/>
    </row>
    <row r="13" spans="1:19" s="267" customFormat="1" ht="15" customHeight="1" x14ac:dyDescent="0.45">
      <c r="B13" s="268" t="s">
        <v>545</v>
      </c>
      <c r="C13" s="268"/>
      <c r="D13" s="269">
        <f>'Financials Summary'!D15</f>
        <v>12420</v>
      </c>
      <c r="E13" s="269">
        <f>'Financials Summary'!E15</f>
        <v>14540</v>
      </c>
      <c r="F13" s="269">
        <f>'Financials Summary'!F15</f>
        <v>22899</v>
      </c>
      <c r="G13" s="269">
        <f>'Financials Summary'!G15</f>
        <v>24879</v>
      </c>
      <c r="H13" s="269">
        <f>'Financials Summary'!H15</f>
        <v>12248</v>
      </c>
      <c r="I13"/>
      <c r="J13" s="269">
        <f>'Financials Summary'!J15</f>
        <v>26814.274499845196</v>
      </c>
      <c r="K13" s="269">
        <f>'Financials Summary'!K15</f>
        <v>36597.934125348344</v>
      </c>
      <c r="L13" s="269">
        <f>'Financials Summary'!L15</f>
        <v>41782.122475098819</v>
      </c>
      <c r="M13" s="269">
        <f>'Financials Summary'!M15</f>
        <v>47543.250675358577</v>
      </c>
      <c r="N13" s="269">
        <f>'Financials Summary'!N15</f>
        <v>53899.110372069408</v>
      </c>
      <c r="S13" s="270"/>
    </row>
    <row r="14" spans="1:19" s="267" customFormat="1" ht="15" customHeight="1" x14ac:dyDescent="0.45">
      <c r="B14" s="268" t="s">
        <v>1</v>
      </c>
      <c r="C14" s="268"/>
      <c r="D14" s="269">
        <f>'Financials Summary'!D28</f>
        <v>27761</v>
      </c>
      <c r="E14" s="269">
        <f>'Financials Summary'!E28</f>
        <v>36329</v>
      </c>
      <c r="F14" s="269">
        <f>'Financials Summary'!F28</f>
        <v>48150</v>
      </c>
      <c r="G14" s="269">
        <f>'Financials Summary'!G28</f>
        <v>59175</v>
      </c>
      <c r="H14" s="269">
        <f>'Financials Summary'!H28</f>
        <v>53709</v>
      </c>
      <c r="I14"/>
      <c r="J14" s="269">
        <f>'Financials Summary'!J28</f>
        <v>73152.549051445181</v>
      </c>
      <c r="K14" s="269">
        <f>'Financials Summary'!K28</f>
        <v>87565.476110188698</v>
      </c>
      <c r="L14" s="269">
        <f>'Financials Summary'!L28</f>
        <v>97565.164184153517</v>
      </c>
      <c r="M14" s="269">
        <f>'Financials Summary'!M28</f>
        <v>108261.70823255129</v>
      </c>
      <c r="N14" s="269">
        <f>'Financials Summary'!N28</f>
        <v>119588.65113802903</v>
      </c>
      <c r="S14" s="270"/>
    </row>
    <row r="15" spans="1:19" s="267" customFormat="1" ht="15" customHeight="1" x14ac:dyDescent="0.45">
      <c r="B15" s="284" t="s">
        <v>2</v>
      </c>
      <c r="C15" s="284"/>
      <c r="D15" s="285">
        <f>'Financials Summary'!D23</f>
        <v>10073</v>
      </c>
      <c r="E15" s="285">
        <f>'Financials Summary'!E23</f>
        <v>11588</v>
      </c>
      <c r="F15" s="285">
        <f>'Financials Summary'!F23</f>
        <v>21331</v>
      </c>
      <c r="G15" s="285">
        <f>'Financials Summary'!G23</f>
        <v>33364</v>
      </c>
      <c r="H15" s="285">
        <f>'Financials Summary'!H23</f>
        <v>-2722</v>
      </c>
      <c r="I15"/>
      <c r="J15" s="285">
        <f ca="1">'Financials Summary'!J23</f>
        <v>6701.6678197610308</v>
      </c>
      <c r="K15" s="285">
        <f ca="1">'Financials Summary'!K23</f>
        <v>12385.143671935826</v>
      </c>
      <c r="L15" s="285">
        <f ca="1">'Financials Summary'!L23</f>
        <v>14210.659802407417</v>
      </c>
      <c r="M15" s="285">
        <f ca="1">'Financials Summary'!M23</f>
        <v>16333.686833574848</v>
      </c>
      <c r="N15" s="285">
        <f ca="1">'Financials Summary'!N23</f>
        <v>18776.188453909625</v>
      </c>
      <c r="S15" s="270"/>
    </row>
    <row r="16" spans="1:19" s="267" customFormat="1" ht="15" customHeight="1" x14ac:dyDescent="0.45">
      <c r="B16" s="275" t="s">
        <v>554</v>
      </c>
      <c r="C16" s="275"/>
      <c r="D16" s="276">
        <f>'Financials Summary'!D73</f>
        <v>17298</v>
      </c>
      <c r="E16" s="276">
        <f>'Financials Summary'!E73</f>
        <v>21654</v>
      </c>
      <c r="F16" s="276">
        <f>'Financials Summary'!F73</f>
        <v>25923</v>
      </c>
      <c r="G16" s="276">
        <f>'Financials Summary'!G73</f>
        <v>-14726</v>
      </c>
      <c r="H16" s="276">
        <f>'Financials Summary'!H73</f>
        <v>-16893</v>
      </c>
      <c r="I16"/>
      <c r="J16" s="276">
        <f ca="1">'Financials Summary'!J73</f>
        <v>19971.611247731053</v>
      </c>
      <c r="K16" s="276">
        <f ca="1">'Financials Summary'!K73</f>
        <v>22769.353948925418</v>
      </c>
      <c r="L16" s="276">
        <f ca="1">'Financials Summary'!L73</f>
        <v>26555.365353964429</v>
      </c>
      <c r="M16" s="276">
        <f ca="1">'Financials Summary'!M73</f>
        <v>30009.965846049716</v>
      </c>
      <c r="N16" s="276">
        <f ca="1">'Financials Summary'!N73</f>
        <v>33669.553107560627</v>
      </c>
      <c r="S16" s="270"/>
    </row>
    <row r="18" spans="2:15" ht="15" customHeight="1" x14ac:dyDescent="0.45">
      <c r="B18" s="283" t="s">
        <v>560</v>
      </c>
      <c r="C18" s="283"/>
      <c r="D18" s="278"/>
      <c r="E18" s="278"/>
      <c r="F18" s="278"/>
      <c r="G18" s="278"/>
      <c r="H18" s="278"/>
      <c r="I18" s="282"/>
      <c r="J18" s="278"/>
      <c r="K18" s="278"/>
      <c r="L18" s="278"/>
      <c r="M18" s="278"/>
      <c r="N18" s="278"/>
    </row>
    <row r="19" spans="2:15" ht="15" customHeight="1" x14ac:dyDescent="0.45">
      <c r="D19" s="279" t="s">
        <v>109</v>
      </c>
      <c r="E19" s="280"/>
      <c r="F19" s="280"/>
      <c r="G19" s="280"/>
      <c r="H19" s="280"/>
      <c r="J19" s="279" t="s">
        <v>540</v>
      </c>
      <c r="K19" s="280"/>
      <c r="L19" s="280"/>
      <c r="M19" s="280"/>
      <c r="N19" s="280"/>
    </row>
    <row r="20" spans="2:15" ht="15" customHeight="1" x14ac:dyDescent="0.45">
      <c r="B20" s="264"/>
      <c r="C20" s="264"/>
      <c r="D20" s="265">
        <v>2018</v>
      </c>
      <c r="E20" s="265">
        <f t="shared" ref="E20" si="1">D20+1</f>
        <v>2019</v>
      </c>
      <c r="F20" s="265">
        <f t="shared" ref="F20" si="2">E20+1</f>
        <v>2020</v>
      </c>
      <c r="G20" s="265">
        <f t="shared" ref="G20" si="3">F20+1</f>
        <v>2021</v>
      </c>
      <c r="H20" s="265">
        <f t="shared" ref="H20" si="4">G20+1</f>
        <v>2022</v>
      </c>
      <c r="J20" s="266">
        <f>H20+1</f>
        <v>2023</v>
      </c>
      <c r="K20" s="266">
        <f t="shared" ref="K20" si="5">J20+1</f>
        <v>2024</v>
      </c>
      <c r="L20" s="266">
        <f t="shared" ref="L20" si="6">K20+1</f>
        <v>2025</v>
      </c>
      <c r="M20" s="266">
        <f t="shared" ref="M20" si="7">L20+1</f>
        <v>2026</v>
      </c>
      <c r="N20" s="266">
        <f t="shared" ref="N20" si="8">M20+1</f>
        <v>2027</v>
      </c>
    </row>
    <row r="21" spans="2:15" ht="15" customHeight="1" x14ac:dyDescent="0.45">
      <c r="B21" s="268" t="s">
        <v>558</v>
      </c>
      <c r="D21" s="294">
        <f>D8/D$7</f>
        <v>0.40247416128852193</v>
      </c>
      <c r="E21" s="294">
        <f t="shared" ref="E21:H21" si="9">E8/E$7</f>
        <v>0.40990011478600608</v>
      </c>
      <c r="F21" s="294">
        <f t="shared" si="9"/>
        <v>0.3956779186870571</v>
      </c>
      <c r="G21" s="294">
        <f t="shared" si="9"/>
        <v>0.42032514441639601</v>
      </c>
      <c r="H21" s="294">
        <f t="shared" si="9"/>
        <v>0.43805339865326287</v>
      </c>
      <c r="J21" s="294">
        <f t="shared" ref="J21:N21" si="10">J8/J$7</f>
        <v>0.45828318265152984</v>
      </c>
      <c r="K21" s="294">
        <f t="shared" si="10"/>
        <v>0.46336332116774942</v>
      </c>
      <c r="L21" s="294">
        <f t="shared" si="10"/>
        <v>0.46224221411183308</v>
      </c>
      <c r="M21" s="294">
        <f t="shared" si="10"/>
        <v>0.46112110705591675</v>
      </c>
      <c r="N21" s="294">
        <f t="shared" si="10"/>
        <v>0.45999999999999996</v>
      </c>
      <c r="O21"/>
    </row>
    <row r="22" spans="2:15" ht="15" customHeight="1" x14ac:dyDescent="0.45">
      <c r="B22" s="268" t="s">
        <v>557</v>
      </c>
      <c r="D22" s="294">
        <f>D13/D$7</f>
        <v>5.3330585219441187E-2</v>
      </c>
      <c r="E22" s="294">
        <f t="shared" ref="E22:H22" si="11">E13/E$7</f>
        <v>5.1831941879781268E-2</v>
      </c>
      <c r="F22" s="294">
        <f t="shared" si="11"/>
        <v>5.9313999751336569E-2</v>
      </c>
      <c r="G22" s="294">
        <f t="shared" si="11"/>
        <v>5.2954097509269465E-2</v>
      </c>
      <c r="H22" s="294">
        <f t="shared" si="11"/>
        <v>2.3829581912242232E-2</v>
      </c>
      <c r="J22" s="294">
        <f t="shared" ref="J22:N22" si="12">J13/J$7</f>
        <v>4.7913349171317406E-2</v>
      </c>
      <c r="K22" s="294">
        <f t="shared" si="12"/>
        <v>5.8836332116774775E-2</v>
      </c>
      <c r="L22" s="294">
        <f t="shared" si="12"/>
        <v>6.0557554744516733E-2</v>
      </c>
      <c r="M22" s="294">
        <f t="shared" si="12"/>
        <v>6.2278777372258537E-2</v>
      </c>
      <c r="N22" s="294">
        <f t="shared" si="12"/>
        <v>6.3999999999999974E-2</v>
      </c>
    </row>
    <row r="23" spans="2:15" ht="15" customHeight="1" x14ac:dyDescent="0.45">
      <c r="B23" s="268" t="s">
        <v>546</v>
      </c>
      <c r="D23" s="294">
        <f>D14/D$7</f>
        <v>0.11920373399975095</v>
      </c>
      <c r="E23" s="294">
        <f t="shared" ref="E23:H23" si="13">E14/E$7</f>
        <v>0.1295049942606997</v>
      </c>
      <c r="F23" s="294">
        <f t="shared" si="13"/>
        <v>0.12472025363670272</v>
      </c>
      <c r="G23" s="294">
        <f t="shared" si="13"/>
        <v>0.1259519562728012</v>
      </c>
      <c r="H23" s="294">
        <f t="shared" si="13"/>
        <v>0.10449567398143518</v>
      </c>
      <c r="J23" s="294">
        <f t="shared" ref="J23:N23" si="14">J14/J$7</f>
        <v>0.13071334917131738</v>
      </c>
      <c r="K23" s="294">
        <f t="shared" si="14"/>
        <v>0.14077383211677474</v>
      </c>
      <c r="L23" s="294">
        <f t="shared" si="14"/>
        <v>0.14140755474451674</v>
      </c>
      <c r="M23" s="294">
        <f t="shared" si="14"/>
        <v>0.14181627737225855</v>
      </c>
      <c r="N23" s="294">
        <f t="shared" si="14"/>
        <v>0.14199999999999999</v>
      </c>
    </row>
    <row r="24" spans="2:15" ht="15" customHeight="1" x14ac:dyDescent="0.45">
      <c r="B24" s="284" t="s">
        <v>553</v>
      </c>
      <c r="C24" s="284"/>
      <c r="D24" s="295">
        <f>D15/D$7</f>
        <v>4.3252736305590261E-2</v>
      </c>
      <c r="E24" s="295">
        <f t="shared" ref="E24:H24" si="15">E15/E$7</f>
        <v>4.1308703060722513E-2</v>
      </c>
      <c r="F24" s="295">
        <f t="shared" si="15"/>
        <v>5.5252496995316841E-2</v>
      </c>
      <c r="G24" s="295">
        <f t="shared" si="15"/>
        <v>7.1014128755145567E-2</v>
      </c>
      <c r="H24" s="295">
        <f t="shared" si="15"/>
        <v>-5.2958950004183018E-3</v>
      </c>
      <c r="J24" s="295">
        <f t="shared" ref="J24:N24" ca="1" si="16">J15/J$7</f>
        <v>1.1974940820429264E-2</v>
      </c>
      <c r="K24" s="295">
        <f t="shared" ca="1" si="16"/>
        <v>1.9910862288024075E-2</v>
      </c>
      <c r="L24" s="295">
        <f t="shared" ca="1" si="16"/>
        <v>2.0596435938668892E-2</v>
      </c>
      <c r="M24" s="295">
        <f t="shared" ca="1" si="16"/>
        <v>2.1396139967846787E-2</v>
      </c>
      <c r="N24" s="295">
        <f t="shared" ca="1" si="16"/>
        <v>2.2294914568254651E-2</v>
      </c>
    </row>
    <row r="25" spans="2:15" ht="15" customHeight="1" x14ac:dyDescent="0.45">
      <c r="B25" s="268" t="s">
        <v>559</v>
      </c>
      <c r="D25" s="296">
        <f>D16/D7</f>
        <v>7.4276365791134752E-2</v>
      </c>
      <c r="E25" s="296">
        <f t="shared" ref="E25:H25" si="17">E16/E7</f>
        <v>7.7191806703217569E-2</v>
      </c>
      <c r="F25" s="296">
        <f t="shared" si="17"/>
        <v>6.7146897923660326E-2</v>
      </c>
      <c r="G25" s="296">
        <f t="shared" si="17"/>
        <v>-3.1343785518770942E-2</v>
      </c>
      <c r="H25" s="296">
        <f t="shared" si="17"/>
        <v>-3.2866845790619534E-2</v>
      </c>
      <c r="J25" s="296">
        <f t="shared" ref="J25:N25" ca="1" si="18">J16/J7</f>
        <v>3.5686469280825493E-2</v>
      </c>
      <c r="K25" s="296">
        <f t="shared" ca="1" si="18"/>
        <v>3.6604942411093591E-2</v>
      </c>
      <c r="L25" s="296">
        <f t="shared" ca="1" si="18"/>
        <v>3.8488422701401806E-2</v>
      </c>
      <c r="M25" s="296">
        <f t="shared" ca="1" si="18"/>
        <v>3.9311236722900343E-2</v>
      </c>
      <c r="N25" s="296">
        <f t="shared" ca="1" si="18"/>
        <v>3.9979350011693816E-2</v>
      </c>
    </row>
    <row r="26" spans="2:15" ht="15" customHeight="1" x14ac:dyDescent="0.45">
      <c r="B26" s="268" t="s">
        <v>574</v>
      </c>
      <c r="D26" s="269">
        <f>DCF!E19-((AMZN_BS!C30+AMZN_BS!C29+AMZN_BS!C41)*DCF!$E$27)</f>
        <v>5078.1365466336347</v>
      </c>
      <c r="E26" s="269">
        <f>DCF!F19-((AMZN_BS!D30+AMZN_BS!D29+AMZN_BS!D41)*DCF!$E$27)</f>
        <v>2128.9059445857856</v>
      </c>
      <c r="F26" s="269">
        <f>DCF!G19-((AMZN_BS!E30+AMZN_BS!E29+AMZN_BS!E41)*DCF!$E$27)</f>
        <v>5788.5816756934546</v>
      </c>
      <c r="G26" s="269">
        <f>DCF!H19-((AMZN_BS!F30+AMZN_BS!F29+AMZN_BS!F41)*DCF!$E$27)</f>
        <v>-317.54241225143051</v>
      </c>
      <c r="H26" s="269">
        <f>DCF!J19-((AMZN_BS!G30+AMZN_BS!G29+AMZN_BS!G41)*DCF!$E$27)</f>
        <v>-7466.4735400262398</v>
      </c>
      <c r="J26" s="269">
        <f ca="1">DCF!K19-((AMZN_BS!H30+AMZN_BS!H29+AMZN_BS!H41)*DCF!$E$27)</f>
        <v>331.40183251808776</v>
      </c>
      <c r="K26" s="269">
        <f ca="1">DCF!L19-((AMZN_BS!I30+AMZN_BS!I29+AMZN_BS!I41)*DCF!$E$27)</f>
        <v>5496.2598242701861</v>
      </c>
      <c r="L26" s="269">
        <f ca="1">DCF!M19-((AMZN_BS!J30+AMZN_BS!J29+AMZN_BS!J41)*DCF!$E$27)</f>
        <v>6999.6955174037175</v>
      </c>
      <c r="M26" s="269">
        <f ca="1">DCF!N19-((AMZN_BS!K30+AMZN_BS!K29+AMZN_BS!K41)*DCF!$E$27)</f>
        <v>8855.301608585527</v>
      </c>
      <c r="N26" s="269">
        <f ca="1">DCF!O19-((AMZN_BS!L30+AMZN_BS!L29+AMZN_BS!L41)*DCF!$E$27)</f>
        <v>11083.948793473595</v>
      </c>
    </row>
    <row r="27" spans="2:15" ht="15" customHeight="1" x14ac:dyDescent="0.45">
      <c r="B27" s="283" t="s">
        <v>561</v>
      </c>
      <c r="C27" s="283"/>
      <c r="D27" s="278"/>
      <c r="E27" s="278"/>
      <c r="F27" s="278"/>
      <c r="G27" s="278"/>
      <c r="H27" s="278"/>
      <c r="I27" s="282"/>
      <c r="J27" s="278"/>
      <c r="K27" s="278"/>
      <c r="L27" s="278"/>
      <c r="M27" s="278"/>
      <c r="N27" s="278"/>
    </row>
    <row r="28" spans="2:15" ht="15" customHeight="1" x14ac:dyDescent="0.45">
      <c r="B28" s="268" t="s">
        <v>562</v>
      </c>
      <c r="D28" s="269"/>
      <c r="E28" s="294">
        <f>E7/D7-1</f>
        <v>0.20454125820676983</v>
      </c>
      <c r="F28" s="294">
        <f t="shared" ref="F28:H28" si="19">F7/E7-1</f>
        <v>0.37623430604373276</v>
      </c>
      <c r="G28" s="294">
        <f t="shared" si="19"/>
        <v>0.21695366571345676</v>
      </c>
      <c r="H28" s="294">
        <f t="shared" si="19"/>
        <v>9.399517263985091E-2</v>
      </c>
      <c r="J28" s="294">
        <f>J7/H7-1</f>
        <v>8.8831725952025709E-2</v>
      </c>
      <c r="K28" s="294">
        <f t="shared" ref="K28:N28" si="20">K7/J7-1</f>
        <v>0.11147950425805586</v>
      </c>
      <c r="L28" s="294">
        <f t="shared" si="20"/>
        <v>0.10920338691179832</v>
      </c>
      <c r="M28" s="294">
        <f t="shared" si="20"/>
        <v>0.10643683835445028</v>
      </c>
      <c r="N28" s="294">
        <f t="shared" si="20"/>
        <v>0.10319638163064093</v>
      </c>
    </row>
    <row r="29" spans="2:15" ht="15" customHeight="1" x14ac:dyDescent="0.45">
      <c r="B29" s="268" t="s">
        <v>563</v>
      </c>
      <c r="D29" s="269"/>
      <c r="E29" s="294">
        <f>E13/D13-1</f>
        <v>0.17069243156199687</v>
      </c>
      <c r="F29" s="294">
        <f t="shared" ref="F29:H29" si="21">F13/E13-1</f>
        <v>0.57489683631361754</v>
      </c>
      <c r="G29" s="294">
        <f t="shared" si="21"/>
        <v>8.6466657932660729E-2</v>
      </c>
      <c r="H29" s="294">
        <f t="shared" si="21"/>
        <v>-0.50769725471281002</v>
      </c>
      <c r="J29" s="294">
        <f>J13/H13-1</f>
        <v>1.1892778004445783</v>
      </c>
      <c r="K29" s="294">
        <f t="shared" ref="K29:N29" si="22">K13/J13-1</f>
        <v>0.3648675866863238</v>
      </c>
      <c r="L29" s="294">
        <f t="shared" si="22"/>
        <v>0.1416524859571191</v>
      </c>
      <c r="M29" s="294">
        <f t="shared" si="22"/>
        <v>0.13788500581063734</v>
      </c>
      <c r="N29" s="294">
        <f t="shared" si="22"/>
        <v>0.13368584618058188</v>
      </c>
    </row>
    <row r="30" spans="2:15" ht="15" customHeight="1" x14ac:dyDescent="0.45">
      <c r="B30" s="268" t="s">
        <v>564</v>
      </c>
      <c r="D30" s="269"/>
      <c r="E30" s="294">
        <f>E14/D14-1</f>
        <v>0.30863441518677281</v>
      </c>
      <c r="F30" s="294">
        <f t="shared" ref="F30:H30" si="23">F14/E14-1</f>
        <v>0.325387431528531</v>
      </c>
      <c r="G30" s="294">
        <f t="shared" si="23"/>
        <v>0.22897196261682251</v>
      </c>
      <c r="H30" s="294">
        <f t="shared" si="23"/>
        <v>-9.2370088719898602E-2</v>
      </c>
      <c r="J30" s="294">
        <f t="shared" ref="J30:J31" si="24">J14/H14-1</f>
        <v>0.36201659035627509</v>
      </c>
      <c r="K30" s="294">
        <f t="shared" ref="K30:N30" si="25">K14/J14-1</f>
        <v>0.19702562994226613</v>
      </c>
      <c r="L30" s="294">
        <f t="shared" si="25"/>
        <v>0.11419669621143425</v>
      </c>
      <c r="M30" s="294">
        <f t="shared" si="25"/>
        <v>0.10963486955454838</v>
      </c>
      <c r="N30" s="294">
        <f t="shared" si="25"/>
        <v>0.10462556974573989</v>
      </c>
    </row>
    <row r="31" spans="2:15" ht="15" customHeight="1" x14ac:dyDescent="0.45">
      <c r="B31" s="284" t="s">
        <v>565</v>
      </c>
      <c r="C31" s="284"/>
      <c r="D31" s="285"/>
      <c r="E31" s="295">
        <f>E15/D15-1</f>
        <v>0.1504020649260398</v>
      </c>
      <c r="F31" s="295">
        <f t="shared" ref="F31:H31" si="26">F15/E15-1</f>
        <v>0.84078356920952713</v>
      </c>
      <c r="G31" s="295">
        <f t="shared" si="26"/>
        <v>0.56410857437532225</v>
      </c>
      <c r="H31" s="295">
        <f t="shared" si="26"/>
        <v>-1.0815849418534949</v>
      </c>
      <c r="J31" s="295">
        <f t="shared" ca="1" si="24"/>
        <v>-3.4620381409849488</v>
      </c>
      <c r="K31" s="295">
        <f t="shared" ref="K31:N31" ca="1" si="27">K15/J15-1</f>
        <v>0.84806886957543326</v>
      </c>
      <c r="L31" s="295">
        <f t="shared" ca="1" si="27"/>
        <v>0.14739563616109908</v>
      </c>
      <c r="M31" s="295">
        <f t="shared" ca="1" si="27"/>
        <v>0.14939679513035498</v>
      </c>
      <c r="N31" s="295">
        <f t="shared" ca="1" si="27"/>
        <v>0.14953767910586313</v>
      </c>
    </row>
    <row r="32" spans="2:15" ht="15" customHeight="1" x14ac:dyDescent="0.45">
      <c r="B32" s="275" t="s">
        <v>566</v>
      </c>
      <c r="C32" s="275"/>
      <c r="D32" s="276"/>
      <c r="E32" s="281"/>
      <c r="F32" s="281"/>
      <c r="G32" s="281">
        <f>'Financials Summary'!G26/'Financials Summary'!F26-1</f>
        <v>0.54922098304968281</v>
      </c>
      <c r="H32" s="281">
        <f>'Financials Summary'!H26/'Financials Summary'!G26-1</f>
        <v>-1.0824417078539192</v>
      </c>
      <c r="J32" s="281">
        <f ca="1">'Financials Summary'!J26/'Financials Summary'!H26-1</f>
        <v>-3.4244425068614714</v>
      </c>
      <c r="K32" s="281">
        <f ca="1">'Financials Summary'!K26/'Financials Summary'!J26-1</f>
        <v>0.84806886957543326</v>
      </c>
      <c r="L32" s="281">
        <f ca="1">'Financials Summary'!L26/'Financials Summary'!K26-1</f>
        <v>0.14739563616109908</v>
      </c>
      <c r="M32" s="281">
        <f ca="1">'Financials Summary'!M26/'Financials Summary'!L26-1</f>
        <v>0.14939679513035475</v>
      </c>
      <c r="N32" s="281">
        <f ca="1">'Financials Summary'!N26/'Financials Summary'!M26-1</f>
        <v>0.14953767910586313</v>
      </c>
    </row>
    <row r="33" spans="2:14" ht="15" customHeight="1" x14ac:dyDescent="0.45">
      <c r="B33" s="283" t="s">
        <v>567</v>
      </c>
      <c r="C33" s="283"/>
      <c r="D33" s="278"/>
      <c r="E33" s="278"/>
      <c r="F33" s="278"/>
      <c r="G33" s="278"/>
      <c r="H33" s="278"/>
      <c r="I33" s="282"/>
      <c r="J33" s="278"/>
      <c r="K33" s="278"/>
      <c r="L33" s="278"/>
      <c r="M33" s="278"/>
      <c r="N33" s="278"/>
    </row>
    <row r="34" spans="2:14" ht="15" customHeight="1" x14ac:dyDescent="0.45">
      <c r="B34" s="268" t="s">
        <v>548</v>
      </c>
      <c r="D34" s="289"/>
      <c r="E34" s="289"/>
      <c r="F34" s="289">
        <f>DCF!$F$103/'Financials Summary'!F26</f>
        <v>50.413909333833388</v>
      </c>
      <c r="G34" s="289">
        <f>DCF!$F$103/'Financials Summary'!G26</f>
        <v>32.541457858769931</v>
      </c>
      <c r="H34" s="289">
        <f>DCF!$F$103/'Financials Summary'!H26</f>
        <v>-394.72081190301253</v>
      </c>
      <c r="J34" s="289">
        <f ca="1">DCF!$F$103/'Financials Summary'!J26</f>
        <v>162.80889762735305</v>
      </c>
      <c r="K34" s="289">
        <f ca="1">DCF!$F$103/'Financials Summary'!K26</f>
        <v>88.096769718736738</v>
      </c>
      <c r="L34" s="289">
        <f ca="1">DCF!$F$103/'Financials Summary'!L26</f>
        <v>76.779767102380362</v>
      </c>
      <c r="M34" s="289">
        <f ca="1">DCF!$F$103/'Financials Summary'!M26</f>
        <v>66.800053234594799</v>
      </c>
      <c r="N34" s="289">
        <f ca="1">DCF!$F$103/'Financials Summary'!N26</f>
        <v>58.110364234910001</v>
      </c>
    </row>
    <row r="35" spans="2:14" ht="15" customHeight="1" x14ac:dyDescent="0.45">
      <c r="B35" s="268" t="s">
        <v>570</v>
      </c>
      <c r="D35" s="288"/>
      <c r="E35" s="288"/>
      <c r="F35" s="288">
        <f>DCF!$F$103/(F7/AMZN_IS!E45)</f>
        <v>2.7854943739898048</v>
      </c>
      <c r="G35" s="288">
        <f>DCF!$F$103/(G7/AMZN_IS!F45)</f>
        <v>2.3109032782628316</v>
      </c>
      <c r="H35" s="288">
        <f>DCF!$F$103/(H7/AMZN_IS!G45)</f>
        <v>2.0903999743182169</v>
      </c>
      <c r="I35" s="298"/>
      <c r="J35" s="288">
        <f>DCF!$F$103/(J7/AMZN_IS!H45)</f>
        <v>1.9496269141268792</v>
      </c>
      <c r="K35" s="288">
        <f>DCF!$F$103/(K7/AMZN_IS!I45)</f>
        <v>1.7540826498895365</v>
      </c>
      <c r="L35" s="288">
        <f>DCF!$F$103/(L7/AMZN_IS!J45)</f>
        <v>1.5813895545100944</v>
      </c>
      <c r="M35" s="288">
        <f>DCF!$F$103/(M7/AMZN_IS!K45)</f>
        <v>1.4292632888670069</v>
      </c>
      <c r="N35" s="288">
        <f>DCF!$F$103/(N7/AMZN_IS!L45)</f>
        <v>1.295565606147479</v>
      </c>
    </row>
    <row r="36" spans="2:14" ht="15" customHeight="1" x14ac:dyDescent="0.45">
      <c r="B36" s="268" t="s">
        <v>549</v>
      </c>
      <c r="D36" s="288"/>
      <c r="E36" s="288"/>
      <c r="F36" s="288">
        <f>DCF!$F$103/(AMZN_BS!E41/AMZN_IS!E45)</f>
        <v>11.51320179007323</v>
      </c>
      <c r="G36" s="288">
        <f>DCF!$F$103/(AMZN_BS!F41/AMZN_IS!F45)</f>
        <v>7.8535440703099573</v>
      </c>
      <c r="H36" s="288">
        <f>DCF!$F$103/(AMZN_BS!G41/AMZN_IS!G45)</f>
        <v>7.3569431605759954</v>
      </c>
      <c r="I36" s="298"/>
      <c r="J36" s="288">
        <f ca="1">DCF!$F$103/(AMZN_BS!H41/AMZN_IS!H45)</f>
        <v>7.1432356073305909</v>
      </c>
      <c r="K36" s="288">
        <f ca="1">DCF!$F$103/(AMZN_BS!I41/AMZN_IS!I45)</f>
        <v>6.6074752956092535</v>
      </c>
      <c r="L36" s="288">
        <f ca="1">DCF!$F$103/(AMZN_BS!J41/AMZN_IS!J45)</f>
        <v>6.0839092377018247</v>
      </c>
      <c r="M36" s="288">
        <f ca="1">DCF!$F$103/(AMZN_BS!K41/AMZN_IS!K45)</f>
        <v>5.5760615527373485</v>
      </c>
      <c r="N36" s="288">
        <f ca="1">DCF!$F$103/(AMZN_BS!L41/AMZN_IS!L45)</f>
        <v>5.0878497861736438</v>
      </c>
    </row>
    <row r="37" spans="2:14" ht="15" customHeight="1" x14ac:dyDescent="0.45">
      <c r="B37" s="284" t="s">
        <v>551</v>
      </c>
      <c r="C37" s="284"/>
      <c r="D37" s="297"/>
      <c r="E37" s="297"/>
      <c r="F37" s="297">
        <f>DCF!$F$103/(F16/AMZN_IS!E45)</f>
        <v>41.483589862284461</v>
      </c>
      <c r="G37" s="297">
        <f>DCF!$F$103/(G16/AMZN_IS!F45)</f>
        <v>-73.727638190954778</v>
      </c>
      <c r="H37" s="297">
        <f>DCF!$F$103/(H16/AMZN_IS!G45)</f>
        <v>-63.602086663114896</v>
      </c>
      <c r="I37" s="298"/>
      <c r="J37" s="297">
        <f ca="1">DCF!$F$103/(J16/AMZN_IS!H45)</f>
        <v>54.632104363835815</v>
      </c>
      <c r="K37" s="297">
        <f ca="1">DCF!$F$103/(K16/AMZN_IS!I45)</f>
        <v>47.919284510551222</v>
      </c>
      <c r="L37" s="297">
        <f ca="1">DCF!$F$103/(L16/AMZN_IS!J45)</f>
        <v>41.087408719726461</v>
      </c>
      <c r="M37" s="297">
        <f ca="1">DCF!$F$103/(M16/AMZN_IS!K45)</f>
        <v>36.357627182825432</v>
      </c>
      <c r="N37" s="297">
        <f ca="1">DCF!$F$103/(N16/AMZN_IS!L45)</f>
        <v>32.405869674432694</v>
      </c>
    </row>
    <row r="38" spans="2:14" ht="15" customHeight="1" x14ac:dyDescent="0.45">
      <c r="B38" s="268" t="s">
        <v>60</v>
      </c>
      <c r="D38" s="288">
        <f>'Relative Valuation &amp; WACC'!$F$5/'Valuation Summary'!D14</f>
        <v>39.061456719858796</v>
      </c>
      <c r="E38" s="288">
        <f>'Relative Valuation &amp; WACC'!$F$5/'Valuation Summary'!E14</f>
        <v>29.849021442924389</v>
      </c>
      <c r="F38" s="288">
        <f>'Relative Valuation &amp; WACC'!$F$5/'Valuation Summary'!F14</f>
        <v>22.520978193146419</v>
      </c>
      <c r="G38" s="288">
        <f>'Relative Valuation &amp; WACC'!$F$5/'Valuation Summary'!G14</f>
        <v>18.325054499366288</v>
      </c>
      <c r="H38" s="288">
        <f>'Relative Valuation &amp; WACC'!$F$5/'Valuation Summary'!H14</f>
        <v>20.190007261352847</v>
      </c>
      <c r="I38" s="298"/>
      <c r="J38" s="288">
        <f>'Relative Valuation &amp; WACC'!$F$5/'Valuation Summary'!J14</f>
        <v>14.823613313015198</v>
      </c>
      <c r="K38" s="288">
        <f>'Relative Valuation &amp; WACC'!$F$5/'Valuation Summary'!K14</f>
        <v>12.383705864117676</v>
      </c>
      <c r="L38" s="288">
        <f>'Relative Valuation &amp; WACC'!$F$5/'Valuation Summary'!L14</f>
        <v>11.114470098704814</v>
      </c>
      <c r="M38" s="288">
        <f>'Relative Valuation &amp; WACC'!$F$5/'Valuation Summary'!M14</f>
        <v>10.016330960441612</v>
      </c>
      <c r="N38" s="288">
        <f>'Relative Valuation &amp; WACC'!$F$5/'Valuation Summary'!N14</f>
        <v>9.0676254785113723</v>
      </c>
    </row>
    <row r="39" spans="2:14" ht="15" customHeight="1" x14ac:dyDescent="0.45">
      <c r="B39" s="284" t="s">
        <v>571</v>
      </c>
      <c r="C39" s="284"/>
      <c r="D39" s="297">
        <f>'Relative Valuation &amp; WACC'!$F$5/'Valuation Summary'!D13</f>
        <v>87.309589371980678</v>
      </c>
      <c r="E39" s="297">
        <f>'Relative Valuation &amp; WACC'!$F$5/'Valuation Summary'!E13</f>
        <v>74.579442916093541</v>
      </c>
      <c r="F39" s="297">
        <f>'Relative Valuation &amp; WACC'!$F$5/'Valuation Summary'!F13</f>
        <v>47.355129044936461</v>
      </c>
      <c r="G39" s="297">
        <f>'Relative Valuation &amp; WACC'!$F$5/'Valuation Summary'!G13</f>
        <v>43.586361992041482</v>
      </c>
      <c r="H39" s="297">
        <f>'Relative Valuation &amp; WACC'!$F$5/'Valuation Summary'!H13</f>
        <v>88.535687459177012</v>
      </c>
      <c r="I39" s="298"/>
      <c r="J39" s="297">
        <f>'Relative Valuation &amp; WACC'!$F$5/'Valuation Summary'!J13</f>
        <v>40.440590701279667</v>
      </c>
      <c r="K39" s="297">
        <f>'Relative Valuation &amp; WACC'!$F$5/'Valuation Summary'!K13</f>
        <v>29.62968063404805</v>
      </c>
      <c r="L39" s="297">
        <f>'Relative Valuation &amp; WACC'!$F$5/'Valuation Summary'!L13</f>
        <v>25.953327302754154</v>
      </c>
      <c r="M39" s="297">
        <f>'Relative Valuation &amp; WACC'!$F$5/'Valuation Summary'!M13</f>
        <v>22.808392034540276</v>
      </c>
      <c r="N39" s="297">
        <f>'Relative Valuation &amp; WACC'!$F$5/'Valuation Summary'!N13</f>
        <v>20.118794030447113</v>
      </c>
    </row>
    <row r="40" spans="2:14" ht="15" customHeight="1" x14ac:dyDescent="0.45">
      <c r="B40" s="275" t="s">
        <v>550</v>
      </c>
      <c r="C40" s="275"/>
      <c r="D40" s="276"/>
      <c r="E40" s="276"/>
      <c r="F40" s="281">
        <f>(F16/AMZN_IS!E45)/DCF!$F$103</f>
        <v>2.4105917624770649E-2</v>
      </c>
      <c r="G40" s="281">
        <f>(G16/AMZN_IS!F45)/DCF!$F$103</f>
        <v>-1.3563434616066194E-2</v>
      </c>
      <c r="H40" s="281">
        <f>(H16/AMZN_IS!G45)/DCF!$F$103</f>
        <v>-1.5722754589747374E-2</v>
      </c>
      <c r="J40" s="281">
        <f ca="1">(J16/AMZN_IS!H45)/DCF!$F$103</f>
        <v>1.8304255558970531E-2</v>
      </c>
      <c r="K40" s="281">
        <f ca="1">(K16/AMZN_IS!I45)/DCF!$F$103</f>
        <v>2.0868425107219882E-2</v>
      </c>
      <c r="L40" s="281">
        <f ca="1">(L16/AMZN_IS!J45)/DCF!$F$103</f>
        <v>2.4338356473668058E-2</v>
      </c>
      <c r="M40" s="281">
        <f ca="1">(M16/AMZN_IS!K45)/DCF!$F$103</f>
        <v>2.7504545194092827E-2</v>
      </c>
      <c r="N40" s="281">
        <f ca="1">(N16/AMZN_IS!L45)/DCF!$F$103</f>
        <v>3.0858607099471594E-2</v>
      </c>
    </row>
    <row r="41" spans="2:14" ht="15" customHeight="1" x14ac:dyDescent="0.45">
      <c r="B41" s="283" t="s">
        <v>572</v>
      </c>
      <c r="C41" s="283"/>
      <c r="D41" s="278"/>
      <c r="E41" s="278"/>
      <c r="F41" s="278"/>
      <c r="G41" s="278"/>
      <c r="H41" s="278"/>
      <c r="I41" s="282"/>
      <c r="J41" s="278"/>
      <c r="K41" s="278"/>
      <c r="L41" s="278"/>
      <c r="M41" s="278"/>
      <c r="N41" s="278"/>
    </row>
    <row r="42" spans="2:14" ht="15" customHeight="1" x14ac:dyDescent="0.45">
      <c r="B42" s="268" t="s">
        <v>361</v>
      </c>
      <c r="D42" s="300">
        <f>AMZN_BS!C12/AMZN_BS!C26</f>
        <v>1.0981123247210891</v>
      </c>
      <c r="E42" s="300">
        <f>AMZN_BS!D12/AMZN_BS!D26</f>
        <v>1.0970482394205803</v>
      </c>
      <c r="F42" s="300">
        <f>AMZN_BS!E12/AMZN_BS!E26</f>
        <v>1.0502274795268425</v>
      </c>
      <c r="G42" s="300">
        <f>AMZN_BS!F12/AMZN_BS!F26</f>
        <v>1.1357597739445826</v>
      </c>
      <c r="H42" s="300">
        <f>AMZN_BS!G12/AMZN_BS!G26</f>
        <v>0.9446435811136924</v>
      </c>
      <c r="J42" s="300">
        <f>AMZN_BS!H12/AMZN_BS!H26</f>
        <v>0.9388498538073794</v>
      </c>
      <c r="K42" s="300">
        <f>AMZN_BS!I12/AMZN_BS!I26</f>
        <v>0.94477816592411834</v>
      </c>
      <c r="L42" s="300">
        <f>AMZN_BS!J12/AMZN_BS!J26</f>
        <v>0.94761785961828116</v>
      </c>
      <c r="M42" s="300">
        <f>AMZN_BS!K12/AMZN_BS!K26</f>
        <v>0.9504647133409776</v>
      </c>
      <c r="N42" s="300">
        <f>AMZN_BS!L12/AMZN_BS!L26</f>
        <v>0.95331881450620193</v>
      </c>
    </row>
    <row r="43" spans="2:14" ht="15" customHeight="1" x14ac:dyDescent="0.45">
      <c r="B43" s="268" t="s">
        <v>362</v>
      </c>
      <c r="D43" s="300">
        <f>(AMZN_BS!C8+AMZN_BS!C9+AMZN_BS!C10)/AMZN_BS!C26</f>
        <v>0.85426445000073103</v>
      </c>
      <c r="E43" s="300">
        <f>(AMZN_BS!D8+AMZN_BS!D9+AMZN_BS!D10)/AMZN_BS!D26</f>
        <v>0.85999635585113654</v>
      </c>
      <c r="F43" s="300">
        <f>(AMZN_BS!E8+AMZN_BS!E9+AMZN_BS!E10)/AMZN_BS!E26</f>
        <v>0.85604304308264434</v>
      </c>
      <c r="G43" s="300">
        <f>(AMZN_BS!F8+AMZN_BS!F9+AMZN_BS!F10)/AMZN_BS!F26</f>
        <v>0.90456609449903702</v>
      </c>
      <c r="H43" s="300">
        <f>(AMZN_BS!G8+AMZN_BS!G9+AMZN_BS!G10)/AMZN_BS!G26</f>
        <v>0.67204442928574648</v>
      </c>
      <c r="J43" s="300">
        <f>(AMZN_BS!H8+AMZN_BS!H9+AMZN_BS!H10)/AMZN_BS!H26</f>
        <v>0.70732606740268289</v>
      </c>
      <c r="K43" s="300">
        <f>(AMZN_BS!I8+AMZN_BS!I9+AMZN_BS!I10)/AMZN_BS!I26</f>
        <v>0.70389737766579707</v>
      </c>
      <c r="L43" s="300">
        <f>(AMZN_BS!J8+AMZN_BS!J9+AMZN_BS!J10)/AMZN_BS!J26</f>
        <v>0.6987204458530214</v>
      </c>
      <c r="M43" s="300">
        <f>(AMZN_BS!K8+AMZN_BS!K9+AMZN_BS!K10)/AMZN_BS!K26</f>
        <v>0.69348569061966703</v>
      </c>
      <c r="N43" s="300">
        <f>(AMZN_BS!L8+AMZN_BS!L9+AMZN_BS!L10)/AMZN_BS!L26</f>
        <v>0.68819240602215692</v>
      </c>
    </row>
    <row r="44" spans="2:14" ht="15" customHeight="1" x14ac:dyDescent="0.45">
      <c r="B44" s="268" t="s">
        <v>363</v>
      </c>
      <c r="D44" s="300">
        <f>AMZN_IS!C13/AMZN_BS!C11</f>
        <v>13.964561971577622</v>
      </c>
      <c r="E44" s="300">
        <f>AMZN_IS!D13/AMZN_BS!D11</f>
        <v>13.476268255188316</v>
      </c>
      <c r="F44" s="300">
        <f>AMZN_IS!E13/AMZN_BS!E11</f>
        <v>15.730747290359384</v>
      </c>
      <c r="G44" s="300">
        <f>AMZN_IS!F13/AMZN_BS!F11</f>
        <v>14.284211486424859</v>
      </c>
      <c r="H44" s="300">
        <f>AMZN_IS!G13/AMZN_BS!G11</f>
        <v>12.133687440982058</v>
      </c>
      <c r="J44" s="300">
        <f>AMZN_IS!H13/AMZN_BS!H11</f>
        <v>14.6</v>
      </c>
      <c r="K44" s="300">
        <f>AMZN_IS!I13/AMZN_BS!I11</f>
        <v>14.174757281553401</v>
      </c>
      <c r="L44" s="300">
        <f>AMZN_IS!J13/AMZN_BS!J11</f>
        <v>13.773584905660377</v>
      </c>
      <c r="M44" s="300">
        <f>AMZN_IS!K13/AMZN_BS!K11</f>
        <v>13.394495412844037</v>
      </c>
      <c r="N44" s="300">
        <f>AMZN_IS!L13/AMZN_BS!L11</f>
        <v>13.035714285714286</v>
      </c>
    </row>
    <row r="45" spans="2:14" ht="15" customHeight="1" x14ac:dyDescent="0.45">
      <c r="B45" s="268" t="s">
        <v>364</v>
      </c>
      <c r="D45" s="274">
        <f>365/D44</f>
        <v>26.137590333509383</v>
      </c>
      <c r="E45" s="274">
        <f t="shared" ref="E45:H45" si="28">365/E44</f>
        <v>27.084649332316182</v>
      </c>
      <c r="F45" s="274">
        <f t="shared" si="28"/>
        <v>23.202966347548593</v>
      </c>
      <c r="G45" s="274">
        <f t="shared" si="28"/>
        <v>25.552688039299987</v>
      </c>
      <c r="H45" s="274">
        <f t="shared" si="28"/>
        <v>30.081539661817612</v>
      </c>
      <c r="J45" s="274">
        <f>365/J44</f>
        <v>25</v>
      </c>
      <c r="K45" s="274">
        <f t="shared" ref="K45:N45" si="29">365/K44</f>
        <v>25.749999999999996</v>
      </c>
      <c r="L45" s="274">
        <f t="shared" si="29"/>
        <v>26.5</v>
      </c>
      <c r="M45" s="274">
        <f t="shared" si="29"/>
        <v>27.25</v>
      </c>
      <c r="N45" s="274">
        <f t="shared" si="29"/>
        <v>28</v>
      </c>
    </row>
    <row r="46" spans="2:14" ht="15" customHeight="1" x14ac:dyDescent="0.45">
      <c r="B46" s="268" t="s">
        <v>365</v>
      </c>
      <c r="D46" s="300">
        <f>AMZN_IS!C13/AMZN_BS!C23</f>
        <v>6.097795349811479</v>
      </c>
      <c r="E46" s="300">
        <f>AMZN_IS!D13/AMZN_BS!D23</f>
        <v>5.9454040650234194</v>
      </c>
      <c r="F46" s="300">
        <f>AMZN_IS!E13/AMZN_BS!E23</f>
        <v>5.322157735838652</v>
      </c>
      <c r="G46" s="300">
        <f>AMZN_IS!F13/AMZN_BS!F23</f>
        <v>5.9725160174921186</v>
      </c>
      <c r="H46" s="300">
        <f>AMZN_IS!G13/AMZN_BS!G23</f>
        <v>6.4570728643216082</v>
      </c>
      <c r="J46" s="300">
        <f>AMZN_IS!H13/AMZN_BS!H23</f>
        <v>6.4169882951120334</v>
      </c>
      <c r="K46" s="300">
        <f>AMZN_IS!I13/AMZN_BS!I23</f>
        <v>6.4777355207155205</v>
      </c>
      <c r="L46" s="300">
        <f>AMZN_IS!J13/AMZN_BS!J23</f>
        <v>6.4642308626906448</v>
      </c>
      <c r="M46" s="300">
        <f>AMZN_IS!K13/AMZN_BS!K23</f>
        <v>6.4507823960200694</v>
      </c>
      <c r="N46" s="300">
        <f>AMZN_IS!L13/AMZN_BS!L23</f>
        <v>6.4373897707231036</v>
      </c>
    </row>
    <row r="47" spans="2:14" ht="15" customHeight="1" x14ac:dyDescent="0.45">
      <c r="B47" s="284" t="s">
        <v>366</v>
      </c>
      <c r="C47" s="284"/>
      <c r="D47" s="304">
        <f>365/D46</f>
        <v>59.85769922752236</v>
      </c>
      <c r="E47" s="304">
        <f t="shared" ref="E47:H47" si="30">365/E46</f>
        <v>61.39195856296476</v>
      </c>
      <c r="F47" s="304">
        <f t="shared" si="30"/>
        <v>68.581206742923456</v>
      </c>
      <c r="G47" s="304">
        <f t="shared" si="30"/>
        <v>61.113272686251385</v>
      </c>
      <c r="H47" s="304">
        <f t="shared" si="30"/>
        <v>56.527161404170954</v>
      </c>
      <c r="J47" s="304">
        <f>365/J46</f>
        <v>56.880265821589362</v>
      </c>
      <c r="K47" s="304">
        <f t="shared" ref="K47:N47" si="31">365/K46</f>
        <v>56.346851277386307</v>
      </c>
      <c r="L47" s="304">
        <f t="shared" si="31"/>
        <v>56.464567518257525</v>
      </c>
      <c r="M47" s="304">
        <f t="shared" si="31"/>
        <v>56.58228375912875</v>
      </c>
      <c r="N47" s="304">
        <f t="shared" si="31"/>
        <v>56.7</v>
      </c>
    </row>
    <row r="48" spans="2:14" ht="15" customHeight="1" x14ac:dyDescent="0.45">
      <c r="B48" s="283" t="s">
        <v>573</v>
      </c>
      <c r="C48" s="283"/>
      <c r="D48" s="302"/>
      <c r="E48" s="302"/>
      <c r="F48" s="302"/>
      <c r="G48" s="302"/>
      <c r="H48" s="302"/>
      <c r="I48" s="303"/>
      <c r="J48" s="302"/>
      <c r="K48" s="302"/>
      <c r="L48" s="302"/>
      <c r="M48" s="302"/>
      <c r="N48" s="302"/>
    </row>
    <row r="49" spans="2:14" ht="15" customHeight="1" x14ac:dyDescent="0.45">
      <c r="B49" s="268" t="s">
        <v>368</v>
      </c>
      <c r="D49" s="300">
        <f>AMZN_IS!C13/AMZN_BS!C10</f>
        <v>13.560440200302784</v>
      </c>
      <c r="E49" s="300">
        <f>AMZN_IS!D13/AMZN_BS!D10</f>
        <v>13.686002829682392</v>
      </c>
      <c r="F49" s="300">
        <f>AMZN_IS!E13/AMZN_BS!E10</f>
        <v>16.224584996848076</v>
      </c>
      <c r="G49" s="300">
        <f>AMZN_IS!F13/AMZN_BS!F10</f>
        <v>14.39405637254902</v>
      </c>
      <c r="H49" s="300">
        <f>AMZN_IS!G13/AMZN_BS!G10</f>
        <v>14.939194884464467</v>
      </c>
      <c r="J49" s="300">
        <f>AMZN_IS!H13/AMZN_BS!H10</f>
        <v>14.972972688594743</v>
      </c>
      <c r="K49" s="300">
        <f>AMZN_IS!I13/AMZN_BS!I10</f>
        <v>15.37089784576564</v>
      </c>
      <c r="L49" s="300">
        <f>AMZN_IS!J13/AMZN_BS!J10</f>
        <v>15.603315875460176</v>
      </c>
      <c r="M49" s="300">
        <f>AMZN_IS!K13/AMZN_BS!K10</f>
        <v>15.844026937593153</v>
      </c>
      <c r="N49" s="300">
        <f>AMZN_IS!L13/AMZN_BS!L10</f>
        <v>16.093474426807759</v>
      </c>
    </row>
    <row r="50" spans="2:14" ht="15" customHeight="1" x14ac:dyDescent="0.45">
      <c r="B50" s="268" t="s">
        <v>369</v>
      </c>
      <c r="D50" s="300">
        <f>365/D49</f>
        <v>26.916530334454048</v>
      </c>
      <c r="E50" s="300">
        <f t="shared" ref="E50:H50" si="32">365/E49</f>
        <v>26.669583847256188</v>
      </c>
      <c r="F50" s="300">
        <f t="shared" si="32"/>
        <v>22.496723341207677</v>
      </c>
      <c r="G50" s="300">
        <f t="shared" si="32"/>
        <v>25.357688656555034</v>
      </c>
      <c r="H50" s="300">
        <f t="shared" si="32"/>
        <v>24.432374222493742</v>
      </c>
      <c r="J50" s="300">
        <f>365/J49</f>
        <v>24.377256780681158</v>
      </c>
      <c r="K50" s="300">
        <f t="shared" ref="K50:N50" si="33">365/K49</f>
        <v>23.74617303832709</v>
      </c>
      <c r="L50" s="300">
        <f t="shared" si="33"/>
        <v>23.392463686135262</v>
      </c>
      <c r="M50" s="300">
        <f t="shared" si="33"/>
        <v>23.03707267335956</v>
      </c>
      <c r="N50" s="300">
        <f t="shared" si="33"/>
        <v>22.68</v>
      </c>
    </row>
    <row r="51" spans="2:14" ht="15" customHeight="1" x14ac:dyDescent="0.45">
      <c r="B51" s="268" t="s">
        <v>370</v>
      </c>
      <c r="D51" s="300">
        <f>AMZN_IS!C13/AMZN_BS!C19</f>
        <v>1.431846687324775</v>
      </c>
      <c r="E51" s="300">
        <f>AMZN_IS!D13/AMZN_BS!D19</f>
        <v>1.2453917459866459</v>
      </c>
      <c r="F51" s="300">
        <f>AMZN_IS!E13/AMZN_BS!E19</f>
        <v>1.2019614253023865</v>
      </c>
      <c r="G51" s="300">
        <f>AMZN_IS!F13/AMZN_BS!F19</f>
        <v>1.1171635172120253</v>
      </c>
      <c r="H51" s="300">
        <f>AMZN_IS!G13/AMZN_BS!G19</f>
        <v>1.1108942562273734</v>
      </c>
      <c r="J51" s="300">
        <f>AMZN_IS!H13/AMZN_BS!H19</f>
        <v>1.1265924937285912</v>
      </c>
      <c r="K51" s="300">
        <f>AMZN_IS!I13/AMZN_BS!I19</f>
        <v>1.1256141500654906</v>
      </c>
      <c r="L51" s="300">
        <f>AMZN_IS!J13/AMZN_BS!J19</f>
        <v>1.1284552400956702</v>
      </c>
      <c r="M51" s="300">
        <f>AMZN_IS!K13/AMZN_BS!K19</f>
        <v>1.1341291240078124</v>
      </c>
      <c r="N51" s="300">
        <f>AMZN_IS!L13/AMZN_BS!L19</f>
        <v>1.1420168660993073</v>
      </c>
    </row>
    <row r="52" spans="2:14" ht="15" customHeight="1" x14ac:dyDescent="0.45">
      <c r="B52" s="268" t="s">
        <v>372</v>
      </c>
      <c r="D52" s="300">
        <f>AMZN_IS!C13/AMZN_BS!C15</f>
        <v>3.7685809990776251</v>
      </c>
      <c r="E52" s="300">
        <f>AMZN_IS!D13/AMZN_BS!D15</f>
        <v>3.8583591224812599</v>
      </c>
      <c r="F52" s="300">
        <f>AMZN_IS!E13/AMZN_BS!E15</f>
        <v>3.4130523188995174</v>
      </c>
      <c r="G52" s="300">
        <f>AMZN_IS!F13/AMZN_BS!F15</f>
        <v>2.9312395106094922</v>
      </c>
      <c r="H52" s="300">
        <f>AMZN_IS!G13/AMZN_BS!G15</f>
        <v>2.7527675869640897</v>
      </c>
      <c r="J52" s="300">
        <f>AMZN_IS!H13/AMZN_BS!H15</f>
        <v>2.6966278010566338</v>
      </c>
      <c r="K52" s="300">
        <f>AMZN_IS!I13/AMZN_BS!I15</f>
        <v>2.7270095311617473</v>
      </c>
      <c r="L52" s="300">
        <f>AMZN_IS!J13/AMZN_BS!J15</f>
        <v>2.779712201452313</v>
      </c>
      <c r="M52" s="300">
        <f>AMZN_IS!K13/AMZN_BS!K15</f>
        <v>2.8522138285507013</v>
      </c>
      <c r="N52" s="300">
        <f>AMZN_IS!L13/AMZN_BS!L15</f>
        <v>2.9428366302337587</v>
      </c>
    </row>
    <row r="53" spans="2:14" ht="15" customHeight="1" x14ac:dyDescent="0.45">
      <c r="B53" s="283" t="s">
        <v>575</v>
      </c>
      <c r="C53" s="283"/>
      <c r="D53" s="302"/>
      <c r="E53" s="302"/>
      <c r="F53" s="302"/>
      <c r="G53" s="302"/>
      <c r="H53" s="302"/>
      <c r="I53" s="303"/>
      <c r="J53" s="302"/>
      <c r="K53" s="302"/>
      <c r="L53" s="302"/>
      <c r="M53" s="302"/>
      <c r="N53" s="302"/>
    </row>
    <row r="54" spans="2:14" ht="15" customHeight="1" x14ac:dyDescent="0.45">
      <c r="B54" s="268" t="s">
        <v>386</v>
      </c>
      <c r="D54" s="300">
        <f>AMZN_BS!C30/AMZN_BS!C41</f>
        <v>0.53950722175021237</v>
      </c>
      <c r="E54" s="300">
        <f>AMZN_BS!D30/AMZN_BS!D41</f>
        <v>0.37728005156300354</v>
      </c>
      <c r="F54" s="300">
        <f>AMZN_BS!E30/AMZN_BS!E41</f>
        <v>0.34062781037214679</v>
      </c>
      <c r="G54" s="300">
        <f>AMZN_BS!F30/AMZN_BS!F41</f>
        <v>0.35259141379435061</v>
      </c>
      <c r="H54" s="300">
        <f>AMZN_BS!G30/AMZN_BS!G41</f>
        <v>0.45979608745369516</v>
      </c>
      <c r="J54" s="300">
        <f ca="1">AMZN_BS!H30/AMZN_BS!H41</f>
        <v>0.49778735778907002</v>
      </c>
      <c r="K54" s="300">
        <f ca="1">AMZN_BS!I30/AMZN_BS!I41</f>
        <v>0.60622628588625049</v>
      </c>
      <c r="L54" s="300">
        <f ca="1">AMZN_BS!J30/AMZN_BS!J41</f>
        <v>0.6897626555366434</v>
      </c>
      <c r="M54" s="300">
        <f ca="1">AMZN_BS!K30/AMZN_BS!K41</f>
        <v>0.7549804803375556</v>
      </c>
      <c r="N54" s="300">
        <f ca="1">AMZN_BS!L30/AMZN_BS!L41</f>
        <v>0.80177083384465309</v>
      </c>
    </row>
    <row r="55" spans="2:14" ht="15" customHeight="1" x14ac:dyDescent="0.45">
      <c r="B55" s="268" t="s">
        <v>580</v>
      </c>
      <c r="D55" s="300">
        <f>AMZN_BS!C19/AMZN_BS!C41</f>
        <v>3.734827435762015</v>
      </c>
      <c r="E55" s="300">
        <f>AMZN_BS!D19/AMZN_BS!D41</f>
        <v>3.6295198195294875</v>
      </c>
      <c r="F55" s="300">
        <f>AMZN_BS!E19/AMZN_BS!E41</f>
        <v>3.4387713588283155</v>
      </c>
      <c r="G55" s="300">
        <f>AMZN_BS!F19/AMZN_BS!F41</f>
        <v>3.0420557705522802</v>
      </c>
      <c r="H55" s="300">
        <f>AMZN_BS!G19/AMZN_BS!G41</f>
        <v>3.1680737864875415</v>
      </c>
      <c r="J55" s="300">
        <f ca="1">AMZN_BS!H19/AMZN_BS!H41</f>
        <v>3.2521952411025024</v>
      </c>
      <c r="K55" s="300">
        <f ca="1">AMZN_BS!I19/AMZN_BS!I41</f>
        <v>3.3465394674350337</v>
      </c>
      <c r="L55" s="300">
        <f ca="1">AMZN_BS!J19/AMZN_BS!J41</f>
        <v>3.4092552898480899</v>
      </c>
      <c r="M55" s="300">
        <f ca="1">AMZN_BS!K19/AMZN_BS!K41</f>
        <v>3.4399554425915047</v>
      </c>
      <c r="N55" s="300">
        <f ca="1">AMZN_BS!L19/AMZN_BS!L41</f>
        <v>3.4387638507851119</v>
      </c>
    </row>
    <row r="56" spans="2:14" ht="15" customHeight="1" x14ac:dyDescent="0.45">
      <c r="B56" s="268" t="s">
        <v>581</v>
      </c>
      <c r="D56" s="300">
        <f>(AMZN_BS!C30-AMZN_BS!C8-AMZN_BS!C9)/AMZN_IS!C27</f>
        <v>-0.63956629804401854</v>
      </c>
      <c r="E56" s="300">
        <f>(AMZN_BS!D30-AMZN_BS!D8-AMZN_BS!D9)/AMZN_IS!D27</f>
        <v>-0.87002119518841692</v>
      </c>
      <c r="F56" s="300">
        <f>(AMZN_BS!E30-AMZN_BS!E8-AMZN_BS!E9)/AMZN_IS!E27</f>
        <v>-1.0920041536863967</v>
      </c>
      <c r="G56" s="300">
        <f>(AMZN_BS!F30-AMZN_BS!F8-AMZN_BS!F9)/AMZN_IS!F27</f>
        <v>-0.79940853400929446</v>
      </c>
      <c r="H56" s="300">
        <f>(AMZN_BS!G30-AMZN_BS!G8-AMZN_BS!G9)/AMZN_IS!G27</f>
        <v>-5.3547822525088905E-2</v>
      </c>
      <c r="J56" s="300">
        <f ca="1">(AMZN_BS!H30-AMZN_BS!H8-AMZN_BS!H9)/AMZN_IS!H27</f>
        <v>-5.0515145712348372E-2</v>
      </c>
      <c r="K56" s="300">
        <f ca="1">(AMZN_BS!I30-AMZN_BS!I8-AMZN_BS!I9)/AMZN_IS!I27</f>
        <v>0.14092570484014114</v>
      </c>
      <c r="L56" s="300">
        <f ca="1">(AMZN_BS!J30-AMZN_BS!J8-AMZN_BS!J9)/AMZN_IS!J27</f>
        <v>0.27978610719111102</v>
      </c>
      <c r="M56" s="300">
        <f ca="1">(AMZN_BS!K30-AMZN_BS!K8-AMZN_BS!K9)/AMZN_IS!K27</f>
        <v>0.38896385582210252</v>
      </c>
      <c r="N56" s="300">
        <f ca="1">(AMZN_BS!L30-AMZN_BS!L8-AMZN_BS!L9)/AMZN_IS!L27</f>
        <v>0.47306986192308781</v>
      </c>
    </row>
    <row r="57" spans="2:14" ht="15" customHeight="1" x14ac:dyDescent="0.45">
      <c r="B57" s="268" t="s">
        <v>389</v>
      </c>
      <c r="D57" s="300">
        <f>AMZN_IS!C31/-AMZN_IS!C35</f>
        <v>8.758815232722144</v>
      </c>
      <c r="E57" s="300">
        <f>AMZN_IS!D31/-AMZN_IS!D35</f>
        <v>9.0875000000000004</v>
      </c>
      <c r="F57" s="300">
        <f>AMZN_IS!E31/-AMZN_IS!E35</f>
        <v>13.903460837887067</v>
      </c>
      <c r="G57" s="300">
        <f>AMZN_IS!F31/-AMZN_IS!F35</f>
        <v>13.752902155887231</v>
      </c>
      <c r="H57" s="300">
        <f>AMZN_IS!G31/-AMZN_IS!G35</f>
        <v>5.1744824672581329</v>
      </c>
      <c r="J57" s="300">
        <f ca="1">AMZN_IS!H31/-AMZN_IS!H35</f>
        <v>10.075998300149367</v>
      </c>
      <c r="K57" s="300">
        <f ca="1">AMZN_IS!I31/-AMZN_IS!I35</f>
        <v>10.445477026690957</v>
      </c>
      <c r="L57" s="300">
        <f ca="1">AMZN_IS!J31/-AMZN_IS!J35</f>
        <v>9.6503812094909147</v>
      </c>
      <c r="M57" s="300">
        <f ca="1">AMZN_IS!K31/-AMZN_IS!K35</f>
        <v>9.1949978241376193</v>
      </c>
      <c r="N57" s="300">
        <f ca="1">AMZN_IS!L31/-AMZN_IS!L35</f>
        <v>8.9564632123499983</v>
      </c>
    </row>
    <row r="58" spans="2:14" ht="15" customHeight="1" x14ac:dyDescent="0.45">
      <c r="B58" s="283" t="s">
        <v>576</v>
      </c>
      <c r="C58" s="283"/>
      <c r="D58" s="302"/>
      <c r="E58" s="302"/>
      <c r="F58" s="302"/>
      <c r="G58" s="302"/>
      <c r="H58" s="302"/>
      <c r="I58" s="303"/>
      <c r="J58" s="302"/>
      <c r="K58" s="302"/>
      <c r="L58" s="302"/>
      <c r="M58" s="302"/>
      <c r="N58" s="302"/>
    </row>
    <row r="59" spans="2:14" ht="15" customHeight="1" x14ac:dyDescent="0.45">
      <c r="B59" s="268" t="s">
        <v>553</v>
      </c>
      <c r="C59" s="264"/>
      <c r="D59" s="296">
        <f>D24</f>
        <v>4.3252736305590261E-2</v>
      </c>
      <c r="E59" s="296">
        <f t="shared" ref="E59:H59" si="34">E24</f>
        <v>4.1308703060722513E-2</v>
      </c>
      <c r="F59" s="296">
        <f t="shared" si="34"/>
        <v>5.5252496995316841E-2</v>
      </c>
      <c r="G59" s="296">
        <f t="shared" si="34"/>
        <v>7.1014128755145567E-2</v>
      </c>
      <c r="H59" s="296">
        <f t="shared" si="34"/>
        <v>-5.2958950004183018E-3</v>
      </c>
      <c r="I59" s="301"/>
      <c r="J59" s="296">
        <f t="shared" ref="J59:N59" ca="1" si="35">J24</f>
        <v>1.1974940820429264E-2</v>
      </c>
      <c r="K59" s="296">
        <f t="shared" ca="1" si="35"/>
        <v>1.9910862288024075E-2</v>
      </c>
      <c r="L59" s="296">
        <f t="shared" ca="1" si="35"/>
        <v>2.0596435938668892E-2</v>
      </c>
      <c r="M59" s="296">
        <f t="shared" ca="1" si="35"/>
        <v>2.1396139967846787E-2</v>
      </c>
      <c r="N59" s="296">
        <f t="shared" ca="1" si="35"/>
        <v>2.2294914568254651E-2</v>
      </c>
    </row>
    <row r="60" spans="2:14" ht="15" customHeight="1" x14ac:dyDescent="0.45">
      <c r="B60" s="268" t="s">
        <v>62</v>
      </c>
      <c r="D60" s="300">
        <f>D51</f>
        <v>1.431846687324775</v>
      </c>
      <c r="E60" s="300">
        <f t="shared" ref="E60:H60" si="36">E51</f>
        <v>1.2453917459866459</v>
      </c>
      <c r="F60" s="300">
        <f t="shared" si="36"/>
        <v>1.2019614253023865</v>
      </c>
      <c r="G60" s="300">
        <f t="shared" si="36"/>
        <v>1.1171635172120253</v>
      </c>
      <c r="H60" s="300">
        <f t="shared" si="36"/>
        <v>1.1108942562273734</v>
      </c>
      <c r="I60" s="301"/>
      <c r="J60" s="300">
        <f t="shared" ref="J60:N60" si="37">J51</f>
        <v>1.1265924937285912</v>
      </c>
      <c r="K60" s="300">
        <f t="shared" si="37"/>
        <v>1.1256141500654906</v>
      </c>
      <c r="L60" s="300">
        <f t="shared" si="37"/>
        <v>1.1284552400956702</v>
      </c>
      <c r="M60" s="300">
        <f t="shared" si="37"/>
        <v>1.1341291240078124</v>
      </c>
      <c r="N60" s="300">
        <f t="shared" si="37"/>
        <v>1.1420168660993073</v>
      </c>
    </row>
    <row r="61" spans="2:14" ht="15" customHeight="1" x14ac:dyDescent="0.45">
      <c r="B61" s="268" t="s">
        <v>580</v>
      </c>
      <c r="D61" s="300">
        <f>D55</f>
        <v>3.734827435762015</v>
      </c>
      <c r="E61" s="300">
        <f t="shared" ref="E61:H61" si="38">E55</f>
        <v>3.6295198195294875</v>
      </c>
      <c r="F61" s="300">
        <f t="shared" si="38"/>
        <v>3.4387713588283155</v>
      </c>
      <c r="G61" s="300">
        <f t="shared" si="38"/>
        <v>3.0420557705522802</v>
      </c>
      <c r="H61" s="300">
        <f t="shared" si="38"/>
        <v>3.1680737864875415</v>
      </c>
      <c r="I61" s="301"/>
      <c r="J61" s="300">
        <f t="shared" ref="J61:N61" ca="1" si="39">J55</f>
        <v>3.2521952411025024</v>
      </c>
      <c r="K61" s="300">
        <f t="shared" ca="1" si="39"/>
        <v>3.3465394674350337</v>
      </c>
      <c r="L61" s="300">
        <f t="shared" ca="1" si="39"/>
        <v>3.4092552898480899</v>
      </c>
      <c r="M61" s="300">
        <f t="shared" ca="1" si="39"/>
        <v>3.4399554425915047</v>
      </c>
      <c r="N61" s="300">
        <f t="shared" ca="1" si="39"/>
        <v>3.4387638507851119</v>
      </c>
    </row>
    <row r="62" spans="2:14" ht="15" customHeight="1" x14ac:dyDescent="0.45">
      <c r="B62" s="275" t="s">
        <v>382</v>
      </c>
      <c r="C62" s="275"/>
      <c r="D62" s="281">
        <f>D59*D60*D61</f>
        <v>0.23130267055500697</v>
      </c>
      <c r="E62" s="281">
        <f t="shared" ref="E62:H62" si="40">E59*E60*E61</f>
        <v>0.18672252658717373</v>
      </c>
      <c r="F62" s="281">
        <f t="shared" si="40"/>
        <v>0.22837351719412446</v>
      </c>
      <c r="G62" s="281">
        <f t="shared" si="40"/>
        <v>0.2413396506202756</v>
      </c>
      <c r="H62" s="281">
        <f t="shared" si="40"/>
        <v>-1.8638346240490815E-2</v>
      </c>
      <c r="I62" s="305"/>
      <c r="J62" s="281">
        <f t="shared" ref="J62" ca="1" si="41">J59*J60*J61</f>
        <v>4.3874970664566894E-2</v>
      </c>
      <c r="K62" s="281">
        <f t="shared" ref="K62" ca="1" si="42">K59*K60*K61</f>
        <v>7.5002469633162414E-2</v>
      </c>
      <c r="L62" s="281">
        <f t="shared" ref="L62" ca="1" si="43">L59*L60*L61</f>
        <v>7.9238443502822359E-2</v>
      </c>
      <c r="M62" s="281">
        <f t="shared" ref="M62" ca="1" si="44">M59*M60*M61</f>
        <v>8.3473908817928696E-2</v>
      </c>
      <c r="N62" s="281">
        <f t="shared" ref="N62" ca="1" si="45">N59*N60*N61</f>
        <v>8.7554945716845106E-2</v>
      </c>
    </row>
    <row r="63" spans="2:14" ht="15" customHeight="1" x14ac:dyDescent="0.45">
      <c r="B63" s="283" t="s">
        <v>577</v>
      </c>
      <c r="C63" s="283"/>
      <c r="D63" s="278"/>
      <c r="E63" s="278"/>
      <c r="F63" s="278"/>
      <c r="G63" s="278"/>
      <c r="H63" s="278"/>
      <c r="I63" s="282"/>
      <c r="J63" s="278"/>
      <c r="K63" s="278"/>
      <c r="L63" s="278"/>
      <c r="M63" s="278"/>
      <c r="N63" s="278"/>
    </row>
    <row r="64" spans="2:14" ht="15" customHeight="1" x14ac:dyDescent="0.45">
      <c r="B64" s="268" t="s">
        <v>578</v>
      </c>
      <c r="D64" s="294">
        <f>'Financials Summary'!D23/'Financials Summary'!D42</f>
        <v>6.1931287196891449E-2</v>
      </c>
      <c r="E64" s="294">
        <f>'Financials Summary'!E23/'Financials Summary'!E42</f>
        <v>5.1445517829237106E-2</v>
      </c>
      <c r="F64" s="294">
        <f>'Financials Summary'!F23/'Financials Summary'!F42</f>
        <v>6.6411370040006856E-2</v>
      </c>
      <c r="G64" s="294">
        <f>'Financials Summary'!G23/'Financials Summary'!G42</f>
        <v>7.9334393851846041E-2</v>
      </c>
      <c r="H64" s="294">
        <f>'Financials Summary'!H23/'Financials Summary'!H42</f>
        <v>-5.8831793375479545E-3</v>
      </c>
      <c r="I64" s="157"/>
      <c r="J64" s="294">
        <f ca="1">'Financials Summary'!J23/'Financials Summary'!J42</f>
        <v>1.3490878441139708E-2</v>
      </c>
      <c r="K64" s="294">
        <f ca="1">'Financials Summary'!K23/'Financials Summary'!K42</f>
        <v>2.2411948331405248E-2</v>
      </c>
      <c r="L64" s="294">
        <f ca="1">'Financials Summary'!L23/'Financials Summary'!L42</f>
        <v>2.3242156062285694E-2</v>
      </c>
      <c r="M64" s="294">
        <f ca="1">'Financials Summary'!M23/'Financials Summary'!M42</f>
        <v>2.4265985478882618E-2</v>
      </c>
      <c r="N64" s="294">
        <f ca="1">'Financials Summary'!N23/'Financials Summary'!N42</f>
        <v>2.5461168465189969E-2</v>
      </c>
    </row>
    <row r="65" spans="2:14" ht="15" customHeight="1" x14ac:dyDescent="0.45">
      <c r="B65" s="275" t="s">
        <v>579</v>
      </c>
      <c r="C65" s="275"/>
      <c r="D65" s="281">
        <f>DCF!E25/(AMZN_BS!C41+AMZN_BS!C30-AMZN_BS!C8-AMZN_BS!C9)</f>
        <v>0.46898503527952234</v>
      </c>
      <c r="E65" s="281">
        <f>DCF!F25/(AMZN_BS!D41+AMZN_BS!D30-AMZN_BS!D8-AMZN_BS!D9)</f>
        <v>0.48126621350934229</v>
      </c>
      <c r="F65" s="281">
        <f>DCF!G25/(AMZN_BS!E41+AMZN_BS!E30-AMZN_BS!E8-AMZN_BS!E9)</f>
        <v>0.45627572016460904</v>
      </c>
      <c r="G65" s="281">
        <f>DCF!H25/(AMZN_BS!F41+AMZN_BS!F30-AMZN_BS!F8-AMZN_BS!F9)</f>
        <v>-0.28898174620628986</v>
      </c>
      <c r="H65" s="281">
        <f>DCF!J25/(AMZN_BS!G41+AMZN_BS!G30-AMZN_BS!G8-AMZN_BS!G9)</f>
        <v>-0.19281678040330524</v>
      </c>
      <c r="I65" s="157"/>
      <c r="J65" s="281">
        <f ca="1">DCF!K25/(AMZN_BS!H41+AMZN_BS!H30-AMZN_BS!H8-AMZN_BS!H9)</f>
        <v>0.10358984151454721</v>
      </c>
      <c r="K65" s="281">
        <f ca="1">DCF!L25/(AMZN_BS!I41+AMZN_BS!I30-AMZN_BS!I8-AMZN_BS!I9)</f>
        <v>0.11670674398513198</v>
      </c>
      <c r="L65" s="281">
        <f ca="1">DCF!M25/(AMZN_BS!J41+AMZN_BS!J30-AMZN_BS!J8-AMZN_BS!J9)</f>
        <v>0.13058201048211235</v>
      </c>
      <c r="M65" s="281">
        <f ca="1">DCF!N25/(AMZN_BS!K41+AMZN_BS!K30-AMZN_BS!K8-AMZN_BS!K9)</f>
        <v>0.14027327644819679</v>
      </c>
      <c r="N65" s="281">
        <f ca="1">DCF!O25/(AMZN_BS!L41+AMZN_BS!L30-AMZN_BS!L8-AMZN_BS!L9)</f>
        <v>0.14907639900050434</v>
      </c>
    </row>
  </sheetData>
  <pageMargins left="0.7" right="0.7" top="0.75" bottom="0.75" header="0.3" footer="0.3"/>
  <pageSetup scale="43" orientation="portrait" r:id="rId1"/>
  <ignoredErrors>
    <ignoredError sqref="D46:H46 J46:N46" formula="1"/>
  </ignoredErrors>
  <extLst>
    <ext xmlns:x14="http://schemas.microsoft.com/office/spreadsheetml/2009/9/main" uri="{05C60535-1F16-4fd2-B633-F4F36F0B64E0}">
      <x14:sparklineGroups xmlns:xm="http://schemas.microsoft.com/office/excel/2006/main">
        <x14:sparklineGroup displayEmptyCellsAs="gap" xr2:uid="{DE913CA1-0163-4CF6-B10D-FE6592054DEE}">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Summary'!D7:N7</xm:f>
              <xm:sqref>O7</xm:sqref>
            </x14:sparkline>
            <x14:sparkline>
              <xm:f>'Valuation Summary'!D8:N8</xm:f>
              <xm:sqref>O8</xm:sqref>
            </x14:sparkline>
            <x14:sparkline>
              <xm:f>'Valuation Summary'!D9:N9</xm:f>
              <xm:sqref>O9</xm:sqref>
            </x14:sparkline>
            <x14:sparkline>
              <xm:f>'Valuation Summary'!D10:N10</xm:f>
              <xm:sqref>O10</xm:sqref>
            </x14:sparkline>
            <x14:sparkline>
              <xm:f>'Valuation Summary'!D11:N11</xm:f>
              <xm:sqref>O11</xm:sqref>
            </x14:sparkline>
            <x14:sparkline>
              <xm:f>'Valuation Summary'!D12:N12</xm:f>
              <xm:sqref>O12</xm:sqref>
            </x14:sparkline>
            <x14:sparkline>
              <xm:f>'Valuation Summary'!D13:N13</xm:f>
              <xm:sqref>O13</xm:sqref>
            </x14:sparkline>
            <x14:sparkline>
              <xm:f>'Valuation Summary'!D14:N14</xm:f>
              <xm:sqref>O14</xm:sqref>
            </x14:sparkline>
            <x14:sparkline>
              <xm:f>'Valuation Summary'!D15:N15</xm:f>
              <xm:sqref>O15</xm:sqref>
            </x14:sparkline>
            <x14:sparkline>
              <xm:f>'Valuation Summary'!D16:N16</xm:f>
              <xm:sqref>O16</xm:sqref>
            </x14:sparkline>
          </x14:sparklines>
        </x14:sparklineGroup>
        <x14:sparklineGroup displayEmptyCellsAs="gap" xr2:uid="{794F45FF-A306-4286-AB4D-1B65EA6B8940}">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f>'Valuation Summary'!D21:N21</xm:f>
              <xm:sqref>O21</xm:sqref>
            </x14:sparkline>
            <x14:sparkline>
              <xm:f>'Valuation Summary'!D22:N22</xm:f>
              <xm:sqref>O22</xm:sqref>
            </x14:sparkline>
            <x14:sparkline>
              <xm:f>'Valuation Summary'!D23:N23</xm:f>
              <xm:sqref>O23</xm:sqref>
            </x14:sparkline>
            <x14:sparkline>
              <xm:f>'Valuation Summary'!D24:N24</xm:f>
              <xm:sqref>O24</xm:sqref>
            </x14:sparkline>
            <x14:sparkline>
              <xm:f>'Valuation Summary'!D25:N25</xm:f>
              <xm:sqref>O25</xm:sqref>
            </x14:sparkline>
            <x14:sparkline>
              <xm:f>'Valuation Summary'!D26:N26</xm:f>
              <xm:sqref>O26</xm:sqref>
            </x14:sparkline>
          </x14:sparklines>
        </x14:sparklineGroup>
        <x14:sparklineGroup displayEmptyCellsAs="gap" xr2:uid="{EE63F3E2-4792-444C-BA70-08D57F234B58}">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Summary'!E28:N28</xm:f>
              <xm:sqref>O28</xm:sqref>
            </x14:sparkline>
            <x14:sparkline>
              <xm:f>'Valuation Summary'!E29:N29</xm:f>
              <xm:sqref>O29</xm:sqref>
            </x14:sparkline>
            <x14:sparkline>
              <xm:f>'Valuation Summary'!E30:N30</xm:f>
              <xm:sqref>O30</xm:sqref>
            </x14:sparkline>
            <x14:sparkline>
              <xm:f>'Valuation Summary'!E31:N31</xm:f>
              <xm:sqref>O31</xm:sqref>
            </x14:sparkline>
            <x14:sparkline>
              <xm:f>'Valuation Summary'!E32:N32</xm:f>
              <xm:sqref>O32</xm:sqref>
            </x14:sparkline>
          </x14:sparklines>
        </x14:sparklineGroup>
        <x14:sparklineGroup displayEmptyCellsAs="gap" xr2:uid="{5AC5566A-7C22-4024-A290-311AE27E9A95}">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Summary'!D34:N34</xm:f>
              <xm:sqref>O34</xm:sqref>
            </x14:sparkline>
            <x14:sparkline>
              <xm:f>'Valuation Summary'!D35:N35</xm:f>
              <xm:sqref>O35</xm:sqref>
            </x14:sparkline>
            <x14:sparkline>
              <xm:f>'Valuation Summary'!D36:N36</xm:f>
              <xm:sqref>O36</xm:sqref>
            </x14:sparkline>
            <x14:sparkline>
              <xm:f>'Valuation Summary'!D37:N37</xm:f>
              <xm:sqref>O37</xm:sqref>
            </x14:sparkline>
            <x14:sparkline>
              <xm:f>'Valuation Summary'!D38:N38</xm:f>
              <xm:sqref>O38</xm:sqref>
            </x14:sparkline>
            <x14:sparkline>
              <xm:f>'Valuation Summary'!D39:N39</xm:f>
              <xm:sqref>O39</xm:sqref>
            </x14:sparkline>
            <x14:sparkline>
              <xm:f>'Valuation Summary'!D40:N40</xm:f>
              <xm:sqref>O40</xm:sqref>
            </x14:sparkline>
          </x14:sparklines>
        </x14:sparklineGroup>
        <x14:sparklineGroup displayEmptyCellsAs="gap" xr2:uid="{7D63DB4F-8B80-4038-A9B6-86BFD3AC2990}">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Summary'!D42:N42</xm:f>
              <xm:sqref>O42</xm:sqref>
            </x14:sparkline>
            <x14:sparkline>
              <xm:f>'Valuation Summary'!D43:N43</xm:f>
              <xm:sqref>O43</xm:sqref>
            </x14:sparkline>
            <x14:sparkline>
              <xm:f>'Valuation Summary'!D44:N44</xm:f>
              <xm:sqref>O44</xm:sqref>
            </x14:sparkline>
            <x14:sparkline>
              <xm:f>'Valuation Summary'!D45:N45</xm:f>
              <xm:sqref>O45</xm:sqref>
            </x14:sparkline>
            <x14:sparkline>
              <xm:f>'Valuation Summary'!D46:N46</xm:f>
              <xm:sqref>O46</xm:sqref>
            </x14:sparkline>
            <x14:sparkline>
              <xm:f>'Valuation Summary'!D47:N47</xm:f>
              <xm:sqref>O47</xm:sqref>
            </x14:sparkline>
          </x14:sparklines>
        </x14:sparklineGroup>
        <x14:sparklineGroup displayEmptyCellsAs="gap" xr2:uid="{7CA74650-8EC3-4D4F-BA29-92C940A2A6C1}">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Summary'!D49:N49</xm:f>
              <xm:sqref>O49</xm:sqref>
            </x14:sparkline>
            <x14:sparkline>
              <xm:f>'Valuation Summary'!D50:N50</xm:f>
              <xm:sqref>O50</xm:sqref>
            </x14:sparkline>
            <x14:sparkline>
              <xm:f>'Valuation Summary'!D51:N51</xm:f>
              <xm:sqref>O51</xm:sqref>
            </x14:sparkline>
            <x14:sparkline>
              <xm:f>'Valuation Summary'!D52:N52</xm:f>
              <xm:sqref>O52</xm:sqref>
            </x14:sparkline>
          </x14:sparklines>
        </x14:sparklineGroup>
        <x14:sparklineGroup displayEmptyCellsAs="gap" xr2:uid="{20895F64-D355-4BE7-BC7E-0469B128287E}">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'Valuation Summary'!D54:N54</xm:f>
              <xm:sqref>O54</xm:sqref>
            </x14:sparkline>
            <x14:sparkline>
              <xm:f>'Valuation Summary'!D55:N55</xm:f>
              <xm:sqref>O55</xm:sqref>
            </x14:sparkline>
            <x14:sparkline>
              <xm:f>'Valuation Summary'!D56:N56</xm:f>
              <xm:sqref>O56</xm:sqref>
            </x14:sparkline>
            <x14:sparkline>
              <xm:f>'Valuation Summary'!D57:N57</xm:f>
              <xm:sqref>O57</xm:sqref>
            </x14:sparkline>
            <x14:sparkline>
              <xm:f>'Valuation Summary'!D58:N58</xm:f>
              <xm:sqref>O58</xm:sqref>
            </x14:sparkline>
            <x14:sparkline>
              <xm:f>'Valuation Summary'!D59:N59</xm:f>
              <xm:sqref>O59</xm:sqref>
            </x14:sparkline>
            <x14:sparkline>
              <xm:f>'Valuation Summary'!D60:N60</xm:f>
              <xm:sqref>O60</xm:sqref>
            </x14:sparkline>
            <x14:sparkline>
              <xm:f>'Valuation Summary'!D61:N61</xm:f>
              <xm:sqref>O61</xm:sqref>
            </x14:sparkline>
            <x14:sparkline>
              <xm:f>'Valuation Summary'!D62:N62</xm:f>
              <xm:sqref>O62</xm:sqref>
            </x14:sparkline>
            <x14:sparkline>
              <xm:f>'Valuation Summary'!D63:N63</xm:f>
              <xm:sqref>O63</xm:sqref>
            </x14:sparkline>
            <x14:sparkline>
              <xm:f>'Valuation Summary'!D64:N64</xm:f>
              <xm:sqref>O64</xm:sqref>
            </x14:sparkline>
            <x14:sparkline>
              <xm:f>'Valuation Summary'!D65:N65</xm:f>
              <xm:sqref>O65</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5D3E-625B-4A97-946D-40BCDD52B962}">
  <dimension ref="A2:AN78"/>
  <sheetViews>
    <sheetView showGridLines="0" zoomScale="61" zoomScaleNormal="100" workbookViewId="0">
      <selection activeCell="O1" sqref="O1"/>
    </sheetView>
  </sheetViews>
  <sheetFormatPr defaultColWidth="9.59765625" defaultRowHeight="14.25" x14ac:dyDescent="0.45"/>
  <cols>
    <col min="1" max="1" width="3.59765625" style="268" customWidth="1"/>
    <col min="2" max="2" width="32.33203125" style="268" customWidth="1"/>
    <col min="3" max="4" width="9.6640625" style="268" customWidth="1"/>
    <col min="5" max="7" width="10.3984375" style="268" bestFit="1" customWidth="1"/>
    <col min="8" max="8" width="9.6640625" style="268" customWidth="1"/>
    <col min="9" max="9" width="0.73046875" customWidth="1"/>
    <col min="10" max="14" width="9.73046875" style="268" bestFit="1" customWidth="1"/>
    <col min="15" max="15" width="9.59765625" style="268"/>
    <col min="16" max="16" width="12" style="268" bestFit="1" customWidth="1"/>
    <col min="17" max="16384" width="9.59765625" style="268"/>
  </cols>
  <sheetData>
    <row r="2" spans="1:40" s="275" customFormat="1" ht="15" customHeight="1" x14ac:dyDescent="0.45">
      <c r="B2" s="277"/>
      <c r="C2" s="277"/>
      <c r="I2"/>
    </row>
    <row r="4" spans="1:40" ht="15" customHeight="1" x14ac:dyDescent="0.45">
      <c r="A4" s="268" t="s">
        <v>9</v>
      </c>
      <c r="B4" s="283" t="s">
        <v>10</v>
      </c>
      <c r="C4" s="283"/>
      <c r="D4" s="278"/>
      <c r="E4" s="278"/>
      <c r="F4" s="278"/>
      <c r="G4" s="278"/>
      <c r="H4" s="278"/>
      <c r="I4" s="282"/>
      <c r="J4" s="278"/>
      <c r="K4" s="278"/>
      <c r="L4" s="278"/>
      <c r="M4" s="278"/>
      <c r="N4" s="278"/>
      <c r="P4" s="278"/>
      <c r="Q4" s="278"/>
      <c r="R4" s="278"/>
      <c r="S4" s="278"/>
      <c r="T4" s="278"/>
    </row>
    <row r="5" spans="1:40" ht="15" customHeight="1" x14ac:dyDescent="0.45">
      <c r="D5" s="279" t="s">
        <v>109</v>
      </c>
      <c r="E5" s="280"/>
      <c r="F5" s="280"/>
      <c r="G5" s="280"/>
      <c r="H5" s="280"/>
      <c r="J5" s="279" t="s">
        <v>540</v>
      </c>
      <c r="K5" s="280"/>
      <c r="L5" s="280"/>
      <c r="M5" s="280"/>
      <c r="N5" s="280"/>
      <c r="P5" s="279" t="s">
        <v>650</v>
      </c>
      <c r="Q5" s="279"/>
      <c r="R5" s="279"/>
      <c r="S5" s="279"/>
      <c r="T5" s="279"/>
      <c r="U5" s="279"/>
      <c r="V5" s="279"/>
      <c r="W5" s="279"/>
      <c r="X5" s="279"/>
      <c r="Y5" s="279"/>
      <c r="Z5" s="279"/>
      <c r="AA5" s="279"/>
      <c r="AB5" s="279"/>
      <c r="AC5" s="279"/>
      <c r="AD5" s="279"/>
      <c r="AE5" s="279"/>
      <c r="AF5" s="279"/>
      <c r="AG5" s="279"/>
      <c r="AH5" s="279"/>
      <c r="AI5" s="279"/>
      <c r="AJ5" s="279"/>
      <c r="AK5" s="279"/>
      <c r="AL5" s="279"/>
      <c r="AM5" s="279"/>
      <c r="AN5" s="279"/>
    </row>
    <row r="6" spans="1:40" ht="15" customHeight="1" x14ac:dyDescent="0.45">
      <c r="B6" s="264" t="s">
        <v>543</v>
      </c>
      <c r="C6" s="264"/>
      <c r="D6" s="265">
        <v>2018</v>
      </c>
      <c r="E6" s="265">
        <f t="shared" ref="E6:N6" si="0">D6+1</f>
        <v>2019</v>
      </c>
      <c r="F6" s="265">
        <f t="shared" si="0"/>
        <v>2020</v>
      </c>
      <c r="G6" s="265">
        <f t="shared" si="0"/>
        <v>2021</v>
      </c>
      <c r="H6" s="265">
        <f t="shared" si="0"/>
        <v>2022</v>
      </c>
      <c r="J6" s="266">
        <f>H6+1</f>
        <v>2023</v>
      </c>
      <c r="K6" s="266">
        <f t="shared" si="0"/>
        <v>2024</v>
      </c>
      <c r="L6" s="266">
        <f t="shared" si="0"/>
        <v>2025</v>
      </c>
      <c r="M6" s="266">
        <f t="shared" si="0"/>
        <v>2026</v>
      </c>
      <c r="N6" s="266">
        <f t="shared" si="0"/>
        <v>2027</v>
      </c>
    </row>
    <row r="7" spans="1:40" s="267" customFormat="1" ht="15" customHeight="1" x14ac:dyDescent="0.45">
      <c r="B7" s="264" t="s">
        <v>542</v>
      </c>
      <c r="C7" s="268"/>
      <c r="D7" s="269">
        <f>AMZN_IS!C13</f>
        <v>232887</v>
      </c>
      <c r="E7" s="269">
        <f>AMZN_IS!D13</f>
        <v>280522</v>
      </c>
      <c r="F7" s="269">
        <f>AMZN_IS!E13</f>
        <v>386064</v>
      </c>
      <c r="G7" s="269">
        <f>AMZN_IS!F13</f>
        <v>469822</v>
      </c>
      <c r="H7" s="269">
        <f>AMZN_IS!G13</f>
        <v>513983</v>
      </c>
      <c r="J7" s="269">
        <f>AMZN_IS!H13</f>
        <v>559640.99699999997</v>
      </c>
      <c r="K7" s="269">
        <f>AMZN_IS!I13</f>
        <v>622029.49790804414</v>
      </c>
      <c r="L7" s="269">
        <f>AMZN_IS!J13</f>
        <v>689957.22583864792</v>
      </c>
      <c r="M7" s="269">
        <f>AMZN_IS!K13</f>
        <v>763394.09155672102</v>
      </c>
      <c r="N7" s="269">
        <f>AMZN_IS!L13</f>
        <v>842173.59956358478</v>
      </c>
      <c r="P7" s="524" t="s">
        <v>672</v>
      </c>
      <c r="R7" s="270"/>
    </row>
    <row r="8" spans="1:40" s="267" customFormat="1" ht="15" customHeight="1" x14ac:dyDescent="0.45">
      <c r="B8" s="284" t="s">
        <v>33</v>
      </c>
      <c r="C8" s="284"/>
      <c r="D8" s="285">
        <f>AMZN_IS!C15</f>
        <v>139156</v>
      </c>
      <c r="E8" s="285">
        <f>AMZN_IS!D15</f>
        <v>165536</v>
      </c>
      <c r="F8" s="285">
        <f>AMZN_IS!E15</f>
        <v>233307</v>
      </c>
      <c r="G8" s="285">
        <f>AMZN_IS!F15</f>
        <v>272344</v>
      </c>
      <c r="H8" s="285">
        <f>AMZN_IS!G15</f>
        <v>288831</v>
      </c>
      <c r="J8" s="285">
        <f>AMZN_IS!H15</f>
        <v>303166.93975256471</v>
      </c>
      <c r="K8" s="285">
        <f>AMZN_IS!I15</f>
        <v>333803.84389306518</v>
      </c>
      <c r="L8" s="285">
        <f>AMZN_IS!J15</f>
        <v>371029.87012453325</v>
      </c>
      <c r="M8" s="285">
        <f>AMZN_IS!K15</f>
        <v>411376.96293813997</v>
      </c>
      <c r="N8" s="285">
        <f>AMZN_IS!L15</f>
        <v>454773.74376433581</v>
      </c>
      <c r="P8" s="524" t="s">
        <v>663</v>
      </c>
      <c r="R8" s="270"/>
    </row>
    <row r="9" spans="1:40" s="267" customFormat="1" ht="15" customHeight="1" x14ac:dyDescent="0.45">
      <c r="B9" s="264" t="s">
        <v>34</v>
      </c>
      <c r="C9" s="268"/>
      <c r="D9" s="269">
        <f>D7-D8</f>
        <v>93731</v>
      </c>
      <c r="E9" s="269">
        <f t="shared" ref="E9:H9" si="1">E7-E8</f>
        <v>114986</v>
      </c>
      <c r="F9" s="269">
        <f t="shared" si="1"/>
        <v>152757</v>
      </c>
      <c r="G9" s="269">
        <f t="shared" si="1"/>
        <v>197478</v>
      </c>
      <c r="H9" s="269">
        <f t="shared" si="1"/>
        <v>225152</v>
      </c>
      <c r="J9" s="269">
        <f>J7-J8</f>
        <v>256474.05724743527</v>
      </c>
      <c r="K9" s="269">
        <f t="shared" ref="K9:N9" si="2">K7-K8</f>
        <v>288225.65401497897</v>
      </c>
      <c r="L9" s="269">
        <f t="shared" si="2"/>
        <v>318927.35571411467</v>
      </c>
      <c r="M9" s="269">
        <f t="shared" si="2"/>
        <v>352017.12861858105</v>
      </c>
      <c r="N9" s="269">
        <f t="shared" si="2"/>
        <v>387399.85579924897</v>
      </c>
      <c r="P9" s="525"/>
      <c r="R9" s="270"/>
    </row>
    <row r="10" spans="1:40" s="267" customFormat="1" ht="15" customHeight="1" x14ac:dyDescent="0.45">
      <c r="B10" s="268"/>
      <c r="C10" s="268"/>
      <c r="D10" s="269"/>
      <c r="E10" s="269"/>
      <c r="F10" s="269"/>
      <c r="G10" s="269"/>
      <c r="H10" s="269"/>
      <c r="J10" s="269"/>
      <c r="K10" s="269"/>
      <c r="L10" s="269"/>
      <c r="M10" s="269"/>
      <c r="N10" s="269"/>
      <c r="P10" s="525"/>
      <c r="R10" s="270"/>
    </row>
    <row r="11" spans="1:40" s="267" customFormat="1" ht="15" customHeight="1" x14ac:dyDescent="0.45">
      <c r="B11" s="268" t="s">
        <v>568</v>
      </c>
      <c r="C11" s="268"/>
      <c r="D11" s="269">
        <f>AMZN_IS!C20</f>
        <v>34027</v>
      </c>
      <c r="E11" s="269">
        <f>AMZN_IS!D20</f>
        <v>40231</v>
      </c>
      <c r="F11" s="269">
        <f>AMZN_IS!E20</f>
        <v>58516</v>
      </c>
      <c r="G11" s="269">
        <f>AMZN_IS!F20</f>
        <v>75111</v>
      </c>
      <c r="H11" s="269">
        <f>AMZN_IS!G20</f>
        <v>84299</v>
      </c>
      <c r="J11" s="269">
        <f>AMZN_IS!H20</f>
        <v>91520.767873729754</v>
      </c>
      <c r="K11" s="269">
        <f>AMZN_IS!I20</f>
        <v>100103.78826459442</v>
      </c>
      <c r="L11" s="269">
        <f>AMZN_IS!J20</f>
        <v>109671.43065885657</v>
      </c>
      <c r="M11" s="269">
        <f>AMZN_IS!K20</f>
        <v>119835.29759364319</v>
      </c>
      <c r="N11" s="269">
        <f>AMZN_IS!L20</f>
        <v>130536.90793235564</v>
      </c>
      <c r="P11" s="524" t="s">
        <v>667</v>
      </c>
      <c r="R11" s="270"/>
    </row>
    <row r="12" spans="1:40" s="267" customFormat="1" ht="15" customHeight="1" x14ac:dyDescent="0.45">
      <c r="B12" s="268" t="s">
        <v>569</v>
      </c>
      <c r="C12" s="268"/>
      <c r="D12" s="269">
        <f>AMZN_IS!C21</f>
        <v>16572</v>
      </c>
      <c r="E12" s="269">
        <f>AMZN_IS!D21</f>
        <v>35932</v>
      </c>
      <c r="F12" s="269">
        <f>AMZN_IS!E21</f>
        <v>42738</v>
      </c>
      <c r="G12" s="269">
        <f>AMZN_IS!F21</f>
        <v>56052</v>
      </c>
      <c r="H12" s="269">
        <f>AMZN_IS!G21</f>
        <v>73213</v>
      </c>
      <c r="J12" s="269">
        <f>AMZN_IS!H21</f>
        <v>81349.801625838809</v>
      </c>
      <c r="K12" s="269">
        <f>AMZN_IS!I21</f>
        <v>91417.759274984171</v>
      </c>
      <c r="L12" s="269">
        <f>AMZN_IS!J21</f>
        <v>102673.4177879312</v>
      </c>
      <c r="M12" s="269">
        <f>AMZN_IS!K21</f>
        <v>115009.62536136208</v>
      </c>
      <c r="N12" s="269">
        <f>AMZN_IS!L21</f>
        <v>128431.47393344667</v>
      </c>
      <c r="P12" s="524" t="s">
        <v>666</v>
      </c>
      <c r="R12" s="270"/>
    </row>
    <row r="13" spans="1:40" s="267" customFormat="1" ht="15" customHeight="1" x14ac:dyDescent="0.45">
      <c r="B13" s="268" t="s">
        <v>583</v>
      </c>
      <c r="C13" s="268"/>
      <c r="D13" s="269">
        <f>AMZN_IS!C22</f>
        <v>26079</v>
      </c>
      <c r="E13" s="269">
        <f>AMZN_IS!D22</f>
        <v>18879</v>
      </c>
      <c r="F13" s="269">
        <f>AMZN_IS!E22</f>
        <v>22010</v>
      </c>
      <c r="G13" s="269">
        <f>AMZN_IS!F22</f>
        <v>32551</v>
      </c>
      <c r="H13" s="269">
        <f>AMZN_IS!G22</f>
        <v>42238</v>
      </c>
      <c r="J13" s="269">
        <f>AMZN_IS!H22</f>
        <v>43843.280565354085</v>
      </c>
      <c r="K13" s="269">
        <f>AMZN_IS!I22</f>
        <v>46110.508647121074</v>
      </c>
      <c r="L13" s="269">
        <f>AMZN_IS!J22</f>
        <v>51346.218888374497</v>
      </c>
      <c r="M13" s="269">
        <f>AMZN_IS!K22</f>
        <v>57032.952477531362</v>
      </c>
      <c r="N13" s="269">
        <f>AMZN_IS!L22</f>
        <v>63163.019967268854</v>
      </c>
      <c r="P13" s="525" t="s">
        <v>665</v>
      </c>
      <c r="R13" s="270"/>
    </row>
    <row r="14" spans="1:40" s="267" customFormat="1" ht="15" customHeight="1" x14ac:dyDescent="0.45">
      <c r="B14" s="284" t="s">
        <v>584</v>
      </c>
      <c r="C14" s="284"/>
      <c r="D14" s="285">
        <f>AMZN_IS!C23+AMZN_IS!C24</f>
        <v>4633</v>
      </c>
      <c r="E14" s="285">
        <f>AMZN_IS!D23+AMZN_IS!D24</f>
        <v>5404</v>
      </c>
      <c r="F14" s="285">
        <f>AMZN_IS!E23+AMZN_IS!E24</f>
        <v>6594</v>
      </c>
      <c r="G14" s="285">
        <f>AMZN_IS!F23+AMZN_IS!F24</f>
        <v>8885</v>
      </c>
      <c r="H14" s="285">
        <f>AMZN_IS!G23+AMZN_IS!G24</f>
        <v>13154</v>
      </c>
      <c r="J14" s="285">
        <f>AMZN_IS!H23+AMZN_IS!H24</f>
        <v>12945.932682667431</v>
      </c>
      <c r="K14" s="285">
        <f>AMZN_IS!I23+AMZN_IS!I24</f>
        <v>13995.66370293095</v>
      </c>
      <c r="L14" s="285">
        <f>AMZN_IS!J23+AMZN_IS!J24</f>
        <v>13454.165903853602</v>
      </c>
      <c r="M14" s="285">
        <f>AMZN_IS!K23+AMZN_IS!K24</f>
        <v>12596.002510685877</v>
      </c>
      <c r="N14" s="285">
        <f>AMZN_IS!L23+AMZN_IS!L24</f>
        <v>11369.343594108395</v>
      </c>
      <c r="P14" s="525" t="s">
        <v>662</v>
      </c>
      <c r="R14" s="270"/>
    </row>
    <row r="15" spans="1:40" s="267" customFormat="1" ht="15" customHeight="1" x14ac:dyDescent="0.45">
      <c r="B15" s="264" t="s">
        <v>545</v>
      </c>
      <c r="C15" s="268"/>
      <c r="D15" s="269">
        <f>D9-SUM(D11:D14)</f>
        <v>12420</v>
      </c>
      <c r="E15" s="269">
        <f t="shared" ref="E15:H15" si="3">E9-SUM(E11:E14)</f>
        <v>14540</v>
      </c>
      <c r="F15" s="269">
        <f t="shared" si="3"/>
        <v>22899</v>
      </c>
      <c r="G15" s="269">
        <f t="shared" si="3"/>
        <v>24879</v>
      </c>
      <c r="H15" s="269">
        <f t="shared" si="3"/>
        <v>12248</v>
      </c>
      <c r="J15" s="269">
        <f>J9-SUM(J11:J14)</f>
        <v>26814.274499845196</v>
      </c>
      <c r="K15" s="269">
        <f t="shared" ref="K15:N15" si="4">K9-SUM(K11:K14)</f>
        <v>36597.934125348344</v>
      </c>
      <c r="L15" s="269">
        <f t="shared" si="4"/>
        <v>41782.122475098819</v>
      </c>
      <c r="M15" s="269">
        <f t="shared" si="4"/>
        <v>47543.250675358577</v>
      </c>
      <c r="N15" s="269">
        <f t="shared" si="4"/>
        <v>53899.110372069408</v>
      </c>
      <c r="P15" s="525"/>
      <c r="R15" s="270"/>
    </row>
    <row r="16" spans="1:40" s="267" customFormat="1" ht="15" customHeight="1" x14ac:dyDescent="0.45">
      <c r="B16" s="268"/>
      <c r="C16" s="268"/>
      <c r="D16" s="269"/>
      <c r="E16" s="269"/>
      <c r="F16" s="269"/>
      <c r="G16" s="269"/>
      <c r="H16" s="269"/>
      <c r="J16" s="269"/>
      <c r="K16" s="269"/>
      <c r="L16" s="269"/>
      <c r="M16" s="269"/>
      <c r="N16" s="269"/>
      <c r="P16" s="525"/>
      <c r="R16" s="270"/>
    </row>
    <row r="17" spans="1:18" s="267" customFormat="1" ht="15" customHeight="1" x14ac:dyDescent="0.45">
      <c r="B17" s="268" t="s">
        <v>585</v>
      </c>
      <c r="C17" s="268"/>
      <c r="D17" s="269">
        <f>AMZN_IS!C34+AMZN_IS!C35</f>
        <v>-977</v>
      </c>
      <c r="E17" s="269">
        <f>AMZN_IS!D34+AMZN_IS!D35</f>
        <v>-767</v>
      </c>
      <c r="F17" s="269">
        <f>AMZN_IS!E34+AMZN_IS!E35</f>
        <v>-1092</v>
      </c>
      <c r="G17" s="269">
        <f>AMZN_IS!F34+AMZN_IS!F35</f>
        <v>-1361</v>
      </c>
      <c r="H17" s="269">
        <f>AMZN_IS!G34+AMZN_IS!G35</f>
        <v>-1378</v>
      </c>
      <c r="J17" s="269">
        <f ca="1">AMZN_IS!H34+AMZN_IS!H35</f>
        <v>-1541.9207673628816</v>
      </c>
      <c r="K17" s="269">
        <f ca="1">AMZN_IS!I34+AMZN_IS!I35</f>
        <v>-2259.6521350236944</v>
      </c>
      <c r="L17" s="269">
        <f ca="1">AMZN_IS!J34+AMZN_IS!J35</f>
        <v>-2949.6681386982136</v>
      </c>
      <c r="M17" s="269">
        <f ca="1">AMZN_IS!K34+AMZN_IS!K35</f>
        <v>-3643.7677631374281</v>
      </c>
      <c r="N17" s="269">
        <f ca="1">AMZN_IS!L34+AMZN_IS!L35</f>
        <v>-4333.5539627676653</v>
      </c>
      <c r="P17" s="525"/>
      <c r="R17" s="270"/>
    </row>
    <row r="18" spans="1:18" s="267" customFormat="1" ht="15" customHeight="1" x14ac:dyDescent="0.45">
      <c r="B18" s="284" t="s">
        <v>586</v>
      </c>
      <c r="C18" s="284"/>
      <c r="D18" s="285">
        <f>AMZN_IS!C36</f>
        <v>-182</v>
      </c>
      <c r="E18" s="285">
        <f>AMZN_IS!D36</f>
        <v>202</v>
      </c>
      <c r="F18" s="285">
        <f>AMZN_IS!E36</f>
        <v>2371</v>
      </c>
      <c r="G18" s="285">
        <f>AMZN_IS!F36</f>
        <v>14633</v>
      </c>
      <c r="H18" s="285">
        <f>AMZN_IS!G36</f>
        <v>-16806</v>
      </c>
      <c r="J18" s="285">
        <f>AMZN_IS!H36</f>
        <v>-16789.229909999998</v>
      </c>
      <c r="K18" s="285">
        <f>AMZN_IS!I36</f>
        <v>-18660.884937241324</v>
      </c>
      <c r="L18" s="285">
        <f>AMZN_IS!J36</f>
        <v>-20698.716775159435</v>
      </c>
      <c r="M18" s="285">
        <f>AMZN_IS!K36</f>
        <v>-22901.82274670163</v>
      </c>
      <c r="N18" s="285">
        <f>AMZN_IS!L36</f>
        <v>-25265.207986907542</v>
      </c>
      <c r="P18" s="525"/>
      <c r="R18" s="270"/>
    </row>
    <row r="19" spans="1:18" s="267" customFormat="1" ht="15" customHeight="1" x14ac:dyDescent="0.45">
      <c r="B19" s="268" t="s">
        <v>587</v>
      </c>
      <c r="C19" s="268"/>
      <c r="D19" s="269">
        <f>D15+SUM(D17:D18)</f>
        <v>11261</v>
      </c>
      <c r="E19" s="269">
        <f t="shared" ref="E19:H19" si="5">E15+SUM(E17:E18)</f>
        <v>13975</v>
      </c>
      <c r="F19" s="269">
        <f t="shared" si="5"/>
        <v>24178</v>
      </c>
      <c r="G19" s="269">
        <f t="shared" si="5"/>
        <v>38151</v>
      </c>
      <c r="H19" s="269">
        <f t="shared" si="5"/>
        <v>-5936</v>
      </c>
      <c r="J19" s="269">
        <f ca="1">J15+SUM(J17:J18)</f>
        <v>8483.1238224823173</v>
      </c>
      <c r="K19" s="269">
        <f t="shared" ref="K19:N19" ca="1" si="6">K15+SUM(K17:K18)</f>
        <v>15677.397053083325</v>
      </c>
      <c r="L19" s="269">
        <f t="shared" ca="1" si="6"/>
        <v>18133.737561241171</v>
      </c>
      <c r="M19" s="269">
        <f t="shared" ca="1" si="6"/>
        <v>20997.660165519519</v>
      </c>
      <c r="N19" s="269">
        <f t="shared" ca="1" si="6"/>
        <v>24300.3484223942</v>
      </c>
      <c r="P19" s="525" t="s">
        <v>664</v>
      </c>
      <c r="R19" s="270"/>
    </row>
    <row r="20" spans="1:18" s="267" customFormat="1" ht="15" customHeight="1" x14ac:dyDescent="0.45">
      <c r="B20" s="268"/>
      <c r="C20" s="268"/>
      <c r="D20" s="269"/>
      <c r="E20" s="269"/>
      <c r="F20" s="269"/>
      <c r="G20" s="269"/>
      <c r="H20" s="269"/>
      <c r="J20" s="269"/>
      <c r="K20" s="269"/>
      <c r="L20" s="269"/>
      <c r="M20" s="269"/>
      <c r="N20" s="269"/>
      <c r="P20" s="525"/>
      <c r="R20" s="270"/>
    </row>
    <row r="21" spans="1:18" s="267" customFormat="1" ht="15" customHeight="1" x14ac:dyDescent="0.45">
      <c r="B21" s="268" t="s">
        <v>582</v>
      </c>
      <c r="C21" s="268"/>
      <c r="D21" s="269">
        <f>AMZN_IS!C39</f>
        <v>-1196</v>
      </c>
      <c r="E21" s="269">
        <f>AMZN_IS!D39</f>
        <v>-2373</v>
      </c>
      <c r="F21" s="269">
        <f>AMZN_IS!E39</f>
        <v>-2863</v>
      </c>
      <c r="G21" s="269">
        <f>AMZN_IS!F39</f>
        <v>-4791</v>
      </c>
      <c r="H21" s="269">
        <f>AMZN_IS!G39</f>
        <v>3217</v>
      </c>
      <c r="J21" s="269">
        <f ca="1">AMZN_IS!H39</f>
        <v>-1781.4560027212865</v>
      </c>
      <c r="K21" s="269">
        <f ca="1">AMZN_IS!I39</f>
        <v>-3292.2533811474982</v>
      </c>
      <c r="L21" s="269">
        <f ca="1">AMZN_IS!J39</f>
        <v>-3808.0848878606457</v>
      </c>
      <c r="M21" s="269">
        <f ca="1">AMZN_IS!K39</f>
        <v>-4409.5086347590986</v>
      </c>
      <c r="N21" s="269">
        <f ca="1">AMZN_IS!L39</f>
        <v>-5103.0731687027819</v>
      </c>
      <c r="P21" s="525" t="s">
        <v>668</v>
      </c>
      <c r="R21" s="270"/>
    </row>
    <row r="22" spans="1:18" s="267" customFormat="1" ht="15" customHeight="1" x14ac:dyDescent="0.45">
      <c r="B22" s="284" t="s">
        <v>588</v>
      </c>
      <c r="C22" s="284"/>
      <c r="D22" s="285">
        <f>AMZN_IS!C40</f>
        <v>8</v>
      </c>
      <c r="E22" s="285">
        <f>AMZN_IS!D40</f>
        <v>-14</v>
      </c>
      <c r="F22" s="285">
        <f>AMZN_IS!E40</f>
        <v>16</v>
      </c>
      <c r="G22" s="285">
        <f>AMZN_IS!F40</f>
        <v>4</v>
      </c>
      <c r="H22" s="285">
        <f>AMZN_IS!G40</f>
        <v>-3</v>
      </c>
      <c r="J22" s="285">
        <f>AMZN_IS!H40</f>
        <v>0</v>
      </c>
      <c r="K22" s="285">
        <f>AMZN_IS!I40</f>
        <v>0</v>
      </c>
      <c r="L22" s="285">
        <f>AMZN_IS!J40</f>
        <v>-114.99287097310798</v>
      </c>
      <c r="M22" s="285">
        <f>AMZN_IS!K40</f>
        <v>-254.46469718557367</v>
      </c>
      <c r="N22" s="285">
        <f>AMZN_IS!L40</f>
        <v>-421.08679978179242</v>
      </c>
      <c r="P22" s="525"/>
      <c r="R22" s="270"/>
    </row>
    <row r="23" spans="1:18" s="267" customFormat="1" ht="15" customHeight="1" x14ac:dyDescent="0.45">
      <c r="B23" s="264" t="s">
        <v>2</v>
      </c>
      <c r="C23" s="268"/>
      <c r="D23" s="269">
        <f>D19+SUM(D21:D22)</f>
        <v>10073</v>
      </c>
      <c r="E23" s="269">
        <f t="shared" ref="E23:H23" si="7">E19+SUM(E21:E22)</f>
        <v>11588</v>
      </c>
      <c r="F23" s="269">
        <f t="shared" si="7"/>
        <v>21331</v>
      </c>
      <c r="G23" s="269">
        <f t="shared" si="7"/>
        <v>33364</v>
      </c>
      <c r="H23" s="269">
        <f t="shared" si="7"/>
        <v>-2722</v>
      </c>
      <c r="J23" s="269">
        <f ca="1">J19+SUM(J21:J22)</f>
        <v>6701.6678197610308</v>
      </c>
      <c r="K23" s="269">
        <f t="shared" ref="K23:N23" ca="1" si="8">K19+SUM(K21:K22)</f>
        <v>12385.143671935826</v>
      </c>
      <c r="L23" s="269">
        <f t="shared" ca="1" si="8"/>
        <v>14210.659802407417</v>
      </c>
      <c r="M23" s="269">
        <f t="shared" ca="1" si="8"/>
        <v>16333.686833574848</v>
      </c>
      <c r="N23" s="269">
        <f t="shared" ca="1" si="8"/>
        <v>18776.188453909625</v>
      </c>
      <c r="P23" s="525"/>
      <c r="R23" s="270"/>
    </row>
    <row r="24" spans="1:18" s="267" customFormat="1" ht="15" customHeight="1" x14ac:dyDescent="0.45">
      <c r="B24" s="264"/>
      <c r="C24" s="268"/>
      <c r="D24" s="269"/>
      <c r="E24" s="269"/>
      <c r="F24" s="269"/>
      <c r="G24" s="269"/>
      <c r="H24" s="269"/>
      <c r="I24"/>
      <c r="J24" s="269"/>
      <c r="K24" s="269"/>
      <c r="L24" s="269"/>
      <c r="M24" s="269"/>
      <c r="N24" s="269"/>
      <c r="P24" s="525"/>
      <c r="R24" s="270"/>
    </row>
    <row r="25" spans="1:18" s="267" customFormat="1" ht="15" customHeight="1" x14ac:dyDescent="0.45">
      <c r="B25" s="284" t="s">
        <v>589</v>
      </c>
      <c r="C25" s="284"/>
      <c r="D25" s="285"/>
      <c r="E25" s="285"/>
      <c r="F25" s="285">
        <f>AMZN_IS!E45</f>
        <v>10198</v>
      </c>
      <c r="G25" s="285">
        <f>AMZN_IS!F45</f>
        <v>10296</v>
      </c>
      <c r="H25" s="285">
        <f>AMZN_IS!G45</f>
        <v>10189</v>
      </c>
      <c r="J25" s="285">
        <f>AMZN_IS!H45</f>
        <v>10347</v>
      </c>
      <c r="K25" s="285">
        <f>AMZN_IS!I45</f>
        <v>10347</v>
      </c>
      <c r="L25" s="285">
        <f>AMZN_IS!J45</f>
        <v>10347</v>
      </c>
      <c r="M25" s="285">
        <f>AMZN_IS!K45</f>
        <v>10347</v>
      </c>
      <c r="N25" s="285">
        <f>AMZN_IS!L45</f>
        <v>10347</v>
      </c>
      <c r="P25" s="525" t="s">
        <v>669</v>
      </c>
      <c r="R25" s="270"/>
    </row>
    <row r="26" spans="1:18" s="267" customFormat="1" ht="15" customHeight="1" x14ac:dyDescent="0.45">
      <c r="B26" s="264" t="s">
        <v>615</v>
      </c>
      <c r="C26" s="268"/>
      <c r="D26" s="269"/>
      <c r="E26" s="269"/>
      <c r="F26" s="289">
        <f>F23/F25</f>
        <v>2.0916846440478527</v>
      </c>
      <c r="G26" s="289">
        <f t="shared" ref="G26:J26" si="9">G23/G25</f>
        <v>3.2404817404817403</v>
      </c>
      <c r="H26" s="289">
        <f t="shared" si="9"/>
        <v>-0.2671508489547551</v>
      </c>
      <c r="J26" s="289">
        <f t="shared" ca="1" si="9"/>
        <v>0.6476918739500368</v>
      </c>
      <c r="K26" s="289">
        <f t="shared" ref="K26" ca="1" si="10">K23/K25</f>
        <v>1.1969791893240385</v>
      </c>
      <c r="L26" s="289">
        <f t="shared" ref="L26" ca="1" si="11">L23/L25</f>
        <v>1.3734086984060518</v>
      </c>
      <c r="M26" s="289">
        <f t="shared" ref="M26" ca="1" si="12">M23/M25</f>
        <v>1.578591556352068</v>
      </c>
      <c r="N26" s="289">
        <f t="shared" ref="N26" ca="1" si="13">N23/N25</f>
        <v>1.8146504739450686</v>
      </c>
      <c r="P26" s="525"/>
      <c r="R26" s="270"/>
    </row>
    <row r="27" spans="1:18" s="267" customFormat="1" ht="15" customHeight="1" x14ac:dyDescent="0.45">
      <c r="B27" s="264"/>
      <c r="C27" s="268"/>
      <c r="D27" s="269"/>
      <c r="E27" s="269"/>
      <c r="F27" s="269"/>
      <c r="G27" s="269"/>
      <c r="H27" s="269"/>
      <c r="I27"/>
      <c r="J27" s="269"/>
      <c r="K27" s="269"/>
      <c r="L27" s="269"/>
      <c r="M27" s="269"/>
      <c r="N27" s="269"/>
      <c r="P27" s="525"/>
      <c r="R27" s="270"/>
    </row>
    <row r="28" spans="1:18" s="267" customFormat="1" ht="15" customHeight="1" x14ac:dyDescent="0.45">
      <c r="B28" s="277" t="s">
        <v>1</v>
      </c>
      <c r="C28" s="275"/>
      <c r="D28" s="276">
        <f>AMZN_IS!C27</f>
        <v>27761</v>
      </c>
      <c r="E28" s="276">
        <f>AMZN_IS!D27</f>
        <v>36329</v>
      </c>
      <c r="F28" s="276">
        <f>AMZN_IS!E27</f>
        <v>48150</v>
      </c>
      <c r="G28" s="276">
        <f>AMZN_IS!F27</f>
        <v>59175</v>
      </c>
      <c r="H28" s="276">
        <f>AMZN_IS!G27</f>
        <v>53709</v>
      </c>
      <c r="J28" s="276">
        <f>AMZN_IS!H27</f>
        <v>73152.549051445181</v>
      </c>
      <c r="K28" s="276">
        <f>AMZN_IS!I27</f>
        <v>87565.476110188698</v>
      </c>
      <c r="L28" s="276">
        <f>AMZN_IS!J27</f>
        <v>97565.164184153517</v>
      </c>
      <c r="M28" s="276">
        <f>AMZN_IS!K27</f>
        <v>108261.70823255129</v>
      </c>
      <c r="N28" s="276">
        <f>AMZN_IS!L27</f>
        <v>119588.65113802903</v>
      </c>
      <c r="P28" s="525"/>
      <c r="R28" s="270"/>
    </row>
    <row r="29" spans="1:18" s="267" customFormat="1" ht="15" customHeight="1" x14ac:dyDescent="0.45">
      <c r="B29" s="268"/>
      <c r="C29" s="268"/>
      <c r="D29" s="269"/>
      <c r="E29" s="269"/>
      <c r="F29" s="269"/>
      <c r="G29" s="269"/>
      <c r="H29" s="269"/>
      <c r="I29"/>
      <c r="J29" s="269"/>
      <c r="K29" s="269"/>
      <c r="L29" s="269"/>
      <c r="M29" s="269"/>
      <c r="N29" s="269"/>
      <c r="P29" s="525"/>
      <c r="R29" s="270"/>
    </row>
    <row r="30" spans="1:18" x14ac:dyDescent="0.45">
      <c r="A30" s="268" t="s">
        <v>9</v>
      </c>
      <c r="B30" s="283" t="s">
        <v>28</v>
      </c>
      <c r="C30" s="283"/>
      <c r="D30" s="278"/>
      <c r="E30" s="278"/>
      <c r="F30" s="278"/>
      <c r="G30" s="278"/>
      <c r="H30" s="278"/>
      <c r="I30" s="282"/>
      <c r="J30" s="278"/>
      <c r="K30" s="278"/>
      <c r="L30" s="278"/>
      <c r="M30" s="278"/>
      <c r="N30" s="278"/>
      <c r="P30" s="264"/>
    </row>
    <row r="31" spans="1:18" x14ac:dyDescent="0.45">
      <c r="D31" s="279" t="s">
        <v>109</v>
      </c>
      <c r="E31" s="280"/>
      <c r="F31" s="280"/>
      <c r="G31" s="280"/>
      <c r="H31" s="280"/>
      <c r="J31" s="279" t="s">
        <v>540</v>
      </c>
      <c r="K31" s="280"/>
      <c r="L31" s="280"/>
      <c r="M31" s="280"/>
      <c r="N31" s="280"/>
      <c r="P31" s="264"/>
    </row>
    <row r="32" spans="1:18" x14ac:dyDescent="0.45">
      <c r="B32" s="264" t="s">
        <v>543</v>
      </c>
      <c r="C32" s="264"/>
      <c r="D32" s="265">
        <v>2018</v>
      </c>
      <c r="E32" s="265">
        <f t="shared" ref="E32" si="14">D32+1</f>
        <v>2019</v>
      </c>
      <c r="F32" s="265">
        <f t="shared" ref="F32" si="15">E32+1</f>
        <v>2020</v>
      </c>
      <c r="G32" s="265">
        <f t="shared" ref="G32" si="16">F32+1</f>
        <v>2021</v>
      </c>
      <c r="H32" s="265">
        <f t="shared" ref="H32" si="17">G32+1</f>
        <v>2022</v>
      </c>
      <c r="J32" s="266">
        <f>H32+1</f>
        <v>2023</v>
      </c>
      <c r="K32" s="266">
        <f t="shared" ref="K32" si="18">J32+1</f>
        <v>2024</v>
      </c>
      <c r="L32" s="266">
        <f t="shared" ref="L32" si="19">K32+1</f>
        <v>2025</v>
      </c>
      <c r="M32" s="266">
        <f t="shared" ref="M32" si="20">L32+1</f>
        <v>2026</v>
      </c>
      <c r="N32" s="266">
        <f t="shared" ref="N32" si="21">M32+1</f>
        <v>2027</v>
      </c>
      <c r="P32" s="264"/>
    </row>
    <row r="33" spans="2:16" x14ac:dyDescent="0.45">
      <c r="B33" s="264" t="s">
        <v>590</v>
      </c>
      <c r="D33" s="269"/>
      <c r="E33" s="269"/>
      <c r="F33" s="269"/>
      <c r="G33" s="269"/>
      <c r="H33" s="269"/>
      <c r="J33" s="269"/>
      <c r="K33" s="269"/>
      <c r="L33" s="269"/>
      <c r="M33" s="269"/>
      <c r="N33" s="269"/>
      <c r="P33" s="264"/>
    </row>
    <row r="34" spans="2:16" x14ac:dyDescent="0.45">
      <c r="B34" s="268" t="s">
        <v>617</v>
      </c>
      <c r="D34" s="269">
        <f>AMZN_BS!C8+AMZN_BS!C9</f>
        <v>41250</v>
      </c>
      <c r="E34" s="269">
        <f>AMZN_BS!D8+AMZN_BS!D9</f>
        <v>55021</v>
      </c>
      <c r="F34" s="269">
        <f>AMZN_BS!E8+AMZN_BS!E9</f>
        <v>84396</v>
      </c>
      <c r="G34" s="269">
        <f>AMZN_BS!F8+AMZN_BS!F9</f>
        <v>96049</v>
      </c>
      <c r="H34" s="269">
        <f>AMZN_BS!G8+AMZN_BS!G9</f>
        <v>70026</v>
      </c>
      <c r="J34" s="269">
        <f>AMZN_BS!H8+AMZN_BS!H9</f>
        <v>79729.676284931498</v>
      </c>
      <c r="K34" s="269">
        <f>AMZN_BS!I8+AMZN_BS!I9</f>
        <v>87765.805869217191</v>
      </c>
      <c r="L34" s="269">
        <f>AMZN_BS!J8+AMZN_BS!J9</f>
        <v>96404.982240468613</v>
      </c>
      <c r="M34" s="269">
        <f>AMZN_BS!K8+AMZN_BS!K9</f>
        <v>105620.27842086139</v>
      </c>
      <c r="N34" s="269">
        <f>AMZN_BS!L8+AMZN_BS!L9</f>
        <v>115366.24651555956</v>
      </c>
      <c r="P34" s="525" t="s">
        <v>673</v>
      </c>
    </row>
    <row r="35" spans="2:16" x14ac:dyDescent="0.45">
      <c r="B35" s="268" t="s">
        <v>591</v>
      </c>
      <c r="D35" s="269">
        <f>AMZN_BS!C10</f>
        <v>17174</v>
      </c>
      <c r="E35" s="269">
        <f>AMZN_BS!D10</f>
        <v>20497</v>
      </c>
      <c r="F35" s="269">
        <f>AMZN_BS!E10</f>
        <v>23795</v>
      </c>
      <c r="G35" s="269">
        <f>AMZN_BS!F10</f>
        <v>32640</v>
      </c>
      <c r="H35" s="269">
        <f>AMZN_BS!G10</f>
        <v>34405</v>
      </c>
      <c r="J35" s="269">
        <f>AMZN_BS!H10</f>
        <v>37376.745996891543</v>
      </c>
      <c r="K35" s="269">
        <f>AMZN_BS!I10</f>
        <v>40468.00025278941</v>
      </c>
      <c r="L35" s="269">
        <f>AMZN_BS!J10</f>
        <v>44218.628357307389</v>
      </c>
      <c r="M35" s="269">
        <f>AMZN_BS!K10</f>
        <v>48181.822371521877</v>
      </c>
      <c r="N35" s="269">
        <f>AMZN_BS!L10</f>
        <v>52330.129419457822</v>
      </c>
      <c r="P35" s="525" t="s">
        <v>670</v>
      </c>
    </row>
    <row r="36" spans="2:16" x14ac:dyDescent="0.45">
      <c r="B36" s="284" t="s">
        <v>592</v>
      </c>
      <c r="C36" s="284"/>
      <c r="D36" s="285">
        <f>AMZN_BS!C11</f>
        <v>16677</v>
      </c>
      <c r="E36" s="285">
        <f>AMZN_BS!D11</f>
        <v>20816</v>
      </c>
      <c r="F36" s="285">
        <f>AMZN_BS!E11</f>
        <v>24542</v>
      </c>
      <c r="G36" s="285">
        <f>AMZN_BS!F11</f>
        <v>32891</v>
      </c>
      <c r="H36" s="285">
        <f>AMZN_BS!G11</f>
        <v>42360</v>
      </c>
      <c r="J36" s="285">
        <f>AMZN_BS!H11</f>
        <v>38331.575136986299</v>
      </c>
      <c r="K36" s="285">
        <f>AMZN_BS!I11</f>
        <v>43882.902934608588</v>
      </c>
      <c r="L36" s="285">
        <f>AMZN_BS!J11</f>
        <v>50092.78488965526</v>
      </c>
      <c r="M36" s="285">
        <f>AMZN_BS!K11</f>
        <v>56993.120534029171</v>
      </c>
      <c r="N36" s="285">
        <f>AMZN_BS!L11</f>
        <v>64605.098048713349</v>
      </c>
      <c r="P36" s="525" t="s">
        <v>671</v>
      </c>
    </row>
    <row r="37" spans="2:16" x14ac:dyDescent="0.45">
      <c r="B37" s="268" t="s">
        <v>77</v>
      </c>
      <c r="D37" s="269">
        <f>SUM(D34:D36)</f>
        <v>75101</v>
      </c>
      <c r="E37" s="269">
        <f t="shared" ref="E37:H37" si="22">SUM(E34:E36)</f>
        <v>96334</v>
      </c>
      <c r="F37" s="269">
        <f t="shared" si="22"/>
        <v>132733</v>
      </c>
      <c r="G37" s="269">
        <f t="shared" si="22"/>
        <v>161580</v>
      </c>
      <c r="H37" s="269">
        <f t="shared" si="22"/>
        <v>146791</v>
      </c>
      <c r="J37" s="269">
        <f>SUM(J34:J36)</f>
        <v>155437.99741880933</v>
      </c>
      <c r="K37" s="269">
        <f t="shared" ref="K37:N37" si="23">SUM(K34:K36)</f>
        <v>172116.70905661519</v>
      </c>
      <c r="L37" s="269">
        <f t="shared" si="23"/>
        <v>190716.39548743126</v>
      </c>
      <c r="M37" s="269">
        <f t="shared" si="23"/>
        <v>210795.22132641243</v>
      </c>
      <c r="N37" s="269">
        <f t="shared" si="23"/>
        <v>232301.47398373071</v>
      </c>
      <c r="P37" s="264"/>
    </row>
    <row r="38" spans="2:16" x14ac:dyDescent="0.45">
      <c r="B38" s="264"/>
      <c r="D38" s="269"/>
      <c r="E38" s="269"/>
      <c r="F38" s="269"/>
      <c r="G38" s="269"/>
      <c r="H38" s="269"/>
      <c r="J38" s="269"/>
      <c r="K38" s="269"/>
      <c r="L38" s="269"/>
      <c r="M38" s="269"/>
      <c r="N38" s="269"/>
      <c r="P38" s="264"/>
    </row>
    <row r="39" spans="2:16" x14ac:dyDescent="0.45">
      <c r="B39" s="268" t="s">
        <v>593</v>
      </c>
      <c r="D39" s="269">
        <f>AMZN_BS!C15</f>
        <v>61797</v>
      </c>
      <c r="E39" s="269">
        <f>AMZN_BS!D15</f>
        <v>72705</v>
      </c>
      <c r="F39" s="269">
        <f>AMZN_BS!E15</f>
        <v>113114</v>
      </c>
      <c r="G39" s="269">
        <f>AMZN_BS!F15</f>
        <v>160281</v>
      </c>
      <c r="H39" s="269">
        <f>AMZN_BS!G15</f>
        <v>186715</v>
      </c>
      <c r="J39" s="269">
        <f>AMZN_BS!H15</f>
        <v>207533.64508839999</v>
      </c>
      <c r="K39" s="269">
        <f>AMZN_BS!I15</f>
        <v>228099.49536298472</v>
      </c>
      <c r="L39" s="269">
        <f>AMZN_BS!J15</f>
        <v>248211.7484961813</v>
      </c>
      <c r="M39" s="269">
        <f>AMZN_BS!K15</f>
        <v>267649.6705524443</v>
      </c>
      <c r="N39" s="269">
        <f>AMZN_BS!L15</f>
        <v>286177.4897428432</v>
      </c>
      <c r="P39" s="525" t="s">
        <v>674</v>
      </c>
    </row>
    <row r="40" spans="2:16" x14ac:dyDescent="0.45">
      <c r="B40" s="268" t="s">
        <v>36</v>
      </c>
      <c r="D40" s="269">
        <f>AMZN_BS!C16</f>
        <v>14548</v>
      </c>
      <c r="E40" s="269">
        <f>AMZN_BS!D16</f>
        <v>14754</v>
      </c>
      <c r="F40" s="269">
        <f>AMZN_BS!E16</f>
        <v>15017</v>
      </c>
      <c r="G40" s="269">
        <f>AMZN_BS!F16</f>
        <v>15371</v>
      </c>
      <c r="H40" s="269">
        <f>AMZN_BS!G16</f>
        <v>20288</v>
      </c>
      <c r="J40" s="269">
        <f>AMZN_BS!H16</f>
        <v>21855.639879999999</v>
      </c>
      <c r="K40" s="269">
        <f>AMZN_BS!I16</f>
        <v>24881.179916321766</v>
      </c>
      <c r="L40" s="269">
        <f>AMZN_BS!J16</f>
        <v>27598.289033545916</v>
      </c>
      <c r="M40" s="269">
        <f>AMZN_BS!K16</f>
        <v>30535.763662268841</v>
      </c>
      <c r="N40" s="269">
        <f>AMZN_BS!L16</f>
        <v>33686.943982543395</v>
      </c>
      <c r="P40" s="264" t="s">
        <v>675</v>
      </c>
    </row>
    <row r="41" spans="2:16" x14ac:dyDescent="0.45">
      <c r="B41" s="284" t="s">
        <v>594</v>
      </c>
      <c r="C41" s="284"/>
      <c r="D41" s="285">
        <f>AMZN_BS!C17</f>
        <v>11202</v>
      </c>
      <c r="E41" s="285">
        <f>AMZN_BS!D17</f>
        <v>41455</v>
      </c>
      <c r="F41" s="285">
        <f>AMZN_BS!E17</f>
        <v>60331</v>
      </c>
      <c r="G41" s="285">
        <f>AMZN_BS!F17</f>
        <v>83317</v>
      </c>
      <c r="H41" s="285">
        <f>AMZN_BS!G17</f>
        <v>108881</v>
      </c>
      <c r="J41" s="285">
        <f>AMZN_BS!H17</f>
        <v>111928.1994</v>
      </c>
      <c r="K41" s="285">
        <f>AMZN_BS!I17</f>
        <v>127516.04707114906</v>
      </c>
      <c r="L41" s="285">
        <f>AMZN_BS!J17</f>
        <v>144891.01742611607</v>
      </c>
      <c r="M41" s="285">
        <f>AMZN_BS!K17</f>
        <v>164129.72968469502</v>
      </c>
      <c r="N41" s="285">
        <f>AMZN_BS!L17</f>
        <v>185278.19190398866</v>
      </c>
      <c r="P41" s="264" t="s">
        <v>678</v>
      </c>
    </row>
    <row r="42" spans="2:16" x14ac:dyDescent="0.45">
      <c r="B42" s="264" t="s">
        <v>27</v>
      </c>
      <c r="C42" s="264"/>
      <c r="D42" s="290">
        <f>D37+SUM(D39:D41)</f>
        <v>162648</v>
      </c>
      <c r="E42" s="290">
        <f t="shared" ref="E42:H42" si="24">E37+SUM(E39:E41)</f>
        <v>225248</v>
      </c>
      <c r="F42" s="290">
        <f t="shared" si="24"/>
        <v>321195</v>
      </c>
      <c r="G42" s="290">
        <f t="shared" si="24"/>
        <v>420549</v>
      </c>
      <c r="H42" s="290">
        <f t="shared" si="24"/>
        <v>462675</v>
      </c>
      <c r="I42" s="291"/>
      <c r="J42" s="290">
        <f>J37+SUM(J39:J41)</f>
        <v>496755.48178720934</v>
      </c>
      <c r="K42" s="290">
        <f t="shared" ref="K42:N42" si="25">K37+SUM(K39:K41)</f>
        <v>552613.43140707072</v>
      </c>
      <c r="L42" s="290">
        <f t="shared" si="25"/>
        <v>611417.45044327457</v>
      </c>
      <c r="M42" s="290">
        <f t="shared" si="25"/>
        <v>673110.38522582059</v>
      </c>
      <c r="N42" s="290">
        <f t="shared" si="25"/>
        <v>737444.09961310599</v>
      </c>
      <c r="P42" s="264"/>
    </row>
    <row r="43" spans="2:16" x14ac:dyDescent="0.45">
      <c r="B43" s="264"/>
      <c r="D43" s="269"/>
      <c r="E43" s="269"/>
      <c r="F43" s="269"/>
      <c r="G43" s="269"/>
      <c r="H43" s="269"/>
      <c r="J43" s="269"/>
      <c r="K43" s="269"/>
      <c r="L43" s="269"/>
      <c r="M43" s="269"/>
      <c r="N43" s="269"/>
      <c r="P43" s="264"/>
    </row>
    <row r="44" spans="2:16" x14ac:dyDescent="0.45">
      <c r="B44" s="283" t="s">
        <v>595</v>
      </c>
      <c r="C44" s="278"/>
      <c r="D44" s="287"/>
      <c r="E44" s="287"/>
      <c r="F44" s="287"/>
      <c r="G44" s="287"/>
      <c r="H44" s="287"/>
      <c r="I44" s="282"/>
      <c r="J44" s="287"/>
      <c r="K44" s="287"/>
      <c r="L44" s="287"/>
      <c r="M44" s="287"/>
      <c r="N44" s="287"/>
      <c r="P44" s="264"/>
    </row>
    <row r="45" spans="2:16" x14ac:dyDescent="0.45">
      <c r="B45" s="268" t="s">
        <v>596</v>
      </c>
      <c r="D45" s="269">
        <f>AMZN_BS!C23</f>
        <v>38192</v>
      </c>
      <c r="E45" s="269">
        <f>AMZN_BS!D23</f>
        <v>47183</v>
      </c>
      <c r="F45" s="269">
        <f>AMZN_BS!E23</f>
        <v>72539</v>
      </c>
      <c r="G45" s="269">
        <f>AMZN_BS!F23</f>
        <v>78664</v>
      </c>
      <c r="H45" s="269">
        <f>AMZN_BS!G23</f>
        <v>79600</v>
      </c>
      <c r="J45" s="269">
        <f>AMZN_BS!H23</f>
        <v>87212.407326080254</v>
      </c>
      <c r="K45" s="269">
        <f>AMZN_BS!I23</f>
        <v>96025.763311703675</v>
      </c>
      <c r="L45" s="269">
        <f>AMZN_BS!J23</f>
        <v>106734.62017281093</v>
      </c>
      <c r="M45" s="269">
        <f>AMZN_BS!K23</f>
        <v>118341.31810549233</v>
      </c>
      <c r="N45" s="269">
        <f>AMZN_BS!L23</f>
        <v>130825.32354864455</v>
      </c>
      <c r="P45" s="525" t="s">
        <v>676</v>
      </c>
    </row>
    <row r="46" spans="2:16" x14ac:dyDescent="0.45">
      <c r="B46" s="268" t="s">
        <v>19</v>
      </c>
      <c r="D46" s="269">
        <f>AMZN_BS!C30</f>
        <v>23495</v>
      </c>
      <c r="E46" s="269">
        <f>AMZN_BS!D30</f>
        <v>23414</v>
      </c>
      <c r="F46" s="269">
        <f>AMZN_BS!E30</f>
        <v>31816</v>
      </c>
      <c r="G46" s="269">
        <f>AMZN_BS!F30</f>
        <v>48744</v>
      </c>
      <c r="H46" s="269">
        <f>AMZN_BS!G30</f>
        <v>67150</v>
      </c>
      <c r="J46" s="269">
        <f ca="1">AMZN_BS!H30</f>
        <v>76034.364610368037</v>
      </c>
      <c r="K46" s="269">
        <f ca="1">AMZN_BS!I30</f>
        <v>100106.03230970807</v>
      </c>
      <c r="L46" s="269">
        <f ca="1">AMZN_BS!J30</f>
        <v>123702.35972501454</v>
      </c>
      <c r="M46" s="269">
        <f ca="1">AMZN_BS!K30</f>
        <v>147730.169892882</v>
      </c>
      <c r="N46" s="269">
        <f ca="1">AMZN_BS!L30</f>
        <v>171940.03319699527</v>
      </c>
      <c r="P46" s="264" t="s">
        <v>677</v>
      </c>
    </row>
    <row r="47" spans="2:16" x14ac:dyDescent="0.45">
      <c r="B47" s="284" t="s">
        <v>597</v>
      </c>
      <c r="C47" s="284"/>
      <c r="D47" s="285">
        <f>AMZN_BS!C24+AMZN_BS!C25+AMZN_BS!C29+AMZN_BS!C31</f>
        <v>57412</v>
      </c>
      <c r="E47" s="285">
        <f>AMZN_BS!D24+AMZN_BS!D25+AMZN_BS!D29+AMZN_BS!D31</f>
        <v>92591</v>
      </c>
      <c r="F47" s="285">
        <f>AMZN_BS!E24+AMZN_BS!E25+AMZN_BS!E29+AMZN_BS!E31</f>
        <v>123436</v>
      </c>
      <c r="G47" s="285">
        <f>AMZN_BS!F24+AMZN_BS!F25+AMZN_BS!F29+AMZN_BS!F31</f>
        <v>154896</v>
      </c>
      <c r="H47" s="285">
        <f>AMZN_BS!G24+AMZN_BS!G25+AMZN_BS!G29+AMZN_BS!G31</f>
        <v>169882</v>
      </c>
      <c r="J47" s="285">
        <f>AMZN_BS!H24+AMZN_BS!H25+AMZN_BS!H29+AMZN_BS!H31</f>
        <v>180764.04203100002</v>
      </c>
      <c r="K47" s="285">
        <f>AMZN_BS!I24+AMZN_BS!I25+AMZN_BS!I29+AMZN_BS!I31</f>
        <v>191351.82429396207</v>
      </c>
      <c r="L47" s="285">
        <f>AMZN_BS!J24+AMZN_BS!J25+AMZN_BS!J29+AMZN_BS!J31</f>
        <v>201639.99925134485</v>
      </c>
      <c r="M47" s="285">
        <f>AMZN_BS!K24+AMZN_BS!K25+AMZN_BS!K29+AMZN_BS!K31</f>
        <v>211364.73909976715</v>
      </c>
      <c r="N47" s="285">
        <f>AMZN_BS!L24+AMZN_BS!L25+AMZN_BS!L29+AMZN_BS!L31</f>
        <v>220228.39628587742</v>
      </c>
      <c r="P47" s="264" t="s">
        <v>678</v>
      </c>
    </row>
    <row r="48" spans="2:16" x14ac:dyDescent="0.45">
      <c r="B48" s="268" t="s">
        <v>598</v>
      </c>
      <c r="D48" s="269">
        <f>SUM(D45:D47)</f>
        <v>119099</v>
      </c>
      <c r="E48" s="269">
        <f t="shared" ref="E48:H48" si="26">SUM(E45:E47)</f>
        <v>163188</v>
      </c>
      <c r="F48" s="269">
        <f t="shared" si="26"/>
        <v>227791</v>
      </c>
      <c r="G48" s="269">
        <f t="shared" si="26"/>
        <v>282304</v>
      </c>
      <c r="H48" s="269">
        <f t="shared" si="26"/>
        <v>316632</v>
      </c>
      <c r="J48" s="269">
        <f ca="1">SUM(J45:J47)</f>
        <v>344010.81396744831</v>
      </c>
      <c r="K48" s="269">
        <f t="shared" ref="K48:N48" ca="1" si="27">SUM(K45:K47)</f>
        <v>387483.61991537386</v>
      </c>
      <c r="L48" s="269">
        <f t="shared" ca="1" si="27"/>
        <v>432076.97914917034</v>
      </c>
      <c r="M48" s="269">
        <f t="shared" ca="1" si="27"/>
        <v>477436.22709814145</v>
      </c>
      <c r="N48" s="269">
        <f t="shared" ca="1" si="27"/>
        <v>522993.75303151726</v>
      </c>
      <c r="P48" s="264"/>
    </row>
    <row r="49" spans="1:16" x14ac:dyDescent="0.45">
      <c r="B49" s="264"/>
      <c r="D49" s="269"/>
      <c r="E49" s="269"/>
      <c r="F49" s="269"/>
      <c r="G49" s="269"/>
      <c r="H49" s="269"/>
      <c r="J49" s="269"/>
      <c r="K49" s="269"/>
      <c r="L49" s="269"/>
      <c r="M49" s="269"/>
      <c r="N49" s="269"/>
      <c r="P49" s="264"/>
    </row>
    <row r="50" spans="1:16" x14ac:dyDescent="0.45">
      <c r="B50" s="283" t="s">
        <v>599</v>
      </c>
      <c r="C50" s="278"/>
      <c r="D50" s="287"/>
      <c r="E50" s="287"/>
      <c r="F50" s="287"/>
      <c r="G50" s="287"/>
      <c r="H50" s="287"/>
      <c r="I50" s="282"/>
      <c r="J50" s="287"/>
      <c r="K50" s="287"/>
      <c r="L50" s="287"/>
      <c r="M50" s="287"/>
      <c r="N50" s="287"/>
      <c r="P50" s="264"/>
    </row>
    <row r="51" spans="1:16" x14ac:dyDescent="0.45">
      <c r="B51" s="284" t="s">
        <v>600</v>
      </c>
      <c r="C51" s="284"/>
      <c r="D51" s="285">
        <f>AMZN_BS!C41</f>
        <v>43549</v>
      </c>
      <c r="E51" s="285">
        <f>AMZN_BS!D41</f>
        <v>62060</v>
      </c>
      <c r="F51" s="285">
        <f>AMZN_BS!E41</f>
        <v>93404</v>
      </c>
      <c r="G51" s="285">
        <f>AMZN_BS!F41</f>
        <v>138245</v>
      </c>
      <c r="H51" s="285">
        <f>AMZN_BS!G41</f>
        <v>146043</v>
      </c>
      <c r="J51" s="285">
        <f ca="1">AMZN_BS!H41</f>
        <v>152744.66781976103</v>
      </c>
      <c r="K51" s="285">
        <f ca="1">AMZN_BS!I41</f>
        <v>165129.81149169686</v>
      </c>
      <c r="L51" s="285">
        <f ca="1">AMZN_BS!J41</f>
        <v>179340.4712941043</v>
      </c>
      <c r="M51" s="285">
        <f ca="1">AMZN_BS!K41</f>
        <v>195674.15812767914</v>
      </c>
      <c r="N51" s="285">
        <f ca="1">AMZN_BS!L41</f>
        <v>214450.34658158876</v>
      </c>
      <c r="P51" s="264" t="s">
        <v>679</v>
      </c>
    </row>
    <row r="52" spans="1:16" x14ac:dyDescent="0.45">
      <c r="B52" s="264" t="s">
        <v>616</v>
      </c>
      <c r="C52" s="264"/>
      <c r="D52" s="290">
        <f>D48+D51</f>
        <v>162648</v>
      </c>
      <c r="E52" s="290">
        <f t="shared" ref="E52:H52" si="28">E48+E51</f>
        <v>225248</v>
      </c>
      <c r="F52" s="290">
        <f t="shared" si="28"/>
        <v>321195</v>
      </c>
      <c r="G52" s="290">
        <f t="shared" si="28"/>
        <v>420549</v>
      </c>
      <c r="H52" s="290">
        <f t="shared" si="28"/>
        <v>462675</v>
      </c>
      <c r="I52" s="291"/>
      <c r="J52" s="290">
        <f t="shared" ref="J52" ca="1" si="29">J48+J51</f>
        <v>496755.48178720934</v>
      </c>
      <c r="K52" s="290">
        <f t="shared" ref="K52" ca="1" si="30">K48+K51</f>
        <v>552613.43140707072</v>
      </c>
      <c r="L52" s="290">
        <f t="shared" ref="L52" ca="1" si="31">L48+L51</f>
        <v>611417.45044327457</v>
      </c>
      <c r="M52" s="290">
        <f t="shared" ref="M52" ca="1" si="32">M48+M51</f>
        <v>673110.38522582059</v>
      </c>
      <c r="N52" s="290">
        <f t="shared" ref="N52" ca="1" si="33">N48+N51</f>
        <v>737444.09961310599</v>
      </c>
      <c r="P52" s="264"/>
    </row>
    <row r="54" spans="1:16" x14ac:dyDescent="0.45">
      <c r="A54" s="268" t="s">
        <v>9</v>
      </c>
      <c r="B54" s="283" t="s">
        <v>601</v>
      </c>
      <c r="C54" s="283"/>
      <c r="D54" s="278"/>
      <c r="E54" s="278"/>
      <c r="F54" s="278"/>
      <c r="G54" s="278"/>
      <c r="H54" s="278"/>
      <c r="I54" s="282"/>
      <c r="J54" s="278"/>
      <c r="K54" s="278"/>
      <c r="L54" s="278"/>
      <c r="M54" s="278"/>
      <c r="N54" s="278"/>
    </row>
    <row r="55" spans="1:16" x14ac:dyDescent="0.45">
      <c r="D55" s="279" t="s">
        <v>109</v>
      </c>
      <c r="E55" s="280"/>
      <c r="F55" s="280"/>
      <c r="G55" s="280"/>
      <c r="H55" s="280"/>
      <c r="J55" s="279" t="s">
        <v>540</v>
      </c>
      <c r="K55" s="280"/>
      <c r="L55" s="280"/>
      <c r="M55" s="280"/>
      <c r="N55" s="280"/>
    </row>
    <row r="56" spans="1:16" x14ac:dyDescent="0.45">
      <c r="B56" s="264" t="s">
        <v>543</v>
      </c>
      <c r="C56" s="264"/>
      <c r="D56" s="265">
        <v>2018</v>
      </c>
      <c r="E56" s="265">
        <f t="shared" ref="E56" si="34">D56+1</f>
        <v>2019</v>
      </c>
      <c r="F56" s="265">
        <f t="shared" ref="F56" si="35">E56+1</f>
        <v>2020</v>
      </c>
      <c r="G56" s="265">
        <f t="shared" ref="G56" si="36">F56+1</f>
        <v>2021</v>
      </c>
      <c r="H56" s="265">
        <f t="shared" ref="H56" si="37">G56+1</f>
        <v>2022</v>
      </c>
      <c r="J56" s="266">
        <f>H56+1</f>
        <v>2023</v>
      </c>
      <c r="K56" s="266">
        <f t="shared" ref="K56" si="38">J56+1</f>
        <v>2024</v>
      </c>
      <c r="L56" s="266">
        <f t="shared" ref="L56" si="39">K56+1</f>
        <v>2025</v>
      </c>
      <c r="M56" s="266">
        <f t="shared" ref="M56" si="40">L56+1</f>
        <v>2026</v>
      </c>
      <c r="N56" s="266">
        <f t="shared" ref="N56" si="41">M56+1</f>
        <v>2027</v>
      </c>
    </row>
    <row r="57" spans="1:16" x14ac:dyDescent="0.45">
      <c r="B57" s="264" t="s">
        <v>590</v>
      </c>
      <c r="D57" s="269"/>
      <c r="E57" s="269"/>
      <c r="F57" s="269"/>
      <c r="G57" s="269"/>
      <c r="H57" s="269"/>
      <c r="J57" s="269"/>
      <c r="K57" s="269"/>
      <c r="L57" s="269"/>
      <c r="M57" s="269"/>
      <c r="N57" s="269"/>
    </row>
    <row r="58" spans="1:16" x14ac:dyDescent="0.45">
      <c r="B58" s="264" t="s">
        <v>609</v>
      </c>
      <c r="D58" s="269">
        <f>AMZN_CFS!C7</f>
        <v>21856</v>
      </c>
      <c r="E58" s="269">
        <f>AMZN_CFS!D7</f>
        <v>32173</v>
      </c>
      <c r="F58" s="269">
        <f>AMZN_CFS!E7</f>
        <v>36410</v>
      </c>
      <c r="G58" s="269">
        <f>AMZN_CFS!F7</f>
        <v>42377</v>
      </c>
      <c r="H58" s="269">
        <f>AMZN_CFS!G7</f>
        <v>36477</v>
      </c>
      <c r="J58" s="269">
        <f>AMZN_CFS!H7</f>
        <v>53888</v>
      </c>
      <c r="K58" s="269">
        <f ca="1">AMZN_CFS!I7</f>
        <v>61330.520219178026</v>
      </c>
      <c r="L58" s="269">
        <f ca="1">AMZN_CFS!J7</f>
        <v>68167.616209100685</v>
      </c>
      <c r="M58" s="269">
        <f ca="1">AMZN_CFS!K7</f>
        <v>75611.750776838177</v>
      </c>
      <c r="N58" s="269">
        <f ca="1">AMZN_CFS!L7</f>
        <v>83659.626471969386</v>
      </c>
    </row>
    <row r="59" spans="1:16" x14ac:dyDescent="0.45">
      <c r="B59" s="264"/>
      <c r="D59" s="269"/>
      <c r="E59" s="269"/>
      <c r="F59" s="269"/>
      <c r="G59" s="269"/>
      <c r="H59" s="269"/>
      <c r="J59" s="269"/>
      <c r="K59" s="269"/>
      <c r="L59" s="269"/>
      <c r="M59" s="269"/>
      <c r="N59" s="269"/>
    </row>
    <row r="60" spans="1:16" x14ac:dyDescent="0.45">
      <c r="B60" s="268" t="s">
        <v>602</v>
      </c>
      <c r="D60" s="269">
        <f>SUM(AMZN_CFS!C10:C16)</f>
        <v>31766</v>
      </c>
      <c r="E60" s="269">
        <f>SUM(AMZN_CFS!D10:D16)</f>
        <v>40954</v>
      </c>
      <c r="F60" s="269">
        <f>SUM(AMZN_CFS!E10:E16)</f>
        <v>52583</v>
      </c>
      <c r="G60" s="269">
        <f>SUM(AMZN_CFS!F10:F16)</f>
        <v>65938</v>
      </c>
      <c r="H60" s="269">
        <f>SUM(AMZN_CFS!G10:G16)</f>
        <v>67638</v>
      </c>
      <c r="J60" s="269">
        <f ca="1">SUM(AMZN_CFS!H10:H16)</f>
        <v>75902.705115528632</v>
      </c>
      <c r="K60" s="269">
        <f ca="1">SUM(AMZN_CFS!I10:I16)</f>
        <v>86330.626395983127</v>
      </c>
      <c r="L60" s="269">
        <f ca="1">SUM(AMZN_CFS!J10:J16)</f>
        <v>93329.258915042446</v>
      </c>
      <c r="M60" s="269">
        <f ca="1">SUM(AMZN_CFS!K10:K16)</f>
        <v>100507.41771937149</v>
      </c>
      <c r="N60" s="269">
        <f ca="1">SUM(AMZN_CFS!L10:L16)</f>
        <v>107751.82924780236</v>
      </c>
    </row>
    <row r="61" spans="1:16" x14ac:dyDescent="0.45">
      <c r="B61" s="284" t="s">
        <v>603</v>
      </c>
      <c r="C61" s="284"/>
      <c r="D61" s="285">
        <f>SUM(AMZN_CFS!C18:C22)</f>
        <v>-1042</v>
      </c>
      <c r="E61" s="285">
        <f>SUM(AMZN_CFS!D18:D22)</f>
        <v>-2439</v>
      </c>
      <c r="F61" s="285">
        <f>SUM(AMZN_CFS!E18:E22)</f>
        <v>13481</v>
      </c>
      <c r="G61" s="285">
        <f>SUM(AMZN_CFS!F18:F22)</f>
        <v>-19611</v>
      </c>
      <c r="H61" s="285">
        <f>SUM(AMZN_CFS!G18:G22)</f>
        <v>-20886</v>
      </c>
      <c r="J61" s="285">
        <f>SUM(AMZN_CFS!H18:H22)</f>
        <v>11225.825772202415</v>
      </c>
      <c r="K61" s="285">
        <f>SUM(AMZN_CFS!I18:I22)</f>
        <v>7972.1198123673748</v>
      </c>
      <c r="L61" s="285">
        <f>SUM(AMZN_CFS!J18:J22)</f>
        <v>9121.4012811732518</v>
      </c>
      <c r="M61" s="285">
        <f>SUM(AMZN_CFS!K18:K22)</f>
        <v>9658.9277401339459</v>
      </c>
      <c r="N61" s="285">
        <f>SUM(AMZN_CFS!L18:L22)</f>
        <v>10135.083816116752</v>
      </c>
    </row>
    <row r="62" spans="1:16" x14ac:dyDescent="0.45">
      <c r="B62" s="264" t="s">
        <v>604</v>
      </c>
      <c r="D62" s="269">
        <f>SUM(D60:D61)</f>
        <v>30724</v>
      </c>
      <c r="E62" s="269">
        <f t="shared" ref="E62:H62" si="42">SUM(E60:E61)</f>
        <v>38515</v>
      </c>
      <c r="F62" s="269">
        <f t="shared" si="42"/>
        <v>66064</v>
      </c>
      <c r="G62" s="269">
        <f t="shared" si="42"/>
        <v>46327</v>
      </c>
      <c r="H62" s="269">
        <f t="shared" si="42"/>
        <v>46752</v>
      </c>
      <c r="J62" s="269">
        <f ca="1">SUM(J60:J61)</f>
        <v>87128.530887731045</v>
      </c>
      <c r="K62" s="269">
        <f t="shared" ref="K62:N62" ca="1" si="43">SUM(K60:K61)</f>
        <v>94302.746208350494</v>
      </c>
      <c r="L62" s="269">
        <f t="shared" ca="1" si="43"/>
        <v>102450.6601962157</v>
      </c>
      <c r="M62" s="269">
        <f t="shared" ca="1" si="43"/>
        <v>110166.34545950544</v>
      </c>
      <c r="N62" s="269">
        <f t="shared" ca="1" si="43"/>
        <v>117886.91306391911</v>
      </c>
    </row>
    <row r="63" spans="1:16" x14ac:dyDescent="0.45">
      <c r="B63" s="264"/>
      <c r="D63" s="269"/>
      <c r="E63" s="269"/>
      <c r="F63" s="269"/>
      <c r="G63" s="269"/>
      <c r="H63" s="269"/>
      <c r="J63" s="269"/>
      <c r="K63" s="269"/>
      <c r="L63" s="269"/>
      <c r="M63" s="269"/>
      <c r="N63" s="269"/>
    </row>
    <row r="64" spans="1:16" x14ac:dyDescent="0.45">
      <c r="B64" s="268" t="s">
        <v>605</v>
      </c>
      <c r="D64" s="269">
        <f>AMZN_CFS!C27</f>
        <v>-13426</v>
      </c>
      <c r="E64" s="269">
        <f>AMZN_CFS!D27</f>
        <v>-16861</v>
      </c>
      <c r="F64" s="269">
        <f>AMZN_CFS!E27</f>
        <v>-40141</v>
      </c>
      <c r="G64" s="269">
        <f>AMZN_CFS!F27</f>
        <v>-61053</v>
      </c>
      <c r="H64" s="269">
        <f>AMZN_CFS!G27</f>
        <v>-63645</v>
      </c>
      <c r="J64" s="269">
        <f>AMZN_CFS!H27</f>
        <v>-67156.919639999993</v>
      </c>
      <c r="K64" s="269">
        <f>AMZN_CFS!I27</f>
        <v>-71533.392259425076</v>
      </c>
      <c r="L64" s="269">
        <f>AMZN_CFS!J27</f>
        <v>-75895.294842251271</v>
      </c>
      <c r="M64" s="269">
        <f>AMZN_CFS!K27</f>
        <v>-80156.37961345572</v>
      </c>
      <c r="N64" s="269">
        <f>AMZN_CFS!L27</f>
        <v>-84217.359956358487</v>
      </c>
    </row>
    <row r="65" spans="2:14" x14ac:dyDescent="0.45">
      <c r="B65" s="284" t="s">
        <v>606</v>
      </c>
      <c r="C65" s="284"/>
      <c r="D65" s="285">
        <f>SUM(AMZN_CFS!C28:C30)</f>
        <v>1057</v>
      </c>
      <c r="E65" s="285">
        <f>SUM(AMZN_CFS!D28:D30)</f>
        <v>-7421</v>
      </c>
      <c r="F65" s="285">
        <f>SUM(AMZN_CFS!E28:E30)</f>
        <v>-19471</v>
      </c>
      <c r="G65" s="285">
        <f>SUM(AMZN_CFS!F28:F30)</f>
        <v>2899</v>
      </c>
      <c r="H65" s="285">
        <f>SUM(AMZN_CFS!G28:G30)</f>
        <v>26044</v>
      </c>
      <c r="J65" s="285">
        <f>SUM(AMZN_CFS!H28:H30)</f>
        <v>1449.3071052465639</v>
      </c>
      <c r="K65" s="285">
        <f>SUM(AMZN_CFS!I28:I30)</f>
        <v>-17025.984919135877</v>
      </c>
      <c r="L65" s="285">
        <f>SUM(AMZN_CFS!J28:J30)</f>
        <v>-19372.000797953064</v>
      </c>
      <c r="M65" s="285">
        <f>SUM(AMZN_CFS!K28:K30)</f>
        <v>-22534.62699018202</v>
      </c>
      <c r="N65" s="285">
        <f>SUM(AMZN_CFS!L28:L30)</f>
        <v>-25959.945643262497</v>
      </c>
    </row>
    <row r="66" spans="2:14" x14ac:dyDescent="0.45">
      <c r="B66" s="264" t="s">
        <v>607</v>
      </c>
      <c r="D66" s="269">
        <f>SUM(D64:D65)</f>
        <v>-12369</v>
      </c>
      <c r="E66" s="269">
        <f t="shared" ref="E66:H66" si="44">SUM(E64:E65)</f>
        <v>-24282</v>
      </c>
      <c r="F66" s="269">
        <f t="shared" si="44"/>
        <v>-59612</v>
      </c>
      <c r="G66" s="269">
        <f t="shared" si="44"/>
        <v>-58154</v>
      </c>
      <c r="H66" s="269">
        <f t="shared" si="44"/>
        <v>-37601</v>
      </c>
      <c r="J66" s="269">
        <f>SUM(J64:J65)</f>
        <v>-65707.612534753425</v>
      </c>
      <c r="K66" s="269">
        <f t="shared" ref="K66:N66" si="45">SUM(K64:K65)</f>
        <v>-88559.377178560957</v>
      </c>
      <c r="L66" s="269">
        <f t="shared" si="45"/>
        <v>-95267.295640204335</v>
      </c>
      <c r="M66" s="269">
        <f t="shared" si="45"/>
        <v>-102691.00660363774</v>
      </c>
      <c r="N66" s="269">
        <f t="shared" si="45"/>
        <v>-110177.30559962099</v>
      </c>
    </row>
    <row r="67" spans="2:14" x14ac:dyDescent="0.45">
      <c r="B67" s="284"/>
      <c r="C67" s="284"/>
      <c r="D67" s="285"/>
      <c r="E67" s="285"/>
      <c r="F67" s="285"/>
      <c r="G67" s="285"/>
      <c r="H67" s="285"/>
      <c r="J67" s="285"/>
      <c r="K67" s="285"/>
      <c r="L67" s="285"/>
      <c r="M67" s="285"/>
      <c r="N67" s="285"/>
    </row>
    <row r="68" spans="2:14" x14ac:dyDescent="0.45">
      <c r="B68" s="264" t="s">
        <v>608</v>
      </c>
      <c r="D68" s="269">
        <f>AMZN_CFS!C40</f>
        <v>-7687</v>
      </c>
      <c r="E68" s="269">
        <f>AMZN_CFS!D40</f>
        <v>-10066</v>
      </c>
      <c r="F68" s="269">
        <f>AMZN_CFS!E40</f>
        <v>-1104</v>
      </c>
      <c r="G68" s="269">
        <f>AMZN_CFS!F40</f>
        <v>6291</v>
      </c>
      <c r="H68" s="269">
        <f>AMZN_CFS!G40</f>
        <v>9718</v>
      </c>
      <c r="J68" s="269">
        <f ca="1">AMZN_CFS!H40</f>
        <v>-13978.398133799579</v>
      </c>
      <c r="K68" s="269">
        <f ca="1">AMZN_CFS!I40</f>
        <v>1093.7269601330772</v>
      </c>
      <c r="L68" s="269">
        <f ca="1">AMZN_CFS!J40</f>
        <v>260.77001172612654</v>
      </c>
      <c r="M68" s="269">
        <f ca="1">AMZN_CFS!K40</f>
        <v>572.53683926352824</v>
      </c>
      <c r="N68" s="269">
        <f ca="1">AMZN_CFS!L40</f>
        <v>923.76327618015057</v>
      </c>
    </row>
    <row r="70" spans="2:14" x14ac:dyDescent="0.45">
      <c r="B70" s="284" t="s">
        <v>58</v>
      </c>
      <c r="C70" s="284"/>
      <c r="D70" s="285">
        <f>D62+D66+D68+AMZN_CFS!C42</f>
        <v>10317</v>
      </c>
      <c r="E70" s="285">
        <f>E62+E66+E68+AMZN_CFS!D42</f>
        <v>4237</v>
      </c>
      <c r="F70" s="285">
        <f>F62+F66+F68+AMZN_CFS!E42</f>
        <v>5967</v>
      </c>
      <c r="G70" s="285">
        <f>G62+G66+G68+AMZN_CFS!F42</f>
        <v>-5900</v>
      </c>
      <c r="H70" s="285">
        <f>H62+H66+H68+AMZN_CFS!G42</f>
        <v>17776</v>
      </c>
      <c r="J70" s="285">
        <f ca="1">J62+J66+J68+AMZN_CFS!H42</f>
        <v>7442.5202191780409</v>
      </c>
      <c r="K70" s="285">
        <f ca="1">K62+K66+K68+AMZN_CFS!I42</f>
        <v>6837.0959899226145</v>
      </c>
      <c r="L70" s="285">
        <f ca="1">L62+L66+L68+AMZN_CFS!J42</f>
        <v>7444.134567737492</v>
      </c>
      <c r="M70" s="285">
        <f ca="1">M62+M66+M68+AMZN_CFS!K42</f>
        <v>8047.8756951312243</v>
      </c>
      <c r="N70" s="285">
        <f ca="1">N62+N66+N68+AMZN_CFS!L42</f>
        <v>8633.3707404782763</v>
      </c>
    </row>
    <row r="71" spans="2:14" x14ac:dyDescent="0.45">
      <c r="B71" s="264" t="s">
        <v>610</v>
      </c>
      <c r="D71" s="269">
        <f>D58+D70-AMZN_CFS!C50</f>
        <v>31750</v>
      </c>
      <c r="E71" s="269">
        <f>E58+E70-AMZN_CFS!D50</f>
        <v>36092</v>
      </c>
      <c r="F71" s="269">
        <f>F58+F70-AMZN_CFS!E50</f>
        <v>42122</v>
      </c>
      <c r="G71" s="269">
        <f>G58+G70-AMZN_CFS!F50</f>
        <v>36220</v>
      </c>
      <c r="H71" s="269">
        <f>H58+H70-AMZN_CFS!G50</f>
        <v>53888</v>
      </c>
      <c r="J71" s="269">
        <f ca="1">J58+J70-AMZN_CFS!H50</f>
        <v>61330.520219178041</v>
      </c>
      <c r="K71" s="269">
        <f ca="1">K58+K70-AMZN_CFS!I50</f>
        <v>68167.616209100641</v>
      </c>
      <c r="L71" s="269">
        <f ca="1">L58+L70-AMZN_CFS!J50</f>
        <v>75611.750776838177</v>
      </c>
      <c r="M71" s="269">
        <f ca="1">M58+M70-AMZN_CFS!K50</f>
        <v>83659.626471969401</v>
      </c>
      <c r="N71" s="269">
        <f ca="1">N58+N70-AMZN_CFS!L50</f>
        <v>92292.997212447663</v>
      </c>
    </row>
    <row r="73" spans="2:14" x14ac:dyDescent="0.45">
      <c r="B73" s="277" t="s">
        <v>611</v>
      </c>
      <c r="C73" s="275"/>
      <c r="D73" s="276">
        <f>D62+D64</f>
        <v>17298</v>
      </c>
      <c r="E73" s="276">
        <f t="shared" ref="E73:H73" si="46">E62+E64</f>
        <v>21654</v>
      </c>
      <c r="F73" s="276">
        <f t="shared" si="46"/>
        <v>25923</v>
      </c>
      <c r="G73" s="276">
        <f t="shared" si="46"/>
        <v>-14726</v>
      </c>
      <c r="H73" s="276">
        <f t="shared" si="46"/>
        <v>-16893</v>
      </c>
      <c r="J73" s="276">
        <f ca="1">J62+J64</f>
        <v>19971.611247731053</v>
      </c>
      <c r="K73" s="276">
        <f t="shared" ref="K73:N73" ca="1" si="47">K62+K64</f>
        <v>22769.353948925418</v>
      </c>
      <c r="L73" s="276">
        <f t="shared" ca="1" si="47"/>
        <v>26555.365353964429</v>
      </c>
      <c r="M73" s="276">
        <f t="shared" ca="1" si="47"/>
        <v>30009.965846049716</v>
      </c>
      <c r="N73" s="276">
        <f t="shared" ca="1" si="47"/>
        <v>33669.553107560627</v>
      </c>
    </row>
    <row r="76" spans="2:14" x14ac:dyDescent="0.45">
      <c r="B76" s="268" t="s">
        <v>619</v>
      </c>
      <c r="D76" s="292">
        <f>D23-AMZN_IS!C42</f>
        <v>0</v>
      </c>
      <c r="E76" s="292">
        <f>E23-AMZN_IS!D42</f>
        <v>0</v>
      </c>
      <c r="F76" s="292">
        <f>F23-AMZN_IS!E42</f>
        <v>0</v>
      </c>
      <c r="G76" s="292">
        <f>G23-AMZN_IS!F42</f>
        <v>0</v>
      </c>
      <c r="H76" s="292">
        <f>H23-AMZN_IS!G42</f>
        <v>0</v>
      </c>
      <c r="I76" s="114"/>
      <c r="J76" s="292">
        <f ca="1">J23-AMZN_IS!H42</f>
        <v>0</v>
      </c>
      <c r="K76" s="292">
        <f ca="1">K23-AMZN_IS!I42</f>
        <v>0</v>
      </c>
      <c r="L76" s="292">
        <f ca="1">L23-AMZN_IS!J42</f>
        <v>0</v>
      </c>
      <c r="M76" s="292">
        <f ca="1">M23-AMZN_IS!K42</f>
        <v>0</v>
      </c>
      <c r="N76" s="292">
        <f ca="1">N23-AMZN_IS!L42</f>
        <v>0</v>
      </c>
    </row>
    <row r="77" spans="2:14" x14ac:dyDescent="0.45">
      <c r="B77" s="268" t="s">
        <v>618</v>
      </c>
      <c r="D77" s="292">
        <f>D52-AMZN_BS!C42</f>
        <v>0</v>
      </c>
      <c r="E77" s="292">
        <f>E52-AMZN_BS!D42</f>
        <v>0</v>
      </c>
      <c r="F77" s="292">
        <f>F52-AMZN_BS!E42</f>
        <v>0</v>
      </c>
      <c r="G77" s="292">
        <f>G52-AMZN_BS!F42</f>
        <v>0</v>
      </c>
      <c r="H77" s="292">
        <f>H52-AMZN_BS!G42</f>
        <v>0</v>
      </c>
      <c r="I77" s="114"/>
      <c r="J77" s="292">
        <f ca="1">J52-AMZN_BS!H42</f>
        <v>0</v>
      </c>
      <c r="K77" s="292">
        <f ca="1">K52-AMZN_BS!I42</f>
        <v>0</v>
      </c>
      <c r="L77" s="292">
        <f ca="1">L52-AMZN_BS!J42</f>
        <v>0</v>
      </c>
      <c r="M77" s="292">
        <f ca="1">M52-AMZN_BS!K42</f>
        <v>0</v>
      </c>
      <c r="N77" s="292">
        <f ca="1">N52-AMZN_BS!L42</f>
        <v>0</v>
      </c>
    </row>
    <row r="78" spans="2:14" x14ac:dyDescent="0.45">
      <c r="B78" s="268" t="s">
        <v>620</v>
      </c>
      <c r="D78" s="292">
        <f>D71-AMZN_CFS!C51</f>
        <v>0</v>
      </c>
      <c r="E78" s="292">
        <f>E71-AMZN_CFS!D51</f>
        <v>0</v>
      </c>
      <c r="F78" s="292">
        <f>F71-AMZN_CFS!E51</f>
        <v>0</v>
      </c>
      <c r="G78" s="292">
        <f>G71-AMZN_CFS!F51</f>
        <v>0</v>
      </c>
      <c r="H78" s="292">
        <f>H71-AMZN_CFS!G51</f>
        <v>0</v>
      </c>
      <c r="I78" s="114"/>
      <c r="J78" s="292">
        <f ca="1">J71-AMZN_CFS!H51</f>
        <v>0</v>
      </c>
      <c r="K78" s="292">
        <f ca="1">K71-AMZN_CFS!I51</f>
        <v>0</v>
      </c>
      <c r="L78" s="292">
        <f ca="1">L71-AMZN_CFS!J51</f>
        <v>0</v>
      </c>
      <c r="M78" s="292">
        <f ca="1">M71-AMZN_CFS!K51</f>
        <v>0</v>
      </c>
      <c r="N78" s="292">
        <f ca="1">N71-AMZN_CFS!L51</f>
        <v>0</v>
      </c>
    </row>
  </sheetData>
  <pageMargins left="0.7" right="0.7" top="0.75" bottom="0.75" header="0.3" footer="0.3"/>
  <ignoredErrors>
    <ignoredError sqref="D65:H65"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9B10-A218-4970-B2FB-BE1C0FA7F705}">
  <dimension ref="A1:R127"/>
  <sheetViews>
    <sheetView showGridLines="0" zoomScale="115" zoomScaleNormal="115" workbookViewId="0">
      <pane xSplit="2" ySplit="5" topLeftCell="C6" activePane="bottomRight" state="frozen"/>
      <selection pane="topRight" activeCell="C1" sqref="C1"/>
      <selection pane="bottomLeft" activeCell="A6" sqref="A6"/>
      <selection pane="bottomRight" activeCell="M26" sqref="M26"/>
    </sheetView>
  </sheetViews>
  <sheetFormatPr defaultColWidth="9.59765625" defaultRowHeight="15" x14ac:dyDescent="0.55000000000000004"/>
  <cols>
    <col min="1" max="1" width="3.59765625" style="3" customWidth="1"/>
    <col min="2" max="2" width="24.265625" style="3" bestFit="1" customWidth="1"/>
    <col min="3" max="16" width="9.59765625" style="3"/>
    <col min="17" max="17" width="16.33203125" style="3" bestFit="1" customWidth="1"/>
    <col min="18" max="16384" width="9.59765625" style="3"/>
  </cols>
  <sheetData>
    <row r="1" spans="1:18" x14ac:dyDescent="0.55000000000000004">
      <c r="Q1" s="67" t="s">
        <v>113</v>
      </c>
      <c r="R1" s="67">
        <v>1</v>
      </c>
    </row>
    <row r="2" spans="1:18" s="4" customFormat="1" ht="15" customHeight="1" x14ac:dyDescent="0.55000000000000004">
      <c r="B2" s="5" t="s">
        <v>131</v>
      </c>
      <c r="Q2" s="68" t="s">
        <v>114</v>
      </c>
      <c r="R2" s="68">
        <v>2</v>
      </c>
    </row>
    <row r="3" spans="1:18" ht="15" customHeight="1" x14ac:dyDescent="0.55000000000000004">
      <c r="B3" s="7"/>
      <c r="Q3" s="67" t="s">
        <v>112</v>
      </c>
      <c r="R3" s="67">
        <v>3</v>
      </c>
    </row>
    <row r="4" spans="1:18" ht="15" customHeight="1" x14ac:dyDescent="0.55000000000000004">
      <c r="H4" s="3">
        <v>1</v>
      </c>
      <c r="I4" s="3">
        <f>H4+1</f>
        <v>2</v>
      </c>
      <c r="J4" s="3">
        <f t="shared" ref="J4:L4" si="0">I4+1</f>
        <v>3</v>
      </c>
      <c r="K4" s="3">
        <f t="shared" si="0"/>
        <v>4</v>
      </c>
      <c r="L4" s="3">
        <f t="shared" si="0"/>
        <v>5</v>
      </c>
    </row>
    <row r="5" spans="1:18" ht="15" customHeight="1" x14ac:dyDescent="0.55000000000000004">
      <c r="A5" s="3" t="s">
        <v>9</v>
      </c>
      <c r="B5" s="6" t="s">
        <v>132</v>
      </c>
      <c r="C5" s="16">
        <v>2018</v>
      </c>
      <c r="D5" s="16">
        <f t="shared" ref="D5:L5" si="1">C5+1</f>
        <v>2019</v>
      </c>
      <c r="E5" s="16">
        <f t="shared" si="1"/>
        <v>2020</v>
      </c>
      <c r="F5" s="16">
        <f t="shared" si="1"/>
        <v>2021</v>
      </c>
      <c r="G5" s="16">
        <f t="shared" si="1"/>
        <v>2022</v>
      </c>
      <c r="H5" s="17">
        <f t="shared" si="1"/>
        <v>2023</v>
      </c>
      <c r="I5" s="17">
        <f t="shared" si="1"/>
        <v>2024</v>
      </c>
      <c r="J5" s="17">
        <f t="shared" si="1"/>
        <v>2025</v>
      </c>
      <c r="K5" s="17">
        <f t="shared" si="1"/>
        <v>2026</v>
      </c>
      <c r="L5" s="17">
        <f t="shared" si="1"/>
        <v>2027</v>
      </c>
    </row>
    <row r="6" spans="1:18" customFormat="1" ht="15" customHeight="1" x14ac:dyDescent="0.45">
      <c r="B6" s="44" t="s">
        <v>133</v>
      </c>
    </row>
    <row r="7" spans="1:18" s="8" customFormat="1" ht="15" customHeight="1" x14ac:dyDescent="0.55000000000000004">
      <c r="B7" s="21" t="s">
        <v>25</v>
      </c>
      <c r="D7" s="63">
        <f>AMZN_IS!N6</f>
        <v>0.14847097660728359</v>
      </c>
      <c r="E7" s="63">
        <f>AMZN_IS!O6</f>
        <v>0.39716949740525465</v>
      </c>
      <c r="F7" s="63">
        <f>AMZN_IS!P6</f>
        <v>0.12530783497005249</v>
      </c>
      <c r="G7" s="64">
        <f>AMZN_IS!Q6</f>
        <v>-9.3256782618484912E-3</v>
      </c>
      <c r="H7" s="63">
        <f>'AMZN_Revenue Build'!Q66</f>
        <v>6.1760240722885662E-4</v>
      </c>
      <c r="I7" s="63">
        <f>'AMZN_Revenue Build'!V66</f>
        <v>3.7989861582323536E-2</v>
      </c>
      <c r="J7" s="71">
        <f>$I7+1*($L7-$I7)/3</f>
        <v>3.5326574388215688E-2</v>
      </c>
      <c r="K7" s="71">
        <f>$I7+2*($L7-$I7)/3</f>
        <v>3.2663287194107847E-2</v>
      </c>
      <c r="L7" s="71">
        <v>0.03</v>
      </c>
      <c r="M7"/>
    </row>
    <row r="8" spans="1:18" s="8" customFormat="1" ht="15" customHeight="1" x14ac:dyDescent="0.55000000000000004">
      <c r="B8" s="21" t="s">
        <v>21</v>
      </c>
      <c r="D8" s="63">
        <f>AMZN_IS!N7</f>
        <v>-1.8578727357175806E-3</v>
      </c>
      <c r="E8" s="63">
        <f>AMZN_IS!O7</f>
        <v>-5.6130758492321964E-2</v>
      </c>
      <c r="F8" s="63">
        <f>AMZN_IS!P7</f>
        <v>5.2258581376717794E-2</v>
      </c>
      <c r="G8" s="64">
        <f>AMZN_IS!Q7</f>
        <v>0.11057101024890192</v>
      </c>
      <c r="H8" s="63">
        <f>'AMZN_Revenue Build'!Q67</f>
        <v>6.758065706902916E-2</v>
      </c>
      <c r="I8" s="63">
        <f>'AMZN_Revenue Build'!V67</f>
        <v>7.0481180994661496E-2</v>
      </c>
      <c r="J8" s="71">
        <f t="shared" ref="J8:J13" si="2">$I8+1*($L8-$I8)/3</f>
        <v>6.6987453996441002E-2</v>
      </c>
      <c r="K8" s="71">
        <f t="shared" ref="K8:K13" si="3">$I8+2*($L8-$I8)/3</f>
        <v>6.3493726998220493E-2</v>
      </c>
      <c r="L8" s="71">
        <v>0.06</v>
      </c>
      <c r="M8"/>
    </row>
    <row r="9" spans="1:18" ht="15" customHeight="1" x14ac:dyDescent="0.55000000000000004">
      <c r="B9" s="21" t="s">
        <v>24</v>
      </c>
      <c r="D9" s="63">
        <f>AMZN_IS!N8</f>
        <v>0.25771435255585451</v>
      </c>
      <c r="E9" s="63">
        <f>AMZN_IS!O8</f>
        <v>0.49664254757165982</v>
      </c>
      <c r="F9" s="63">
        <f>AMZN_IS!P8</f>
        <v>0.28467207715539211</v>
      </c>
      <c r="G9" s="64">
        <f>AMZN_IS!Q8</f>
        <v>0.13882708047133496</v>
      </c>
      <c r="H9" s="63">
        <f>'AMZN_Revenue Build'!Q68</f>
        <v>0.1617405450406062</v>
      </c>
      <c r="I9" s="63">
        <f>'AMZN_Revenue Build'!V68</f>
        <v>0.14835002337383973</v>
      </c>
      <c r="J9" s="71">
        <f t="shared" si="2"/>
        <v>0.14223334891589315</v>
      </c>
      <c r="K9" s="71">
        <f t="shared" si="3"/>
        <v>0.13611667445794659</v>
      </c>
      <c r="L9" s="71">
        <v>0.13</v>
      </c>
      <c r="M9"/>
    </row>
    <row r="10" spans="1:18" ht="15" customHeight="1" x14ac:dyDescent="0.55000000000000004">
      <c r="B10" s="21" t="s">
        <v>22</v>
      </c>
      <c r="D10" s="63">
        <f>AMZN_IS!N9</f>
        <v>0.35596809486835612</v>
      </c>
      <c r="E10" s="63">
        <f>AMZN_IS!O9</f>
        <v>0.31218115564810001</v>
      </c>
      <c r="F10" s="63">
        <f>AMZN_IS!P9</f>
        <v>0.26028484151227826</v>
      </c>
      <c r="G10" s="64">
        <f>AMZN_IS!Q9</f>
        <v>0.10859984890455809</v>
      </c>
      <c r="H10" s="63">
        <f>'AMZN_Revenue Build'!Q69</f>
        <v>0.14958827872110847</v>
      </c>
      <c r="I10" s="63">
        <f>'AMZN_Revenue Build'!V69</f>
        <v>0.14999999999999991</v>
      </c>
      <c r="J10" s="71">
        <f t="shared" si="2"/>
        <v>0.13999999999999993</v>
      </c>
      <c r="K10" s="71">
        <f t="shared" si="3"/>
        <v>0.12999999999999998</v>
      </c>
      <c r="L10" s="71">
        <v>0.12</v>
      </c>
      <c r="M10"/>
    </row>
    <row r="11" spans="1:18" ht="15" customHeight="1" x14ac:dyDescent="0.55000000000000004">
      <c r="B11" s="21" t="s">
        <v>23</v>
      </c>
      <c r="D11" s="63">
        <f>AMZN_IS!N10</f>
        <v>0</v>
      </c>
      <c r="E11" s="63">
        <f>AMZN_IS!O10</f>
        <v>0</v>
      </c>
      <c r="F11" s="63">
        <f>AMZN_IS!P10</f>
        <v>0.57588630961412024</v>
      </c>
      <c r="G11" s="64">
        <f>AMZN_IS!Q10</f>
        <v>0.21113607188703476</v>
      </c>
      <c r="H11" s="63">
        <f>'AMZN_Revenue Build'!Q70</f>
        <v>0.19800153687167121</v>
      </c>
      <c r="I11" s="63">
        <f>'AMZN_Revenue Build'!V70</f>
        <v>0.19579353693693924</v>
      </c>
      <c r="J11" s="71">
        <f t="shared" si="2"/>
        <v>0.18386235795795949</v>
      </c>
      <c r="K11" s="71">
        <f t="shared" si="3"/>
        <v>0.17193117897897975</v>
      </c>
      <c r="L11" s="71">
        <v>0.16</v>
      </c>
      <c r="M11"/>
    </row>
    <row r="12" spans="1:18" ht="15" customHeight="1" x14ac:dyDescent="0.55000000000000004">
      <c r="B12" s="21" t="s">
        <v>89</v>
      </c>
      <c r="D12" s="63">
        <f>AMZN_IS!N11</f>
        <v>0.36521671343935136</v>
      </c>
      <c r="E12" s="63">
        <f>AMZN_IS!O11</f>
        <v>0.29532347399074976</v>
      </c>
      <c r="F12" s="63">
        <f>AMZN_IS!P11</f>
        <v>0.37099404893101173</v>
      </c>
      <c r="G12" s="64">
        <f>AMZN_IS!Q11</f>
        <v>0.28767563743931057</v>
      </c>
      <c r="H12" s="63">
        <f>'AMZN_Revenue Build'!Q71</f>
        <v>0.13623351977626852</v>
      </c>
      <c r="I12" s="63">
        <f>'AMZN_Revenue Build'!V71</f>
        <v>0.17830016693081974</v>
      </c>
      <c r="J12" s="71">
        <f t="shared" si="2"/>
        <v>0.17053344462054648</v>
      </c>
      <c r="K12" s="71">
        <f t="shared" si="3"/>
        <v>0.16276672231027325</v>
      </c>
      <c r="L12" s="71">
        <v>0.155</v>
      </c>
      <c r="M12"/>
    </row>
    <row r="13" spans="1:18" ht="15" customHeight="1" x14ac:dyDescent="0.55000000000000004">
      <c r="B13" s="21" t="s">
        <v>111</v>
      </c>
      <c r="D13" s="63">
        <f>AMZN_IS!N12</f>
        <v>0.39354966363276622</v>
      </c>
      <c r="E13" s="63">
        <f>AMZN_IS!O12</f>
        <v>-0.880732642339912</v>
      </c>
      <c r="F13" s="63">
        <f>AMZN_IS!P12</f>
        <v>0.2952380952380953</v>
      </c>
      <c r="G13" s="64">
        <f>AMZN_IS!Q12</f>
        <v>0.95174632352941169</v>
      </c>
      <c r="H13" s="63">
        <f>'AMZN_Revenue Build'!Q72</f>
        <v>0.36468095125971267</v>
      </c>
      <c r="I13" s="63">
        <f>'AMZN_Revenue Build'!V72</f>
        <v>0.20000000000000018</v>
      </c>
      <c r="J13" s="71">
        <f t="shared" si="2"/>
        <v>0.19000000000000011</v>
      </c>
      <c r="K13" s="71">
        <f t="shared" si="3"/>
        <v>0.18000000000000008</v>
      </c>
      <c r="L13" s="71">
        <v>0.17</v>
      </c>
      <c r="M13"/>
    </row>
    <row r="14" spans="1:18" ht="15" customHeight="1" x14ac:dyDescent="0.55000000000000004">
      <c r="A14" s="3" t="s">
        <v>9</v>
      </c>
      <c r="B14" s="18" t="s">
        <v>30</v>
      </c>
      <c r="C14" s="19"/>
      <c r="D14" s="33">
        <f>AMZN_IS!N13</f>
        <v>0.20454125820676983</v>
      </c>
      <c r="E14" s="33">
        <f>AMZN_IS!O13</f>
        <v>0.37623430604373276</v>
      </c>
      <c r="F14" s="33">
        <f>AMZN_IS!P13</f>
        <v>0.21695366571345676</v>
      </c>
      <c r="G14" s="33">
        <f>AMZN_IS!Q13</f>
        <v>9.399517263985091E-2</v>
      </c>
      <c r="H14" s="33">
        <f>AMZN_IS!R13</f>
        <v>8.8831725952025709E-2</v>
      </c>
      <c r="I14" s="33">
        <f>AMZN_IS!S13</f>
        <v>0.11147950425805586</v>
      </c>
      <c r="J14" s="33">
        <f>AMZN_IS!T13</f>
        <v>0.10920338691179832</v>
      </c>
      <c r="K14" s="33">
        <f>AMZN_IS!U13</f>
        <v>0.10643683835445028</v>
      </c>
      <c r="L14" s="33">
        <f>AMZN_IS!V13</f>
        <v>0.10319638163064093</v>
      </c>
      <c r="M14"/>
    </row>
    <row r="15" spans="1:18" ht="15" customHeight="1" x14ac:dyDescent="0.55000000000000004">
      <c r="H15" s="21"/>
      <c r="I15" s="21"/>
      <c r="J15" s="21"/>
      <c r="K15" s="21"/>
      <c r="L15" s="21"/>
      <c r="M15"/>
    </row>
    <row r="16" spans="1:18" customFormat="1" ht="15" customHeight="1" x14ac:dyDescent="0.45">
      <c r="B16" s="44" t="s">
        <v>75</v>
      </c>
    </row>
    <row r="17" spans="2:13" ht="15" customHeight="1" x14ac:dyDescent="0.55000000000000004">
      <c r="B17" s="3" t="s">
        <v>199</v>
      </c>
      <c r="C17" s="63">
        <f>AMZN_IS!C61</f>
        <v>0.40247416128852193</v>
      </c>
      <c r="D17" s="63">
        <f>AMZN_IS!D61</f>
        <v>0.40990011478600608</v>
      </c>
      <c r="E17" s="63">
        <f>AMZN_IS!E61</f>
        <v>0.3956779186870571</v>
      </c>
      <c r="F17" s="63">
        <f>AMZN_IS!F61</f>
        <v>0.42032514441639601</v>
      </c>
      <c r="G17" s="63">
        <f>AMZN_IS!G61</f>
        <v>0.43805339865326287</v>
      </c>
      <c r="H17" s="63">
        <f>'AMZN_Revenue Build'!Q103</f>
        <v>0.45828318265152995</v>
      </c>
      <c r="I17" s="63">
        <f>'AMZN_Revenue Build'!V103</f>
        <v>0.46336332116774959</v>
      </c>
      <c r="J17" s="71">
        <f t="shared" ref="J17:J29" si="4">$I17+1*($L17-$I17)/3</f>
        <v>0.46224221411183308</v>
      </c>
      <c r="K17" s="71">
        <f t="shared" ref="K17:K29" si="5">$I17+2*($L17-$I17)/3</f>
        <v>0.46112110705591652</v>
      </c>
      <c r="L17" s="45">
        <v>0.46</v>
      </c>
      <c r="M17"/>
    </row>
    <row r="18" spans="2:13" ht="15" customHeight="1" x14ac:dyDescent="0.55000000000000004">
      <c r="C18" s="119"/>
      <c r="D18" s="119"/>
      <c r="E18" s="119"/>
      <c r="F18" s="119"/>
      <c r="G18" s="119"/>
      <c r="H18" s="63"/>
      <c r="I18" s="63"/>
      <c r="J18" s="47"/>
      <c r="K18" s="47"/>
      <c r="L18" s="47"/>
      <c r="M18"/>
    </row>
    <row r="19" spans="2:13" ht="15" customHeight="1" x14ac:dyDescent="0.55000000000000004">
      <c r="B19" s="3" t="s">
        <v>91</v>
      </c>
      <c r="C19" s="63">
        <f>AMZN_IS!C63</f>
        <v>0.14610948657503425</v>
      </c>
      <c r="D19" s="63">
        <f>AMZN_IS!D63</f>
        <v>0.14341477673765338</v>
      </c>
      <c r="E19" s="63">
        <f>AMZN_IS!E63</f>
        <v>0.15157072402503211</v>
      </c>
      <c r="F19" s="63">
        <f>AMZN_IS!F63</f>
        <v>0.15987118525739535</v>
      </c>
      <c r="G19" s="63">
        <f>AMZN_IS!G63</f>
        <v>0.16401126107283703</v>
      </c>
      <c r="H19" s="63">
        <f>'AMZN_Revenue Build'!Q106</f>
        <v>0.16353478098340563</v>
      </c>
      <c r="I19" s="63">
        <f>'AMZN_Revenue Build'!V106</f>
        <v>0.16093093430658004</v>
      </c>
      <c r="J19" s="71">
        <f t="shared" si="4"/>
        <v>0.15895395620438668</v>
      </c>
      <c r="K19" s="71">
        <f t="shared" si="5"/>
        <v>0.15697697810219335</v>
      </c>
      <c r="L19" s="45">
        <v>0.155</v>
      </c>
      <c r="M19"/>
    </row>
    <row r="20" spans="2:13" ht="15" customHeight="1" x14ac:dyDescent="0.55000000000000004">
      <c r="B20" s="3" t="s">
        <v>115</v>
      </c>
      <c r="C20" s="63">
        <f>AMZN_IS!C64</f>
        <v>7.1158974094732638E-2</v>
      </c>
      <c r="D20" s="63">
        <f>AMZN_IS!D64</f>
        <v>0.12808977548997941</v>
      </c>
      <c r="E20" s="63">
        <f>AMZN_IS!E64</f>
        <v>0.11070185254258361</v>
      </c>
      <c r="F20" s="63">
        <f>AMZN_IS!F64</f>
        <v>0.11930475797216818</v>
      </c>
      <c r="G20" s="63">
        <f>AMZN_IS!G64</f>
        <v>0.14244245432241923</v>
      </c>
      <c r="H20" s="63">
        <f>'AMZN_Revenue Build'!Q108</f>
        <v>0.14536069026736942</v>
      </c>
      <c r="I20" s="63">
        <f>'AMZN_Revenue Build'!V108</f>
        <v>0.14696691970787959</v>
      </c>
      <c r="J20" s="71">
        <f t="shared" si="4"/>
        <v>0.14881127980525305</v>
      </c>
      <c r="K20" s="71">
        <f t="shared" si="5"/>
        <v>0.15065563990262654</v>
      </c>
      <c r="L20" s="45">
        <v>0.1525</v>
      </c>
      <c r="M20"/>
    </row>
    <row r="21" spans="2:13" ht="15" customHeight="1" x14ac:dyDescent="0.55000000000000004">
      <c r="B21" s="3" t="s">
        <v>116</v>
      </c>
      <c r="C21" s="63">
        <f>AMZN_IS!C65</f>
        <v>0.11198134717695707</v>
      </c>
      <c r="D21" s="63">
        <f>AMZN_IS!D65</f>
        <v>6.7299534439366607E-2</v>
      </c>
      <c r="E21" s="63">
        <f>AMZN_IS!E65</f>
        <v>5.7011272742343237E-2</v>
      </c>
      <c r="F21" s="63">
        <f>AMZN_IS!F65</f>
        <v>6.9283686161993263E-2</v>
      </c>
      <c r="G21" s="63">
        <f>AMZN_IS!G65</f>
        <v>8.2177815219569517E-2</v>
      </c>
      <c r="H21" s="63">
        <f>'AMZN_Revenue Build'!Q110</f>
        <v>7.8341795544607115E-2</v>
      </c>
      <c r="I21" s="63">
        <f>'AMZN_Revenue Build'!V110</f>
        <v>7.4129135036515068E-2</v>
      </c>
      <c r="J21" s="71">
        <f t="shared" si="4"/>
        <v>7.4419423357676706E-2</v>
      </c>
      <c r="K21" s="71">
        <f t="shared" si="5"/>
        <v>7.4709711678838359E-2</v>
      </c>
      <c r="L21" s="45">
        <v>7.4999999999999997E-2</v>
      </c>
      <c r="M21"/>
    </row>
    <row r="22" spans="2:13" ht="15" customHeight="1" x14ac:dyDescent="0.55000000000000004">
      <c r="B22" s="3" t="s">
        <v>117</v>
      </c>
      <c r="C22" s="63">
        <f>AMZN_IS!C66</f>
        <v>1.8618471619283171E-2</v>
      </c>
      <c r="D22" s="63">
        <f>AMZN_IS!D66</f>
        <v>1.8547564896870834E-2</v>
      </c>
      <c r="E22" s="63">
        <f>AMZN_IS!E66</f>
        <v>1.7271747689502258E-2</v>
      </c>
      <c r="F22" s="63">
        <f>AMZN_IS!F66</f>
        <v>1.8779452643767215E-2</v>
      </c>
      <c r="G22" s="63">
        <f>AMZN_IS!G66</f>
        <v>2.3135006410717866E-2</v>
      </c>
      <c r="H22" s="63">
        <f>'AMZN_Revenue Build'!Q112</f>
        <v>2.1288249861282926E-2</v>
      </c>
      <c r="I22" s="63">
        <f>'AMZN_Revenue Build'!V112</f>
        <v>1.7327335766450076E-2</v>
      </c>
      <c r="J22" s="71">
        <f t="shared" si="4"/>
        <v>1.571822384430005E-2</v>
      </c>
      <c r="K22" s="71">
        <f t="shared" si="5"/>
        <v>1.4109111922150025E-2</v>
      </c>
      <c r="L22" s="45">
        <v>1.2500000000000001E-2</v>
      </c>
      <c r="M22"/>
    </row>
    <row r="23" spans="2:13" ht="15" customHeight="1" x14ac:dyDescent="0.55000000000000004">
      <c r="B23" s="3" t="s">
        <v>118</v>
      </c>
      <c r="C23" s="63">
        <f>AMZN_IS!C67</f>
        <v>1.2752966030735936E-3</v>
      </c>
      <c r="D23" s="63">
        <f>AMZN_IS!D67</f>
        <v>7.1652134235461028E-4</v>
      </c>
      <c r="E23" s="63">
        <f>AMZN_IS!E67</f>
        <v>-1.9167806374072692E-4</v>
      </c>
      <c r="F23" s="63">
        <f>AMZN_IS!F67</f>
        <v>1.3196487180251244E-4</v>
      </c>
      <c r="G23" s="63">
        <f>AMZN_IS!G67</f>
        <v>2.4572797154769712E-3</v>
      </c>
      <c r="H23" s="63">
        <f>'AMZN_Revenue Build'!Q114</f>
        <v>1.8443168235474075E-3</v>
      </c>
      <c r="I23" s="63">
        <f>'AMZN_Revenue Build'!V114</f>
        <v>5.1726642335498544E-3</v>
      </c>
      <c r="J23" s="71">
        <f t="shared" si="4"/>
        <v>3.7817761556999032E-3</v>
      </c>
      <c r="K23" s="71">
        <f t="shared" si="5"/>
        <v>2.3908880778499516E-3</v>
      </c>
      <c r="L23" s="45">
        <v>1E-3</v>
      </c>
      <c r="M23"/>
    </row>
    <row r="24" spans="2:13" customFormat="1" ht="15" customHeight="1" x14ac:dyDescent="0.55000000000000004">
      <c r="C24" s="120"/>
      <c r="D24" s="120"/>
      <c r="E24" s="120"/>
      <c r="F24" s="120"/>
      <c r="G24" s="120"/>
      <c r="H24" s="63"/>
      <c r="I24" s="63"/>
      <c r="J24" s="149"/>
      <c r="K24" s="149"/>
      <c r="L24" s="172"/>
    </row>
    <row r="25" spans="2:13" ht="15" customHeight="1" x14ac:dyDescent="0.55000000000000004">
      <c r="B25" s="3" t="s">
        <v>122</v>
      </c>
      <c r="C25" s="63">
        <f>AMZN_IS!C76</f>
        <v>1.8936222288062452E-3</v>
      </c>
      <c r="D25" s="63">
        <f>AMZN_IS!D76</f>
        <v>2.9694640705541812E-3</v>
      </c>
      <c r="E25" s="63">
        <f>AMZN_IS!E76</f>
        <v>1.4375854780554519E-3</v>
      </c>
      <c r="F25" s="63">
        <f>AMZN_IS!F76</f>
        <v>9.5355262205686412E-4</v>
      </c>
      <c r="G25" s="63">
        <f>AMZN_IS!G76</f>
        <v>1.9241881540829171E-3</v>
      </c>
      <c r="H25" s="45">
        <v>2E-3</v>
      </c>
      <c r="I25" s="45">
        <v>2E-3</v>
      </c>
      <c r="J25" s="71">
        <f t="shared" si="4"/>
        <v>2E-3</v>
      </c>
      <c r="K25" s="71">
        <f t="shared" si="5"/>
        <v>2E-3</v>
      </c>
      <c r="L25" s="45">
        <v>2E-3</v>
      </c>
      <c r="M25"/>
    </row>
    <row r="26" spans="2:13" ht="15" customHeight="1" x14ac:dyDescent="0.55000000000000004">
      <c r="B26" s="3" t="s">
        <v>121</v>
      </c>
      <c r="C26" s="63">
        <f>AMZN_IS!C77</f>
        <v>-6.0353266652479254E-2</v>
      </c>
      <c r="D26" s="63">
        <f>AMZN_IS!D77</f>
        <v>-6.8335184077902109E-2</v>
      </c>
      <c r="E26" s="63">
        <f>AMZN_IS!E77</f>
        <v>-5.1766406839326123E-2</v>
      </c>
      <c r="F26" s="63">
        <f>AMZN_IS!F77</f>
        <v>-3.7112259970457903E-2</v>
      </c>
      <c r="G26" s="63">
        <f>AMZN_IS!G77</f>
        <v>-3.524944154877141E-2</v>
      </c>
      <c r="H26" s="45">
        <v>-3.5000000000000003E-2</v>
      </c>
      <c r="I26" s="45">
        <v>-3.5000000000000003E-2</v>
      </c>
      <c r="J26" s="71">
        <f t="shared" si="4"/>
        <v>-3.5000000000000003E-2</v>
      </c>
      <c r="K26" s="71">
        <f t="shared" si="5"/>
        <v>-3.5000000000000003E-2</v>
      </c>
      <c r="L26" s="45">
        <v>-3.5000000000000003E-2</v>
      </c>
      <c r="M26"/>
    </row>
    <row r="27" spans="2:13" ht="15" customHeight="1" x14ac:dyDescent="0.55000000000000004">
      <c r="B27" s="3" t="s">
        <v>123</v>
      </c>
      <c r="C27" s="63">
        <f>AMZN_IS!C78</f>
        <v>-7.8149488807876784E-4</v>
      </c>
      <c r="D27" s="63">
        <f>AMZN_IS!D78</f>
        <v>7.2008612515239451E-4</v>
      </c>
      <c r="E27" s="63">
        <f>AMZN_IS!E78</f>
        <v>6.141468772017075E-3</v>
      </c>
      <c r="F27" s="63">
        <f>AMZN_IS!F78</f>
        <v>3.1145838211067169E-2</v>
      </c>
      <c r="G27" s="63">
        <f>AMZN_IS!G78</f>
        <v>-3.2697579491928724E-2</v>
      </c>
      <c r="H27" s="45">
        <v>-0.03</v>
      </c>
      <c r="I27" s="45">
        <v>-0.03</v>
      </c>
      <c r="J27" s="71">
        <f t="shared" si="4"/>
        <v>-0.03</v>
      </c>
      <c r="K27" s="71">
        <f t="shared" si="5"/>
        <v>-0.03</v>
      </c>
      <c r="L27" s="45">
        <v>-0.03</v>
      </c>
      <c r="M27"/>
    </row>
    <row r="28" spans="2:13" customFormat="1" ht="15" customHeight="1" x14ac:dyDescent="0.55000000000000004">
      <c r="C28" s="120"/>
      <c r="D28" s="120"/>
      <c r="E28" s="120"/>
      <c r="F28" s="120"/>
      <c r="G28" s="120"/>
      <c r="H28" s="45"/>
      <c r="I28" s="45"/>
      <c r="L28" s="172"/>
    </row>
    <row r="29" spans="2:13" ht="15" customHeight="1" x14ac:dyDescent="0.55000000000000004">
      <c r="B29" s="3" t="s">
        <v>126</v>
      </c>
      <c r="C29" s="63">
        <f>AMZN_IS!C82</f>
        <v>3.4351423651813971E-5</v>
      </c>
      <c r="D29" s="63">
        <f>AMZN_IS!D82</f>
        <v>-4.9906959168977831E-5</v>
      </c>
      <c r="E29" s="63">
        <f>AMZN_IS!E82</f>
        <v>4.1443905673670685E-5</v>
      </c>
      <c r="F29" s="63">
        <f>AMZN_IS!F82</f>
        <v>8.5138626969362858E-6</v>
      </c>
      <c r="G29" s="63">
        <f>AMZN_IS!G82</f>
        <v>-5.8367689203728526E-6</v>
      </c>
      <c r="H29" s="45">
        <v>0</v>
      </c>
      <c r="I29" s="45">
        <v>0</v>
      </c>
      <c r="J29" s="71">
        <f t="shared" si="4"/>
        <v>-1.6666666666666666E-4</v>
      </c>
      <c r="K29" s="71">
        <f t="shared" si="5"/>
        <v>-3.3333333333333332E-4</v>
      </c>
      <c r="L29" s="45">
        <v>-5.0000000000000001E-4</v>
      </c>
      <c r="M29"/>
    </row>
    <row r="30" spans="2:13" ht="15" customHeight="1" x14ac:dyDescent="0.55000000000000004">
      <c r="H30" s="21"/>
      <c r="I30" s="21"/>
      <c r="J30" s="21"/>
      <c r="K30" s="21"/>
      <c r="L30" s="21"/>
    </row>
    <row r="31" spans="2:13" x14ac:dyDescent="0.55000000000000004">
      <c r="B31" s="6" t="s">
        <v>135</v>
      </c>
      <c r="C31" s="16">
        <v>2018</v>
      </c>
      <c r="D31" s="16">
        <f t="shared" ref="D31" si="6">C31+1</f>
        <v>2019</v>
      </c>
      <c r="E31" s="16">
        <f t="shared" ref="E31" si="7">D31+1</f>
        <v>2020</v>
      </c>
      <c r="F31" s="16">
        <f t="shared" ref="F31" si="8">E31+1</f>
        <v>2021</v>
      </c>
      <c r="G31" s="16">
        <f t="shared" ref="G31" si="9">F31+1</f>
        <v>2022</v>
      </c>
      <c r="H31" s="17">
        <f t="shared" ref="H31" si="10">G31+1</f>
        <v>2023</v>
      </c>
      <c r="I31" s="17">
        <f t="shared" ref="I31" si="11">H31+1</f>
        <v>2024</v>
      </c>
      <c r="J31" s="17">
        <f t="shared" ref="J31" si="12">I31+1</f>
        <v>2025</v>
      </c>
      <c r="K31" s="17">
        <f t="shared" ref="K31" si="13">J31+1</f>
        <v>2026</v>
      </c>
      <c r="L31" s="17">
        <f t="shared" ref="L31" si="14">K31+1</f>
        <v>2027</v>
      </c>
    </row>
    <row r="32" spans="2:13" x14ac:dyDescent="0.55000000000000004">
      <c r="B32" s="44" t="s">
        <v>133</v>
      </c>
      <c r="C32"/>
      <c r="D32"/>
      <c r="E32"/>
      <c r="F32"/>
      <c r="G32"/>
      <c r="H32"/>
      <c r="I32"/>
      <c r="J32"/>
      <c r="K32"/>
      <c r="L32"/>
    </row>
    <row r="33" spans="2:12" x14ac:dyDescent="0.55000000000000004">
      <c r="B33" s="21" t="s">
        <v>25</v>
      </c>
      <c r="C33" s="8"/>
      <c r="D33" s="31"/>
      <c r="E33" s="31"/>
      <c r="F33" s="31"/>
      <c r="G33" s="32"/>
      <c r="H33" s="31">
        <f t="shared" ref="H33:L39" si="15">H7+H57</f>
        <v>3.1176024072288567E-3</v>
      </c>
      <c r="I33" s="31">
        <f t="shared" si="15"/>
        <v>4.3614861582323534E-2</v>
      </c>
      <c r="J33" s="31">
        <f t="shared" si="15"/>
        <v>4.4076574388215689E-2</v>
      </c>
      <c r="K33" s="31">
        <f t="shared" si="15"/>
        <v>4.4538287194107851E-2</v>
      </c>
      <c r="L33" s="31">
        <f t="shared" si="15"/>
        <v>4.4999999999999998E-2</v>
      </c>
    </row>
    <row r="34" spans="2:12" x14ac:dyDescent="0.55000000000000004">
      <c r="B34" s="21" t="s">
        <v>21</v>
      </c>
      <c r="C34" s="8"/>
      <c r="D34" s="31"/>
      <c r="E34" s="31"/>
      <c r="F34" s="31"/>
      <c r="G34" s="32"/>
      <c r="H34" s="31">
        <f t="shared" si="15"/>
        <v>7.0080657069029162E-2</v>
      </c>
      <c r="I34" s="31">
        <f t="shared" si="15"/>
        <v>7.48561809946615E-2</v>
      </c>
      <c r="J34" s="31">
        <f t="shared" si="15"/>
        <v>7.3237453996441007E-2</v>
      </c>
      <c r="K34" s="31">
        <f t="shared" si="15"/>
        <v>7.16187269982205E-2</v>
      </c>
      <c r="L34" s="31">
        <f t="shared" si="15"/>
        <v>6.9999999999999993E-2</v>
      </c>
    </row>
    <row r="35" spans="2:12" x14ac:dyDescent="0.55000000000000004">
      <c r="B35" s="21" t="s">
        <v>24</v>
      </c>
      <c r="C35" s="21"/>
      <c r="D35" s="31"/>
      <c r="E35" s="31"/>
      <c r="F35" s="31"/>
      <c r="G35" s="32"/>
      <c r="H35" s="31">
        <f t="shared" si="15"/>
        <v>0.1642405450406062</v>
      </c>
      <c r="I35" s="31">
        <f t="shared" si="15"/>
        <v>0.15522502337383973</v>
      </c>
      <c r="J35" s="31">
        <f t="shared" si="15"/>
        <v>0.15348334891589316</v>
      </c>
      <c r="K35" s="31">
        <f t="shared" si="15"/>
        <v>0.15174167445794659</v>
      </c>
      <c r="L35" s="31">
        <f t="shared" si="15"/>
        <v>0.15</v>
      </c>
    </row>
    <row r="36" spans="2:12" x14ac:dyDescent="0.55000000000000004">
      <c r="B36" s="21" t="s">
        <v>22</v>
      </c>
      <c r="C36" s="21"/>
      <c r="D36" s="31"/>
      <c r="E36" s="31"/>
      <c r="F36" s="31"/>
      <c r="G36" s="32"/>
      <c r="H36" s="31">
        <f t="shared" si="15"/>
        <v>0.15458827872110847</v>
      </c>
      <c r="I36" s="31">
        <f t="shared" si="15"/>
        <v>0.16124999999999992</v>
      </c>
      <c r="J36" s="31">
        <f t="shared" si="15"/>
        <v>0.15749999999999992</v>
      </c>
      <c r="K36" s="31">
        <f t="shared" si="15"/>
        <v>0.15374999999999997</v>
      </c>
      <c r="L36" s="31">
        <f t="shared" si="15"/>
        <v>0.15</v>
      </c>
    </row>
    <row r="37" spans="2:12" x14ac:dyDescent="0.55000000000000004">
      <c r="B37" s="21" t="s">
        <v>23</v>
      </c>
      <c r="C37" s="21"/>
      <c r="D37" s="31"/>
      <c r="E37" s="31"/>
      <c r="F37" s="31"/>
      <c r="G37" s="32"/>
      <c r="H37" s="31">
        <f t="shared" si="15"/>
        <v>0.20050153687167122</v>
      </c>
      <c r="I37" s="31">
        <f t="shared" si="15"/>
        <v>0.20266853693693923</v>
      </c>
      <c r="J37" s="31">
        <f t="shared" si="15"/>
        <v>0.1951123579579595</v>
      </c>
      <c r="K37" s="31">
        <f t="shared" si="15"/>
        <v>0.18755617897897975</v>
      </c>
      <c r="L37" s="31">
        <f t="shared" si="15"/>
        <v>0.18</v>
      </c>
    </row>
    <row r="38" spans="2:12" x14ac:dyDescent="0.55000000000000004">
      <c r="B38" s="21" t="s">
        <v>89</v>
      </c>
      <c r="C38" s="21"/>
      <c r="D38" s="31"/>
      <c r="E38" s="31"/>
      <c r="F38" s="31"/>
      <c r="G38" s="32"/>
      <c r="H38" s="31">
        <f t="shared" si="15"/>
        <v>0.14123351977626852</v>
      </c>
      <c r="I38" s="31">
        <f t="shared" si="15"/>
        <v>0.18705016693081974</v>
      </c>
      <c r="J38" s="31">
        <f t="shared" si="15"/>
        <v>0.18303344462054649</v>
      </c>
      <c r="K38" s="31">
        <f t="shared" si="15"/>
        <v>0.17901672231027327</v>
      </c>
      <c r="L38" s="31">
        <f t="shared" si="15"/>
        <v>0.17499999999999999</v>
      </c>
    </row>
    <row r="39" spans="2:12" x14ac:dyDescent="0.55000000000000004">
      <c r="B39" s="21" t="s">
        <v>111</v>
      </c>
      <c r="C39" s="21"/>
      <c r="D39" s="31"/>
      <c r="E39" s="31"/>
      <c r="F39" s="31"/>
      <c r="G39" s="32"/>
      <c r="H39" s="31">
        <f t="shared" si="15"/>
        <v>0.36718095125971267</v>
      </c>
      <c r="I39" s="31">
        <f t="shared" si="15"/>
        <v>0.20687500000000017</v>
      </c>
      <c r="J39" s="31">
        <f t="shared" si="15"/>
        <v>0.20125000000000012</v>
      </c>
      <c r="K39" s="31">
        <f t="shared" si="15"/>
        <v>0.19562500000000008</v>
      </c>
      <c r="L39" s="31">
        <f t="shared" si="15"/>
        <v>0.19</v>
      </c>
    </row>
    <row r="40" spans="2:12" x14ac:dyDescent="0.55000000000000004">
      <c r="C40" s="21"/>
      <c r="D40" s="21"/>
      <c r="E40" s="21"/>
      <c r="F40" s="21"/>
      <c r="G40" s="21"/>
      <c r="H40" s="21"/>
      <c r="I40" s="21"/>
      <c r="J40" s="21"/>
      <c r="K40" s="21"/>
      <c r="L40" s="21"/>
    </row>
    <row r="41" spans="2:12" x14ac:dyDescent="0.55000000000000004">
      <c r="B41" s="44" t="s">
        <v>75</v>
      </c>
      <c r="C41" s="65"/>
      <c r="D41" s="65"/>
      <c r="E41" s="65"/>
      <c r="F41" s="65"/>
      <c r="G41" s="65"/>
      <c r="H41" s="65"/>
      <c r="I41" s="65"/>
      <c r="J41" s="65"/>
      <c r="K41" s="65"/>
      <c r="L41" s="65"/>
    </row>
    <row r="42" spans="2:12" x14ac:dyDescent="0.55000000000000004">
      <c r="B42" s="3" t="s">
        <v>34</v>
      </c>
      <c r="C42" s="31"/>
      <c r="D42" s="31"/>
      <c r="E42" s="31"/>
      <c r="F42" s="31"/>
      <c r="G42" s="31"/>
      <c r="H42" s="31">
        <f>H17+H66</f>
        <v>0.46078318265152995</v>
      </c>
      <c r="I42" s="31">
        <f>I17+I66</f>
        <v>0.46836332116774959</v>
      </c>
      <c r="J42" s="31">
        <f>J17+J66</f>
        <v>0.46974221411183309</v>
      </c>
      <c r="K42" s="31">
        <f>K17+K66</f>
        <v>0.47112110705591653</v>
      </c>
      <c r="L42" s="31">
        <f>L17+L66</f>
        <v>0.47250000000000003</v>
      </c>
    </row>
    <row r="43" spans="2:12" x14ac:dyDescent="0.55000000000000004">
      <c r="C43" s="66"/>
      <c r="D43" s="66"/>
      <c r="E43" s="66"/>
      <c r="F43" s="66"/>
      <c r="G43" s="66"/>
      <c r="H43" s="47"/>
      <c r="I43" s="47"/>
      <c r="J43" s="47"/>
      <c r="K43" s="47"/>
      <c r="L43" s="47"/>
    </row>
    <row r="44" spans="2:12" x14ac:dyDescent="0.55000000000000004">
      <c r="B44" s="3" t="s">
        <v>91</v>
      </c>
      <c r="C44" s="31"/>
      <c r="D44" s="31"/>
      <c r="E44" s="31"/>
      <c r="F44" s="31"/>
      <c r="G44" s="31"/>
      <c r="H44" s="31">
        <f t="shared" ref="H44:L48" si="16">H19+H68</f>
        <v>0.16103478098340562</v>
      </c>
      <c r="I44" s="31">
        <f t="shared" si="16"/>
        <v>0.15780593430658005</v>
      </c>
      <c r="J44" s="31">
        <f t="shared" si="16"/>
        <v>0.15520395620438668</v>
      </c>
      <c r="K44" s="31">
        <f t="shared" si="16"/>
        <v>0.15260197810219336</v>
      </c>
      <c r="L44" s="31">
        <f t="shared" si="16"/>
        <v>0.15</v>
      </c>
    </row>
    <row r="45" spans="2:12" x14ac:dyDescent="0.55000000000000004">
      <c r="B45" s="3" t="s">
        <v>115</v>
      </c>
      <c r="C45" s="31"/>
      <c r="D45" s="31"/>
      <c r="E45" s="31"/>
      <c r="F45" s="31"/>
      <c r="G45" s="31"/>
      <c r="H45" s="31">
        <f t="shared" si="16"/>
        <v>0.14286069026736942</v>
      </c>
      <c r="I45" s="31">
        <f t="shared" si="16"/>
        <v>0.1438419197078796</v>
      </c>
      <c r="J45" s="31">
        <f t="shared" si="16"/>
        <v>0.14506127980525305</v>
      </c>
      <c r="K45" s="31">
        <f t="shared" si="16"/>
        <v>0.14628063990262655</v>
      </c>
      <c r="L45" s="31">
        <f t="shared" si="16"/>
        <v>0.14749999999999999</v>
      </c>
    </row>
    <row r="46" spans="2:12" x14ac:dyDescent="0.55000000000000004">
      <c r="B46" s="3" t="s">
        <v>116</v>
      </c>
      <c r="C46" s="31"/>
      <c r="D46" s="31"/>
      <c r="E46" s="31"/>
      <c r="F46" s="31"/>
      <c r="G46" s="31"/>
      <c r="H46" s="31">
        <f t="shared" si="16"/>
        <v>7.6341795544607113E-2</v>
      </c>
      <c r="I46" s="31">
        <f t="shared" si="16"/>
        <v>7.1629135036515065E-2</v>
      </c>
      <c r="J46" s="31">
        <f t="shared" si="16"/>
        <v>7.1419423357676703E-2</v>
      </c>
      <c r="K46" s="31">
        <f t="shared" si="16"/>
        <v>7.1209711678838356E-2</v>
      </c>
      <c r="L46" s="31">
        <f t="shared" si="16"/>
        <v>7.0999999999999994E-2</v>
      </c>
    </row>
    <row r="47" spans="2:12" x14ac:dyDescent="0.55000000000000004">
      <c r="B47" s="3" t="s">
        <v>117</v>
      </c>
      <c r="C47" s="31"/>
      <c r="D47" s="31"/>
      <c r="E47" s="31"/>
      <c r="F47" s="31"/>
      <c r="G47" s="31"/>
      <c r="H47" s="31">
        <f t="shared" si="16"/>
        <v>2.0788249861282925E-2</v>
      </c>
      <c r="I47" s="31">
        <f t="shared" si="16"/>
        <v>1.6702335766450076E-2</v>
      </c>
      <c r="J47" s="31">
        <f t="shared" si="16"/>
        <v>1.4968223844300049E-2</v>
      </c>
      <c r="K47" s="31">
        <f t="shared" si="16"/>
        <v>1.3234111922150025E-2</v>
      </c>
      <c r="L47" s="31">
        <f t="shared" si="16"/>
        <v>1.15E-2</v>
      </c>
    </row>
    <row r="48" spans="2:12" x14ac:dyDescent="0.55000000000000004">
      <c r="B48" s="3" t="s">
        <v>118</v>
      </c>
      <c r="C48" s="31"/>
      <c r="D48" s="31"/>
      <c r="E48" s="31"/>
      <c r="F48" s="31"/>
      <c r="G48" s="31"/>
      <c r="H48" s="31">
        <f t="shared" si="16"/>
        <v>1.8443168235474075E-3</v>
      </c>
      <c r="I48" s="31">
        <f t="shared" si="16"/>
        <v>5.1726642335498544E-3</v>
      </c>
      <c r="J48" s="31">
        <f t="shared" si="16"/>
        <v>3.7817761556999032E-3</v>
      </c>
      <c r="K48" s="31">
        <f t="shared" si="16"/>
        <v>2.3908880778499516E-3</v>
      </c>
      <c r="L48" s="31">
        <f t="shared" si="16"/>
        <v>1E-3</v>
      </c>
    </row>
    <row r="49" spans="2:12" x14ac:dyDescent="0.55000000000000004">
      <c r="B49"/>
      <c r="C49" s="65"/>
      <c r="D49" s="65"/>
      <c r="E49" s="65"/>
      <c r="F49" s="65"/>
      <c r="G49" s="65"/>
      <c r="H49" s="65"/>
      <c r="I49" s="65"/>
      <c r="J49" s="65"/>
      <c r="K49" s="65"/>
      <c r="L49" s="65"/>
    </row>
    <row r="50" spans="2:12" x14ac:dyDescent="0.55000000000000004">
      <c r="B50" s="3" t="s">
        <v>122</v>
      </c>
      <c r="C50" s="31"/>
      <c r="D50" s="31"/>
      <c r="E50" s="31"/>
      <c r="F50" s="31"/>
      <c r="G50" s="31"/>
      <c r="H50" s="31">
        <f t="shared" ref="H50:L52" si="17">H25+H74</f>
        <v>2E-3</v>
      </c>
      <c r="I50" s="31">
        <f t="shared" si="17"/>
        <v>2E-3</v>
      </c>
      <c r="J50" s="31">
        <f t="shared" si="17"/>
        <v>2E-3</v>
      </c>
      <c r="K50" s="31">
        <f t="shared" si="17"/>
        <v>2E-3</v>
      </c>
      <c r="L50" s="31">
        <f t="shared" si="17"/>
        <v>2E-3</v>
      </c>
    </row>
    <row r="51" spans="2:12" x14ac:dyDescent="0.55000000000000004">
      <c r="B51" s="3" t="s">
        <v>121</v>
      </c>
      <c r="C51" s="31"/>
      <c r="D51" s="31"/>
      <c r="E51" s="31"/>
      <c r="F51" s="31"/>
      <c r="G51" s="31"/>
      <c r="H51" s="31">
        <f t="shared" si="17"/>
        <v>-3.5000000000000003E-2</v>
      </c>
      <c r="I51" s="31">
        <f t="shared" si="17"/>
        <v>-3.5000000000000003E-2</v>
      </c>
      <c r="J51" s="31">
        <f t="shared" si="17"/>
        <v>-3.5000000000000003E-2</v>
      </c>
      <c r="K51" s="31">
        <f t="shared" si="17"/>
        <v>-3.5000000000000003E-2</v>
      </c>
      <c r="L51" s="31">
        <f t="shared" si="17"/>
        <v>-3.5000000000000003E-2</v>
      </c>
    </row>
    <row r="52" spans="2:12" x14ac:dyDescent="0.55000000000000004">
      <c r="B52" s="3" t="s">
        <v>123</v>
      </c>
      <c r="C52" s="31"/>
      <c r="D52" s="31"/>
      <c r="E52" s="31"/>
      <c r="F52" s="31"/>
      <c r="G52" s="31"/>
      <c r="H52" s="31">
        <f t="shared" si="17"/>
        <v>-0.03</v>
      </c>
      <c r="I52" s="31">
        <f t="shared" si="17"/>
        <v>-0.03</v>
      </c>
      <c r="J52" s="31">
        <f t="shared" si="17"/>
        <v>-0.03</v>
      </c>
      <c r="K52" s="31">
        <f t="shared" si="17"/>
        <v>-0.03</v>
      </c>
      <c r="L52" s="31">
        <f t="shared" si="17"/>
        <v>-0.03</v>
      </c>
    </row>
    <row r="53" spans="2:12" x14ac:dyDescent="0.55000000000000004">
      <c r="B53"/>
      <c r="C53" s="65"/>
      <c r="D53" s="65"/>
      <c r="E53" s="65"/>
      <c r="F53" s="65"/>
      <c r="G53" s="65"/>
      <c r="H53" s="31"/>
      <c r="I53" s="31"/>
      <c r="J53" s="31"/>
      <c r="K53" s="31"/>
      <c r="L53" s="31"/>
    </row>
    <row r="54" spans="2:12" x14ac:dyDescent="0.55000000000000004">
      <c r="B54" s="3" t="s">
        <v>126</v>
      </c>
      <c r="C54" s="31"/>
      <c r="D54" s="31"/>
      <c r="E54" s="31"/>
      <c r="F54" s="31"/>
      <c r="G54" s="31"/>
      <c r="H54" s="31">
        <f>H29+H78</f>
        <v>0</v>
      </c>
      <c r="I54" s="31">
        <f>I29+I78</f>
        <v>0</v>
      </c>
      <c r="J54" s="31">
        <f>J29+J78</f>
        <v>-1.6666666666666666E-4</v>
      </c>
      <c r="K54" s="31">
        <f>K29+K78</f>
        <v>-3.3333333333333332E-4</v>
      </c>
      <c r="L54" s="31">
        <f>L29+L78</f>
        <v>-5.0000000000000001E-4</v>
      </c>
    </row>
    <row r="55" spans="2:12" x14ac:dyDescent="0.55000000000000004">
      <c r="C55" s="63"/>
      <c r="D55" s="63"/>
      <c r="E55" s="63"/>
      <c r="F55" s="63"/>
      <c r="G55" s="63"/>
      <c r="H55" s="45"/>
      <c r="I55" s="45"/>
      <c r="J55" s="45"/>
      <c r="K55" s="45"/>
      <c r="L55" s="45"/>
    </row>
    <row r="56" spans="2:12" x14ac:dyDescent="0.55000000000000004">
      <c r="B56" s="44" t="s">
        <v>136</v>
      </c>
      <c r="C56"/>
      <c r="D56"/>
      <c r="E56"/>
      <c r="F56"/>
      <c r="G56"/>
      <c r="H56"/>
      <c r="I56"/>
      <c r="J56"/>
      <c r="K56"/>
      <c r="L56"/>
    </row>
    <row r="57" spans="2:12" x14ac:dyDescent="0.55000000000000004">
      <c r="B57" s="21" t="s">
        <v>25</v>
      </c>
      <c r="C57" s="8"/>
      <c r="D57" s="63"/>
      <c r="E57" s="63"/>
      <c r="F57" s="63"/>
      <c r="G57" s="64"/>
      <c r="H57" s="45">
        <v>2.5000000000000001E-3</v>
      </c>
      <c r="I57" s="71">
        <f t="shared" ref="I57:I63" si="18">$H57+1*($L57-$H57)/4</f>
        <v>5.6249999999999998E-3</v>
      </c>
      <c r="J57" s="71">
        <f t="shared" ref="J57:J63" si="19">$H57+2*($L57-$H57)/4</f>
        <v>8.7499999999999991E-3</v>
      </c>
      <c r="K57" s="71">
        <f t="shared" ref="K57:K63" si="20">$H57+3*($L57-$H57)/4</f>
        <v>1.1875E-2</v>
      </c>
      <c r="L57" s="45">
        <v>1.4999999999999999E-2</v>
      </c>
    </row>
    <row r="58" spans="2:12" x14ac:dyDescent="0.55000000000000004">
      <c r="B58" s="21" t="s">
        <v>21</v>
      </c>
      <c r="C58" s="8"/>
      <c r="D58" s="63"/>
      <c r="E58" s="63"/>
      <c r="F58" s="63"/>
      <c r="G58" s="64"/>
      <c r="H58" s="45">
        <v>2.5000000000000001E-3</v>
      </c>
      <c r="I58" s="71">
        <f t="shared" si="18"/>
        <v>4.3750000000000004E-3</v>
      </c>
      <c r="J58" s="71">
        <f t="shared" si="19"/>
        <v>6.2500000000000003E-3</v>
      </c>
      <c r="K58" s="71">
        <f t="shared" si="20"/>
        <v>8.1250000000000003E-3</v>
      </c>
      <c r="L58" s="45">
        <v>0.01</v>
      </c>
    </row>
    <row r="59" spans="2:12" x14ac:dyDescent="0.55000000000000004">
      <c r="B59" s="21" t="s">
        <v>24</v>
      </c>
      <c r="D59" s="63"/>
      <c r="E59" s="63"/>
      <c r="F59" s="63"/>
      <c r="G59" s="64"/>
      <c r="H59" s="45">
        <v>2.5000000000000001E-3</v>
      </c>
      <c r="I59" s="71">
        <f t="shared" si="18"/>
        <v>6.8750000000000009E-3</v>
      </c>
      <c r="J59" s="71">
        <f t="shared" si="19"/>
        <v>1.1250000000000001E-2</v>
      </c>
      <c r="K59" s="71">
        <f t="shared" si="20"/>
        <v>1.5625E-2</v>
      </c>
      <c r="L59" s="45">
        <v>0.02</v>
      </c>
    </row>
    <row r="60" spans="2:12" x14ac:dyDescent="0.55000000000000004">
      <c r="B60" s="21" t="s">
        <v>22</v>
      </c>
      <c r="D60" s="63"/>
      <c r="E60" s="63"/>
      <c r="F60" s="63"/>
      <c r="G60" s="64"/>
      <c r="H60" s="45">
        <v>5.0000000000000001E-3</v>
      </c>
      <c r="I60" s="71">
        <f t="shared" si="18"/>
        <v>1.125E-2</v>
      </c>
      <c r="J60" s="71">
        <f t="shared" si="19"/>
        <v>1.7499999999999998E-2</v>
      </c>
      <c r="K60" s="71">
        <f t="shared" si="20"/>
        <v>2.375E-2</v>
      </c>
      <c r="L60" s="45">
        <v>0.03</v>
      </c>
    </row>
    <row r="61" spans="2:12" x14ac:dyDescent="0.55000000000000004">
      <c r="B61" s="21" t="s">
        <v>23</v>
      </c>
      <c r="D61" s="63"/>
      <c r="E61" s="63"/>
      <c r="F61" s="63"/>
      <c r="G61" s="64"/>
      <c r="H61" s="45">
        <v>2.5000000000000001E-3</v>
      </c>
      <c r="I61" s="71">
        <f t="shared" si="18"/>
        <v>6.8750000000000009E-3</v>
      </c>
      <c r="J61" s="71">
        <f t="shared" si="19"/>
        <v>1.1250000000000001E-2</v>
      </c>
      <c r="K61" s="71">
        <f t="shared" si="20"/>
        <v>1.5625E-2</v>
      </c>
      <c r="L61" s="45">
        <v>0.02</v>
      </c>
    </row>
    <row r="62" spans="2:12" x14ac:dyDescent="0.55000000000000004">
      <c r="B62" s="21" t="s">
        <v>89</v>
      </c>
      <c r="D62" s="63"/>
      <c r="E62" s="63"/>
      <c r="F62" s="63"/>
      <c r="G62" s="64"/>
      <c r="H62" s="45">
        <v>5.0000000000000001E-3</v>
      </c>
      <c r="I62" s="71">
        <f t="shared" si="18"/>
        <v>8.7500000000000008E-3</v>
      </c>
      <c r="J62" s="71">
        <f t="shared" si="19"/>
        <v>1.2500000000000001E-2</v>
      </c>
      <c r="K62" s="71">
        <f t="shared" si="20"/>
        <v>1.6250000000000001E-2</v>
      </c>
      <c r="L62" s="45">
        <v>0.02</v>
      </c>
    </row>
    <row r="63" spans="2:12" x14ac:dyDescent="0.55000000000000004">
      <c r="B63" s="21" t="s">
        <v>111</v>
      </c>
      <c r="D63" s="63"/>
      <c r="E63" s="63"/>
      <c r="F63" s="63"/>
      <c r="G63" s="64"/>
      <c r="H63" s="45">
        <v>2.5000000000000001E-3</v>
      </c>
      <c r="I63" s="71">
        <f t="shared" si="18"/>
        <v>6.8750000000000009E-3</v>
      </c>
      <c r="J63" s="71">
        <f t="shared" si="19"/>
        <v>1.1250000000000001E-2</v>
      </c>
      <c r="K63" s="71">
        <f t="shared" si="20"/>
        <v>1.5625E-2</v>
      </c>
      <c r="L63" s="45">
        <v>0.02</v>
      </c>
    </row>
    <row r="64" spans="2:12" x14ac:dyDescent="0.55000000000000004">
      <c r="H64" s="21"/>
      <c r="I64" s="21"/>
      <c r="J64" s="21"/>
      <c r="K64" s="21"/>
      <c r="L64" s="21"/>
    </row>
    <row r="65" spans="2:12" x14ac:dyDescent="0.55000000000000004">
      <c r="B65" s="44" t="s">
        <v>137</v>
      </c>
      <c r="C65"/>
      <c r="D65"/>
      <c r="E65"/>
      <c r="F65"/>
      <c r="G65"/>
      <c r="H65"/>
      <c r="I65"/>
      <c r="J65"/>
      <c r="K65"/>
      <c r="L65"/>
    </row>
    <row r="66" spans="2:12" x14ac:dyDescent="0.55000000000000004">
      <c r="B66" s="3" t="s">
        <v>34</v>
      </c>
      <c r="C66" s="63"/>
      <c r="D66" s="63"/>
      <c r="E66" s="63"/>
      <c r="F66" s="63"/>
      <c r="G66" s="63"/>
      <c r="H66" s="45">
        <v>2.5000000000000001E-3</v>
      </c>
      <c r="I66" s="71">
        <f>$H66+1*($L66-$H66)/4</f>
        <v>5.0000000000000001E-3</v>
      </c>
      <c r="J66" s="71">
        <f>$H66+2*($L66-$H66)/4</f>
        <v>7.4999999999999997E-3</v>
      </c>
      <c r="K66" s="71">
        <f>$H66+3*($L66-$H66)/4</f>
        <v>0.01</v>
      </c>
      <c r="L66" s="45">
        <v>1.2500000000000001E-2</v>
      </c>
    </row>
    <row r="67" spans="2:12" x14ac:dyDescent="0.55000000000000004">
      <c r="C67" s="46"/>
      <c r="D67" s="46"/>
      <c r="E67" s="46"/>
      <c r="F67" s="46"/>
      <c r="G67" s="46"/>
      <c r="H67" s="47"/>
      <c r="I67" s="47"/>
      <c r="J67" s="47"/>
      <c r="K67" s="47"/>
      <c r="L67" s="47"/>
    </row>
    <row r="68" spans="2:12" x14ac:dyDescent="0.55000000000000004">
      <c r="B68" s="3" t="s">
        <v>91</v>
      </c>
      <c r="C68" s="63"/>
      <c r="D68" s="63"/>
      <c r="E68" s="63"/>
      <c r="F68" s="63"/>
      <c r="G68" s="63"/>
      <c r="H68" s="45">
        <v>-2.5000000000000001E-3</v>
      </c>
      <c r="I68" s="71">
        <f>$H68+1*($L68-$H68)/4</f>
        <v>-3.1250000000000002E-3</v>
      </c>
      <c r="J68" s="71">
        <f>$H68+2*($L68-$H68)/4</f>
        <v>-3.7499999999999999E-3</v>
      </c>
      <c r="K68" s="71">
        <f>$H68+3*($L68-$H68)/4</f>
        <v>-4.3750000000000004E-3</v>
      </c>
      <c r="L68" s="45">
        <v>-5.0000000000000001E-3</v>
      </c>
    </row>
    <row r="69" spans="2:12" x14ac:dyDescent="0.55000000000000004">
      <c r="B69" s="3" t="s">
        <v>115</v>
      </c>
      <c r="C69" s="63"/>
      <c r="D69" s="63"/>
      <c r="E69" s="63"/>
      <c r="F69" s="63"/>
      <c r="G69" s="63"/>
      <c r="H69" s="45">
        <v>-2.5000000000000001E-3</v>
      </c>
      <c r="I69" s="71">
        <f>$H69+1*($L69-$H69)/4</f>
        <v>-3.1250000000000002E-3</v>
      </c>
      <c r="J69" s="71">
        <f>$H69+2*($L69-$H69)/4</f>
        <v>-3.7499999999999999E-3</v>
      </c>
      <c r="K69" s="71">
        <f>$H69+3*($L69-$H69)/4</f>
        <v>-4.3750000000000004E-3</v>
      </c>
      <c r="L69" s="45">
        <v>-5.0000000000000001E-3</v>
      </c>
    </row>
    <row r="70" spans="2:12" x14ac:dyDescent="0.55000000000000004">
      <c r="B70" s="3" t="s">
        <v>116</v>
      </c>
      <c r="C70" s="63"/>
      <c r="D70" s="63"/>
      <c r="E70" s="63"/>
      <c r="F70" s="63"/>
      <c r="G70" s="63"/>
      <c r="H70" s="45">
        <v>-2E-3</v>
      </c>
      <c r="I70" s="71">
        <f>$H70+1*($L70-$H70)/4</f>
        <v>-2.5000000000000001E-3</v>
      </c>
      <c r="J70" s="71">
        <f>$H70+2*($L70-$H70)/4</f>
        <v>-3.0000000000000001E-3</v>
      </c>
      <c r="K70" s="71">
        <f>$H70+3*($L70-$H70)/4</f>
        <v>-3.5000000000000001E-3</v>
      </c>
      <c r="L70" s="45">
        <v>-4.0000000000000001E-3</v>
      </c>
    </row>
    <row r="71" spans="2:12" x14ac:dyDescent="0.55000000000000004">
      <c r="B71" s="3" t="s">
        <v>117</v>
      </c>
      <c r="C71" s="63"/>
      <c r="D71" s="63"/>
      <c r="E71" s="63"/>
      <c r="F71" s="63"/>
      <c r="G71" s="63"/>
      <c r="H71" s="45">
        <v>-5.0000000000000001E-4</v>
      </c>
      <c r="I71" s="71">
        <f>$H71+1*($L71-$H71)/4</f>
        <v>-6.2500000000000001E-4</v>
      </c>
      <c r="J71" s="71">
        <f>$H71+2*($L71-$H71)/4</f>
        <v>-7.5000000000000002E-4</v>
      </c>
      <c r="K71" s="71">
        <f>$H71+3*($L71-$H71)/4</f>
        <v>-8.7500000000000002E-4</v>
      </c>
      <c r="L71" s="45">
        <v>-1E-3</v>
      </c>
    </row>
    <row r="72" spans="2:12" x14ac:dyDescent="0.55000000000000004">
      <c r="B72" s="3" t="s">
        <v>118</v>
      </c>
      <c r="C72" s="63"/>
      <c r="D72" s="63"/>
      <c r="E72" s="63"/>
      <c r="F72" s="63"/>
      <c r="G72" s="63"/>
      <c r="H72" s="45">
        <v>0</v>
      </c>
      <c r="I72" s="71">
        <f>$H72+1*($L72-$H72)/4</f>
        <v>0</v>
      </c>
      <c r="J72" s="71">
        <f>$H72+2*($L72-$H72)/4</f>
        <v>0</v>
      </c>
      <c r="K72" s="71">
        <f>$H72+3*($L72-$H72)/4</f>
        <v>0</v>
      </c>
      <c r="L72" s="45">
        <v>0</v>
      </c>
    </row>
    <row r="73" spans="2:12" x14ac:dyDescent="0.55000000000000004">
      <c r="B73"/>
      <c r="C73"/>
      <c r="D73"/>
      <c r="E73"/>
      <c r="F73"/>
      <c r="G73"/>
      <c r="H73"/>
      <c r="I73"/>
      <c r="J73"/>
      <c r="K73"/>
      <c r="L73"/>
    </row>
    <row r="74" spans="2:12" x14ac:dyDescent="0.55000000000000004">
      <c r="B74" s="3" t="s">
        <v>122</v>
      </c>
      <c r="C74" s="63"/>
      <c r="D74" s="63"/>
      <c r="E74" s="63"/>
      <c r="F74" s="63"/>
      <c r="G74" s="63"/>
      <c r="H74" s="45">
        <v>0</v>
      </c>
      <c r="I74" s="71">
        <f>$H74+1*($L74-$H74)/4</f>
        <v>0</v>
      </c>
      <c r="J74" s="71">
        <f>$H74+2*($L74-$H74)/4</f>
        <v>0</v>
      </c>
      <c r="K74" s="71">
        <f>$H74+3*($L74-$H74)/4</f>
        <v>0</v>
      </c>
      <c r="L74" s="45">
        <v>0</v>
      </c>
    </row>
    <row r="75" spans="2:12" x14ac:dyDescent="0.55000000000000004">
      <c r="B75" s="3" t="s">
        <v>121</v>
      </c>
      <c r="C75" s="63"/>
      <c r="D75" s="63"/>
      <c r="E75" s="63"/>
      <c r="F75" s="63"/>
      <c r="G75" s="63"/>
      <c r="H75" s="45">
        <v>0</v>
      </c>
      <c r="I75" s="71">
        <f>$H75+1*($L75-$H75)/4</f>
        <v>0</v>
      </c>
      <c r="J75" s="71">
        <f>$H75+2*($L75-$H75)/4</f>
        <v>0</v>
      </c>
      <c r="K75" s="71">
        <f>$H75+3*($L75-$H75)/4</f>
        <v>0</v>
      </c>
      <c r="L75" s="45">
        <v>0</v>
      </c>
    </row>
    <row r="76" spans="2:12" x14ac:dyDescent="0.55000000000000004">
      <c r="B76" s="3" t="s">
        <v>123</v>
      </c>
      <c r="C76" s="63"/>
      <c r="D76" s="63"/>
      <c r="E76" s="63"/>
      <c r="F76" s="63"/>
      <c r="G76" s="63"/>
      <c r="H76" s="45">
        <v>0</v>
      </c>
      <c r="I76" s="71">
        <f>$H76+1*($L76-$H76)/4</f>
        <v>0</v>
      </c>
      <c r="J76" s="71">
        <f>$H76+2*($L76-$H76)/4</f>
        <v>0</v>
      </c>
      <c r="K76" s="71">
        <f>$H76+3*($L76-$H76)/4</f>
        <v>0</v>
      </c>
      <c r="L76" s="45">
        <v>0</v>
      </c>
    </row>
    <row r="77" spans="2:12" x14ac:dyDescent="0.55000000000000004">
      <c r="B77"/>
      <c r="C77"/>
      <c r="D77"/>
      <c r="E77"/>
      <c r="F77"/>
      <c r="G77"/>
      <c r="H77"/>
      <c r="I77"/>
      <c r="J77"/>
      <c r="K77"/>
      <c r="L77"/>
    </row>
    <row r="78" spans="2:12" x14ac:dyDescent="0.55000000000000004">
      <c r="B78" s="3" t="s">
        <v>126</v>
      </c>
      <c r="C78" s="63"/>
      <c r="D78" s="63"/>
      <c r="E78" s="63"/>
      <c r="F78" s="63"/>
      <c r="G78" s="63"/>
      <c r="H78" s="45">
        <v>0</v>
      </c>
      <c r="I78" s="71">
        <f>$H78+1*($L78-$H78)/4</f>
        <v>0</v>
      </c>
      <c r="J78" s="71">
        <f>$H78+2*($L78-$H78)/4</f>
        <v>0</v>
      </c>
      <c r="K78" s="71">
        <f>$H78+3*($L78-$H78)/4</f>
        <v>0</v>
      </c>
      <c r="L78" s="45">
        <v>0</v>
      </c>
    </row>
    <row r="80" spans="2:12" x14ac:dyDescent="0.55000000000000004">
      <c r="B80" s="6" t="s">
        <v>138</v>
      </c>
      <c r="C80" s="16">
        <v>2018</v>
      </c>
      <c r="D80" s="16">
        <f t="shared" ref="D80" si="21">C80+1</f>
        <v>2019</v>
      </c>
      <c r="E80" s="16">
        <f t="shared" ref="E80" si="22">D80+1</f>
        <v>2020</v>
      </c>
      <c r="F80" s="16">
        <f t="shared" ref="F80" si="23">E80+1</f>
        <v>2021</v>
      </c>
      <c r="G80" s="16">
        <f t="shared" ref="G80" si="24">F80+1</f>
        <v>2022</v>
      </c>
      <c r="H80" s="17">
        <f t="shared" ref="H80" si="25">G80+1</f>
        <v>2023</v>
      </c>
      <c r="I80" s="17">
        <f t="shared" ref="I80" si="26">H80+1</f>
        <v>2024</v>
      </c>
      <c r="J80" s="17">
        <f t="shared" ref="J80" si="27">I80+1</f>
        <v>2025</v>
      </c>
      <c r="K80" s="17">
        <f t="shared" ref="K80" si="28">J80+1</f>
        <v>2026</v>
      </c>
      <c r="L80" s="17">
        <f t="shared" ref="L80" si="29">K80+1</f>
        <v>2027</v>
      </c>
    </row>
    <row r="81" spans="2:12" x14ac:dyDescent="0.55000000000000004">
      <c r="B81" s="44" t="s">
        <v>133</v>
      </c>
      <c r="C81"/>
      <c r="D81"/>
      <c r="E81"/>
      <c r="F81"/>
      <c r="G81"/>
      <c r="H81"/>
      <c r="I81"/>
      <c r="J81"/>
      <c r="K81"/>
      <c r="L81"/>
    </row>
    <row r="82" spans="2:12" x14ac:dyDescent="0.55000000000000004">
      <c r="B82" s="21" t="s">
        <v>25</v>
      </c>
      <c r="C82" s="8"/>
      <c r="D82" s="31"/>
      <c r="E82" s="31"/>
      <c r="F82" s="31"/>
      <c r="G82" s="32"/>
      <c r="H82" s="31">
        <f>H7+H106</f>
        <v>-1.9382397592771144E-2</v>
      </c>
      <c r="I82" s="31">
        <f t="shared" ref="I82:L82" si="30">I7+I106</f>
        <v>1.7989861582323536E-2</v>
      </c>
      <c r="J82" s="31">
        <f t="shared" si="30"/>
        <v>1.5326574388215688E-2</v>
      </c>
      <c r="K82" s="31">
        <f t="shared" si="30"/>
        <v>1.2663287194107847E-2</v>
      </c>
      <c r="L82" s="31">
        <f t="shared" si="30"/>
        <v>9.9999999999999985E-3</v>
      </c>
    </row>
    <row r="83" spans="2:12" x14ac:dyDescent="0.55000000000000004">
      <c r="B83" s="21" t="s">
        <v>21</v>
      </c>
      <c r="C83" s="8"/>
      <c r="D83" s="31"/>
      <c r="E83" s="31"/>
      <c r="F83" s="31"/>
      <c r="G83" s="32"/>
      <c r="H83" s="31">
        <f t="shared" ref="H83:L83" si="31">H8+H107</f>
        <v>4.7580657069029156E-2</v>
      </c>
      <c r="I83" s="31">
        <f t="shared" si="31"/>
        <v>5.0481180994661493E-2</v>
      </c>
      <c r="J83" s="31">
        <f t="shared" si="31"/>
        <v>4.6987453996440998E-2</v>
      </c>
      <c r="K83" s="31">
        <f t="shared" si="31"/>
        <v>4.3493726998220489E-2</v>
      </c>
      <c r="L83" s="31">
        <f t="shared" si="31"/>
        <v>3.9999999999999994E-2</v>
      </c>
    </row>
    <row r="84" spans="2:12" x14ac:dyDescent="0.55000000000000004">
      <c r="B84" s="21" t="s">
        <v>24</v>
      </c>
      <c r="C84" s="21"/>
      <c r="D84" s="31"/>
      <c r="E84" s="31"/>
      <c r="F84" s="31"/>
      <c r="G84" s="32"/>
      <c r="H84" s="31">
        <f t="shared" ref="H84:L84" si="32">H9+H108</f>
        <v>0.14174054504060621</v>
      </c>
      <c r="I84" s="31">
        <f t="shared" si="32"/>
        <v>0.12835002337383974</v>
      </c>
      <c r="J84" s="31">
        <f t="shared" si="32"/>
        <v>0.12223334891589314</v>
      </c>
      <c r="K84" s="31">
        <f t="shared" si="32"/>
        <v>0.11611667445794659</v>
      </c>
      <c r="L84" s="31">
        <f t="shared" si="32"/>
        <v>0.11</v>
      </c>
    </row>
    <row r="85" spans="2:12" x14ac:dyDescent="0.55000000000000004">
      <c r="B85" s="21" t="s">
        <v>22</v>
      </c>
      <c r="C85" s="21"/>
      <c r="D85" s="31"/>
      <c r="E85" s="31"/>
      <c r="F85" s="31"/>
      <c r="G85" s="32"/>
      <c r="H85" s="31">
        <f t="shared" ref="H85:L85" si="33">H10+H109</f>
        <v>0.12958827872110848</v>
      </c>
      <c r="I85" s="31">
        <f t="shared" si="33"/>
        <v>0.12999999999999992</v>
      </c>
      <c r="J85" s="31">
        <f t="shared" si="33"/>
        <v>0.11999999999999993</v>
      </c>
      <c r="K85" s="31">
        <f t="shared" si="33"/>
        <v>0.10999999999999997</v>
      </c>
      <c r="L85" s="31">
        <f t="shared" si="33"/>
        <v>9.9999999999999992E-2</v>
      </c>
    </row>
    <row r="86" spans="2:12" x14ac:dyDescent="0.55000000000000004">
      <c r="B86" s="21" t="s">
        <v>23</v>
      </c>
      <c r="C86" s="21"/>
      <c r="D86" s="31"/>
      <c r="E86" s="31"/>
      <c r="F86" s="31"/>
      <c r="G86" s="32"/>
      <c r="H86" s="31">
        <f t="shared" ref="H86:L86" si="34">H11+H110</f>
        <v>0.17800153687167122</v>
      </c>
      <c r="I86" s="31">
        <f t="shared" si="34"/>
        <v>0.17579353693693925</v>
      </c>
      <c r="J86" s="31">
        <f t="shared" si="34"/>
        <v>0.1638623579579595</v>
      </c>
      <c r="K86" s="31">
        <f t="shared" si="34"/>
        <v>0.15193117897897976</v>
      </c>
      <c r="L86" s="31">
        <f t="shared" si="34"/>
        <v>0.14000000000000001</v>
      </c>
    </row>
    <row r="87" spans="2:12" x14ac:dyDescent="0.55000000000000004">
      <c r="B87" s="21" t="s">
        <v>89</v>
      </c>
      <c r="C87" s="21"/>
      <c r="D87" s="31"/>
      <c r="E87" s="31"/>
      <c r="F87" s="31"/>
      <c r="G87" s="32"/>
      <c r="H87" s="31">
        <f t="shared" ref="H87:L87" si="35">H12+H111</f>
        <v>0.11623351977626852</v>
      </c>
      <c r="I87" s="31">
        <f t="shared" si="35"/>
        <v>0.15830016693081975</v>
      </c>
      <c r="J87" s="31">
        <f t="shared" si="35"/>
        <v>0.15053344462054649</v>
      </c>
      <c r="K87" s="31">
        <f t="shared" si="35"/>
        <v>0.14276672231027326</v>
      </c>
      <c r="L87" s="31">
        <f t="shared" si="35"/>
        <v>0.13500000000000001</v>
      </c>
    </row>
    <row r="88" spans="2:12" x14ac:dyDescent="0.55000000000000004">
      <c r="B88" s="21" t="s">
        <v>111</v>
      </c>
      <c r="C88" s="21"/>
      <c r="D88" s="31"/>
      <c r="E88" s="31"/>
      <c r="F88" s="31"/>
      <c r="G88" s="32"/>
      <c r="H88" s="31">
        <f t="shared" ref="H88:L88" si="36">H13+H112</f>
        <v>0.34468095125971265</v>
      </c>
      <c r="I88" s="31">
        <f t="shared" si="36"/>
        <v>0.18000000000000019</v>
      </c>
      <c r="J88" s="31">
        <f t="shared" si="36"/>
        <v>0.17000000000000012</v>
      </c>
      <c r="K88" s="31">
        <f t="shared" si="36"/>
        <v>0.16000000000000009</v>
      </c>
      <c r="L88" s="31">
        <f t="shared" si="36"/>
        <v>0.15000000000000002</v>
      </c>
    </row>
    <row r="89" spans="2:12" x14ac:dyDescent="0.55000000000000004">
      <c r="C89" s="21"/>
      <c r="D89" s="21"/>
      <c r="E89" s="21"/>
      <c r="F89" s="21"/>
      <c r="G89" s="21"/>
      <c r="H89" s="21"/>
      <c r="I89" s="21"/>
      <c r="J89" s="21"/>
      <c r="K89" s="21"/>
      <c r="L89" s="21"/>
    </row>
    <row r="90" spans="2:12" x14ac:dyDescent="0.55000000000000004">
      <c r="B90" s="44" t="s">
        <v>75</v>
      </c>
      <c r="C90" s="65"/>
      <c r="D90" s="65"/>
      <c r="E90" s="65"/>
      <c r="F90" s="65"/>
      <c r="G90" s="65"/>
      <c r="H90" s="65"/>
      <c r="I90" s="65"/>
      <c r="J90" s="65"/>
      <c r="K90" s="65"/>
      <c r="L90" s="65"/>
    </row>
    <row r="91" spans="2:12" x14ac:dyDescent="0.55000000000000004">
      <c r="B91" s="3" t="s">
        <v>34</v>
      </c>
      <c r="C91" s="31"/>
      <c r="D91" s="31"/>
      <c r="E91" s="31"/>
      <c r="F91" s="31"/>
      <c r="G91" s="31"/>
      <c r="H91" s="31">
        <f>H17+H115</f>
        <v>0.45578318265152995</v>
      </c>
      <c r="I91" s="31">
        <f t="shared" ref="I91:L91" si="37">I17+I115</f>
        <v>0.45898832116774957</v>
      </c>
      <c r="J91" s="31">
        <f t="shared" si="37"/>
        <v>0.45599221411183311</v>
      </c>
      <c r="K91" s="31">
        <f t="shared" si="37"/>
        <v>0.45299610705591653</v>
      </c>
      <c r="L91" s="31">
        <f t="shared" si="37"/>
        <v>0.45</v>
      </c>
    </row>
    <row r="92" spans="2:12" x14ac:dyDescent="0.55000000000000004">
      <c r="C92" s="66"/>
      <c r="D92" s="66"/>
      <c r="E92" s="66"/>
      <c r="F92" s="66"/>
      <c r="G92" s="66"/>
      <c r="H92" s="47"/>
      <c r="I92" s="47"/>
      <c r="J92" s="47"/>
      <c r="K92" s="47"/>
      <c r="L92" s="47"/>
    </row>
    <row r="93" spans="2:12" x14ac:dyDescent="0.55000000000000004">
      <c r="B93" s="3" t="s">
        <v>91</v>
      </c>
      <c r="C93" s="31"/>
      <c r="D93" s="31"/>
      <c r="E93" s="31"/>
      <c r="F93" s="31"/>
      <c r="G93" s="31"/>
      <c r="H93" s="31">
        <f t="shared" ref="H93:L93" si="38">H19+H117</f>
        <v>0.16603478098340563</v>
      </c>
      <c r="I93" s="31">
        <f t="shared" si="38"/>
        <v>0.16405593430658003</v>
      </c>
      <c r="J93" s="31">
        <f t="shared" si="38"/>
        <v>0.16270395620438668</v>
      </c>
      <c r="K93" s="31">
        <f t="shared" si="38"/>
        <v>0.16135197810219334</v>
      </c>
      <c r="L93" s="31">
        <f t="shared" si="38"/>
        <v>0.16</v>
      </c>
    </row>
    <row r="94" spans="2:12" x14ac:dyDescent="0.55000000000000004">
      <c r="B94" s="3" t="s">
        <v>115</v>
      </c>
      <c r="C94" s="31"/>
      <c r="D94" s="31"/>
      <c r="E94" s="31"/>
      <c r="F94" s="31"/>
      <c r="G94" s="31"/>
      <c r="H94" s="31">
        <f t="shared" ref="H94:L94" si="39">H20+H118</f>
        <v>0.14786069026736942</v>
      </c>
      <c r="I94" s="31">
        <f t="shared" si="39"/>
        <v>0.14984191970787958</v>
      </c>
      <c r="J94" s="31">
        <f t="shared" si="39"/>
        <v>0.15206127980525305</v>
      </c>
      <c r="K94" s="31">
        <f t="shared" si="39"/>
        <v>0.15428063990262653</v>
      </c>
      <c r="L94" s="31">
        <f t="shared" si="39"/>
        <v>0.1565</v>
      </c>
    </row>
    <row r="95" spans="2:12" x14ac:dyDescent="0.55000000000000004">
      <c r="B95" s="3" t="s">
        <v>116</v>
      </c>
      <c r="C95" s="31"/>
      <c r="D95" s="31"/>
      <c r="E95" s="31"/>
      <c r="F95" s="31"/>
      <c r="G95" s="31"/>
      <c r="H95" s="31">
        <f t="shared" ref="H95:L95" si="40">H21+H119</f>
        <v>8.0341795544607117E-2</v>
      </c>
      <c r="I95" s="31">
        <f t="shared" si="40"/>
        <v>7.637913503651507E-2</v>
      </c>
      <c r="J95" s="31">
        <f t="shared" si="40"/>
        <v>7.6919423357676708E-2</v>
      </c>
      <c r="K95" s="31">
        <f t="shared" si="40"/>
        <v>7.7459711678838361E-2</v>
      </c>
      <c r="L95" s="31">
        <f t="shared" si="40"/>
        <v>7.8E-2</v>
      </c>
    </row>
    <row r="96" spans="2:12" x14ac:dyDescent="0.55000000000000004">
      <c r="B96" s="3" t="s">
        <v>117</v>
      </c>
      <c r="C96" s="31"/>
      <c r="D96" s="31"/>
      <c r="E96" s="31"/>
      <c r="F96" s="31"/>
      <c r="G96" s="31"/>
      <c r="H96" s="31">
        <f t="shared" ref="H96:L96" si="41">H22+H120</f>
        <v>2.1788249861282926E-2</v>
      </c>
      <c r="I96" s="31">
        <f t="shared" si="41"/>
        <v>1.7952335766450077E-2</v>
      </c>
      <c r="J96" s="31">
        <f t="shared" si="41"/>
        <v>1.6468223844300051E-2</v>
      </c>
      <c r="K96" s="31">
        <f t="shared" si="41"/>
        <v>1.4984111922150026E-2</v>
      </c>
      <c r="L96" s="31">
        <f t="shared" si="41"/>
        <v>1.3500000000000002E-2</v>
      </c>
    </row>
    <row r="97" spans="2:12" x14ac:dyDescent="0.55000000000000004">
      <c r="B97" s="3" t="s">
        <v>118</v>
      </c>
      <c r="C97" s="31"/>
      <c r="D97" s="31"/>
      <c r="E97" s="31"/>
      <c r="F97" s="31"/>
      <c r="G97" s="31"/>
      <c r="H97" s="31">
        <f t="shared" ref="H97:L97" si="42">H23+H121</f>
        <v>1.8443168235474075E-3</v>
      </c>
      <c r="I97" s="31">
        <f t="shared" si="42"/>
        <v>5.1726642335498544E-3</v>
      </c>
      <c r="J97" s="31">
        <f t="shared" si="42"/>
        <v>3.7817761556999032E-3</v>
      </c>
      <c r="K97" s="31">
        <f t="shared" si="42"/>
        <v>2.3908880778499516E-3</v>
      </c>
      <c r="L97" s="31">
        <f t="shared" si="42"/>
        <v>1E-3</v>
      </c>
    </row>
    <row r="98" spans="2:12" x14ac:dyDescent="0.55000000000000004">
      <c r="B98"/>
      <c r="C98" s="65"/>
      <c r="D98" s="65"/>
      <c r="E98" s="65"/>
      <c r="F98" s="65"/>
      <c r="G98" s="65"/>
      <c r="H98" s="65"/>
      <c r="I98" s="65"/>
      <c r="J98" s="65"/>
      <c r="K98" s="65"/>
      <c r="L98" s="65"/>
    </row>
    <row r="99" spans="2:12" x14ac:dyDescent="0.55000000000000004">
      <c r="B99" s="3" t="s">
        <v>122</v>
      </c>
      <c r="C99" s="31"/>
      <c r="D99" s="31"/>
      <c r="E99" s="31"/>
      <c r="F99" s="31"/>
      <c r="G99" s="31"/>
      <c r="H99" s="31">
        <f>H25+H123</f>
        <v>2E-3</v>
      </c>
      <c r="I99" s="31">
        <f t="shared" ref="I99:L101" si="43">I25+I123</f>
        <v>2E-3</v>
      </c>
      <c r="J99" s="31">
        <f t="shared" si="43"/>
        <v>2E-3</v>
      </c>
      <c r="K99" s="31">
        <f t="shared" si="43"/>
        <v>2E-3</v>
      </c>
      <c r="L99" s="31">
        <f t="shared" si="43"/>
        <v>2E-3</v>
      </c>
    </row>
    <row r="100" spans="2:12" x14ac:dyDescent="0.55000000000000004">
      <c r="B100" s="3" t="s">
        <v>121</v>
      </c>
      <c r="C100" s="31"/>
      <c r="D100" s="31"/>
      <c r="E100" s="31"/>
      <c r="F100" s="31"/>
      <c r="G100" s="31"/>
      <c r="H100" s="31">
        <f>H26+H124</f>
        <v>-3.5000000000000003E-2</v>
      </c>
      <c r="I100" s="31">
        <f t="shared" si="43"/>
        <v>-3.5000000000000003E-2</v>
      </c>
      <c r="J100" s="31">
        <f t="shared" si="43"/>
        <v>-3.5000000000000003E-2</v>
      </c>
      <c r="K100" s="31">
        <f t="shared" si="43"/>
        <v>-3.5000000000000003E-2</v>
      </c>
      <c r="L100" s="31">
        <f t="shared" si="43"/>
        <v>-3.5000000000000003E-2</v>
      </c>
    </row>
    <row r="101" spans="2:12" x14ac:dyDescent="0.55000000000000004">
      <c r="B101" s="3" t="s">
        <v>123</v>
      </c>
      <c r="C101" s="31"/>
      <c r="D101" s="31"/>
      <c r="E101" s="31"/>
      <c r="F101" s="31"/>
      <c r="G101" s="31"/>
      <c r="H101" s="31">
        <f>H27+H125</f>
        <v>-0.03</v>
      </c>
      <c r="I101" s="31">
        <f t="shared" si="43"/>
        <v>-0.03</v>
      </c>
      <c r="J101" s="31">
        <f t="shared" si="43"/>
        <v>-0.03</v>
      </c>
      <c r="K101" s="31">
        <f t="shared" si="43"/>
        <v>-0.03</v>
      </c>
      <c r="L101" s="31">
        <f t="shared" si="43"/>
        <v>-0.03</v>
      </c>
    </row>
    <row r="102" spans="2:12" x14ac:dyDescent="0.55000000000000004">
      <c r="B102"/>
      <c r="C102" s="65"/>
      <c r="D102" s="65"/>
      <c r="E102" s="65"/>
      <c r="F102" s="65"/>
      <c r="G102" s="65"/>
      <c r="H102" s="31"/>
      <c r="I102" s="31"/>
      <c r="J102" s="31"/>
      <c r="K102" s="31"/>
      <c r="L102" s="31"/>
    </row>
    <row r="103" spans="2:12" x14ac:dyDescent="0.55000000000000004">
      <c r="B103" s="3" t="s">
        <v>126</v>
      </c>
      <c r="C103" s="31"/>
      <c r="D103" s="31"/>
      <c r="E103" s="31"/>
      <c r="F103" s="31"/>
      <c r="G103" s="31"/>
      <c r="H103" s="31">
        <f>H29+H127</f>
        <v>0</v>
      </c>
      <c r="I103" s="31">
        <f t="shared" ref="I103:L103" si="44">I29+I127</f>
        <v>0</v>
      </c>
      <c r="J103" s="31">
        <f t="shared" si="44"/>
        <v>-1.6666666666666666E-4</v>
      </c>
      <c r="K103" s="31">
        <f t="shared" si="44"/>
        <v>-3.3333333333333332E-4</v>
      </c>
      <c r="L103" s="31">
        <f t="shared" si="44"/>
        <v>-5.0000000000000001E-4</v>
      </c>
    </row>
    <row r="104" spans="2:12" x14ac:dyDescent="0.55000000000000004">
      <c r="C104" s="63"/>
      <c r="D104" s="63"/>
      <c r="E104" s="63"/>
      <c r="F104" s="63"/>
      <c r="G104" s="63"/>
      <c r="H104" s="45"/>
      <c r="I104" s="45"/>
      <c r="J104" s="45"/>
      <c r="K104" s="45"/>
      <c r="L104" s="45"/>
    </row>
    <row r="105" spans="2:12" x14ac:dyDescent="0.55000000000000004">
      <c r="B105" s="44" t="s">
        <v>136</v>
      </c>
      <c r="C105"/>
      <c r="D105"/>
      <c r="E105"/>
      <c r="F105"/>
      <c r="G105"/>
      <c r="H105"/>
      <c r="I105"/>
      <c r="J105"/>
      <c r="K105"/>
      <c r="L105"/>
    </row>
    <row r="106" spans="2:12" x14ac:dyDescent="0.55000000000000004">
      <c r="B106" s="21" t="s">
        <v>25</v>
      </c>
      <c r="C106" s="8"/>
      <c r="D106" s="63"/>
      <c r="E106" s="63"/>
      <c r="F106" s="63"/>
      <c r="G106" s="64"/>
      <c r="H106" s="45">
        <v>-0.02</v>
      </c>
      <c r="I106" s="71">
        <f t="shared" ref="I106:I112" si="45">$H106+1*($L106-$H106)/4</f>
        <v>-0.02</v>
      </c>
      <c r="J106" s="71">
        <f t="shared" ref="J106:J112" si="46">$H106+2*($L106-$H106)/4</f>
        <v>-0.02</v>
      </c>
      <c r="K106" s="71">
        <f t="shared" ref="K106:K112" si="47">$H106+3*($L106-$H106)/4</f>
        <v>-0.02</v>
      </c>
      <c r="L106" s="45">
        <v>-0.02</v>
      </c>
    </row>
    <row r="107" spans="2:12" x14ac:dyDescent="0.55000000000000004">
      <c r="B107" s="21" t="s">
        <v>21</v>
      </c>
      <c r="C107" s="8"/>
      <c r="D107" s="63"/>
      <c r="E107" s="63"/>
      <c r="F107" s="63"/>
      <c r="G107" s="64"/>
      <c r="H107" s="45">
        <v>-0.02</v>
      </c>
      <c r="I107" s="71">
        <f t="shared" si="45"/>
        <v>-0.02</v>
      </c>
      <c r="J107" s="71">
        <f t="shared" si="46"/>
        <v>-0.02</v>
      </c>
      <c r="K107" s="71">
        <f t="shared" si="47"/>
        <v>-0.02</v>
      </c>
      <c r="L107" s="45">
        <v>-0.02</v>
      </c>
    </row>
    <row r="108" spans="2:12" x14ac:dyDescent="0.55000000000000004">
      <c r="B108" s="21" t="s">
        <v>24</v>
      </c>
      <c r="D108" s="63"/>
      <c r="E108" s="63"/>
      <c r="F108" s="63"/>
      <c r="G108" s="64"/>
      <c r="H108" s="45">
        <v>-0.02</v>
      </c>
      <c r="I108" s="71">
        <f t="shared" si="45"/>
        <v>-0.02</v>
      </c>
      <c r="J108" s="71">
        <f t="shared" si="46"/>
        <v>-0.02</v>
      </c>
      <c r="K108" s="71">
        <f t="shared" si="47"/>
        <v>-0.02</v>
      </c>
      <c r="L108" s="45">
        <v>-0.02</v>
      </c>
    </row>
    <row r="109" spans="2:12" x14ac:dyDescent="0.55000000000000004">
      <c r="B109" s="21" t="s">
        <v>22</v>
      </c>
      <c r="D109" s="63"/>
      <c r="E109" s="63"/>
      <c r="F109" s="63"/>
      <c r="G109" s="64"/>
      <c r="H109" s="45">
        <v>-0.02</v>
      </c>
      <c r="I109" s="71">
        <f t="shared" si="45"/>
        <v>-0.02</v>
      </c>
      <c r="J109" s="71">
        <f t="shared" si="46"/>
        <v>-0.02</v>
      </c>
      <c r="K109" s="71">
        <f t="shared" si="47"/>
        <v>-0.02</v>
      </c>
      <c r="L109" s="45">
        <v>-0.02</v>
      </c>
    </row>
    <row r="110" spans="2:12" x14ac:dyDescent="0.55000000000000004">
      <c r="B110" s="21" t="s">
        <v>23</v>
      </c>
      <c r="D110" s="63"/>
      <c r="E110" s="63"/>
      <c r="F110" s="63"/>
      <c r="G110" s="64"/>
      <c r="H110" s="45">
        <v>-0.02</v>
      </c>
      <c r="I110" s="71">
        <f t="shared" si="45"/>
        <v>-0.02</v>
      </c>
      <c r="J110" s="71">
        <f t="shared" si="46"/>
        <v>-0.02</v>
      </c>
      <c r="K110" s="71">
        <f t="shared" si="47"/>
        <v>-0.02</v>
      </c>
      <c r="L110" s="45">
        <v>-0.02</v>
      </c>
    </row>
    <row r="111" spans="2:12" x14ac:dyDescent="0.55000000000000004">
      <c r="B111" s="21" t="s">
        <v>89</v>
      </c>
      <c r="D111" s="63"/>
      <c r="E111" s="63"/>
      <c r="F111" s="63"/>
      <c r="G111" s="64"/>
      <c r="H111" s="45">
        <v>-0.02</v>
      </c>
      <c r="I111" s="71">
        <f t="shared" si="45"/>
        <v>-0.02</v>
      </c>
      <c r="J111" s="71">
        <f t="shared" si="46"/>
        <v>-0.02</v>
      </c>
      <c r="K111" s="71">
        <f t="shared" si="47"/>
        <v>-0.02</v>
      </c>
      <c r="L111" s="45">
        <v>-0.02</v>
      </c>
    </row>
    <row r="112" spans="2:12" x14ac:dyDescent="0.55000000000000004">
      <c r="B112" s="21" t="s">
        <v>111</v>
      </c>
      <c r="D112" s="63"/>
      <c r="E112" s="63"/>
      <c r="F112" s="63"/>
      <c r="G112" s="64"/>
      <c r="H112" s="45">
        <v>-0.02</v>
      </c>
      <c r="I112" s="71">
        <f t="shared" si="45"/>
        <v>-0.02</v>
      </c>
      <c r="J112" s="71">
        <f t="shared" si="46"/>
        <v>-0.02</v>
      </c>
      <c r="K112" s="71">
        <f t="shared" si="47"/>
        <v>-0.02</v>
      </c>
      <c r="L112" s="45">
        <v>-0.02</v>
      </c>
    </row>
    <row r="113" spans="2:12" x14ac:dyDescent="0.55000000000000004">
      <c r="H113" s="21"/>
      <c r="I113" s="21"/>
      <c r="J113" s="21"/>
      <c r="K113" s="21"/>
      <c r="L113" s="21"/>
    </row>
    <row r="114" spans="2:12" x14ac:dyDescent="0.55000000000000004">
      <c r="B114" s="44" t="s">
        <v>137</v>
      </c>
      <c r="C114"/>
      <c r="D114"/>
      <c r="E114"/>
      <c r="F114"/>
      <c r="G114"/>
      <c r="H114"/>
      <c r="I114"/>
      <c r="J114"/>
      <c r="K114"/>
      <c r="L114"/>
    </row>
    <row r="115" spans="2:12" x14ac:dyDescent="0.55000000000000004">
      <c r="B115" s="3" t="s">
        <v>34</v>
      </c>
      <c r="C115" s="63"/>
      <c r="D115" s="63"/>
      <c r="E115" s="63"/>
      <c r="F115" s="63"/>
      <c r="G115" s="63"/>
      <c r="H115" s="45">
        <v>-2.5000000000000001E-3</v>
      </c>
      <c r="I115" s="71">
        <f>$H115+1*($L115-$H115)/4</f>
        <v>-4.3750000000000004E-3</v>
      </c>
      <c r="J115" s="71">
        <f>$H115+2*($L115-$H115)/4</f>
        <v>-6.2500000000000003E-3</v>
      </c>
      <c r="K115" s="71">
        <f>$H115+3*($L115-$H115)/4</f>
        <v>-8.1250000000000003E-3</v>
      </c>
      <c r="L115" s="45">
        <v>-0.01</v>
      </c>
    </row>
    <row r="116" spans="2:12" x14ac:dyDescent="0.55000000000000004">
      <c r="C116" s="46"/>
      <c r="D116" s="46"/>
      <c r="E116" s="46"/>
      <c r="F116" s="46"/>
      <c r="G116" s="46"/>
      <c r="H116" s="47"/>
      <c r="I116" s="47"/>
      <c r="J116" s="47"/>
      <c r="K116" s="47"/>
      <c r="L116" s="47"/>
    </row>
    <row r="117" spans="2:12" x14ac:dyDescent="0.55000000000000004">
      <c r="B117" s="3" t="s">
        <v>91</v>
      </c>
      <c r="C117" s="63"/>
      <c r="D117" s="63"/>
      <c r="E117" s="63"/>
      <c r="F117" s="63"/>
      <c r="G117" s="63"/>
      <c r="H117" s="45">
        <v>2.5000000000000001E-3</v>
      </c>
      <c r="I117" s="71">
        <f>$H117+1*($L117-$H117)/4</f>
        <v>3.1250000000000002E-3</v>
      </c>
      <c r="J117" s="71">
        <f>$H117+2*($L117-$H117)/4</f>
        <v>3.7499999999999999E-3</v>
      </c>
      <c r="K117" s="71">
        <f>$H117+3*($L117-$H117)/4</f>
        <v>4.3750000000000004E-3</v>
      </c>
      <c r="L117" s="45">
        <v>5.0000000000000001E-3</v>
      </c>
    </row>
    <row r="118" spans="2:12" x14ac:dyDescent="0.55000000000000004">
      <c r="B118" s="3" t="s">
        <v>115</v>
      </c>
      <c r="C118" s="63"/>
      <c r="D118" s="63"/>
      <c r="E118" s="63"/>
      <c r="F118" s="63"/>
      <c r="G118" s="63"/>
      <c r="H118" s="45">
        <v>2.5000000000000001E-3</v>
      </c>
      <c r="I118" s="71">
        <f>$H118+1*($L118-$H118)/4</f>
        <v>2.875E-3</v>
      </c>
      <c r="J118" s="71">
        <f>$H118+2*($L118-$H118)/4</f>
        <v>3.2500000000000003E-3</v>
      </c>
      <c r="K118" s="71">
        <f>$H118+3*($L118-$H118)/4</f>
        <v>3.6250000000000002E-3</v>
      </c>
      <c r="L118" s="45">
        <v>4.0000000000000001E-3</v>
      </c>
    </row>
    <row r="119" spans="2:12" x14ac:dyDescent="0.55000000000000004">
      <c r="B119" s="3" t="s">
        <v>116</v>
      </c>
      <c r="C119" s="63"/>
      <c r="D119" s="63"/>
      <c r="E119" s="63"/>
      <c r="F119" s="63"/>
      <c r="G119" s="63"/>
      <c r="H119" s="45">
        <v>2E-3</v>
      </c>
      <c r="I119" s="71">
        <f>$H119+1*($L119-$H119)/4</f>
        <v>2.2500000000000003E-3</v>
      </c>
      <c r="J119" s="71">
        <f>$H119+2*($L119-$H119)/4</f>
        <v>2.5000000000000001E-3</v>
      </c>
      <c r="K119" s="71">
        <f>$H119+3*($L119-$H119)/4</f>
        <v>2.7499999999999998E-3</v>
      </c>
      <c r="L119" s="45">
        <v>3.0000000000000001E-3</v>
      </c>
    </row>
    <row r="120" spans="2:12" x14ac:dyDescent="0.55000000000000004">
      <c r="B120" s="3" t="s">
        <v>117</v>
      </c>
      <c r="C120" s="63"/>
      <c r="D120" s="63"/>
      <c r="E120" s="63"/>
      <c r="F120" s="63"/>
      <c r="G120" s="63"/>
      <c r="H120" s="45">
        <v>5.0000000000000001E-4</v>
      </c>
      <c r="I120" s="71">
        <f>$H120+1*($L120-$H120)/4</f>
        <v>6.2500000000000001E-4</v>
      </c>
      <c r="J120" s="71">
        <f>$H120+2*($L120-$H120)/4</f>
        <v>7.5000000000000002E-4</v>
      </c>
      <c r="K120" s="71">
        <f>$H120+3*($L120-$H120)/4</f>
        <v>8.7500000000000002E-4</v>
      </c>
      <c r="L120" s="45">
        <v>1E-3</v>
      </c>
    </row>
    <row r="121" spans="2:12" x14ac:dyDescent="0.55000000000000004">
      <c r="B121" s="3" t="s">
        <v>118</v>
      </c>
      <c r="C121" s="63"/>
      <c r="D121" s="63"/>
      <c r="E121" s="63"/>
      <c r="F121" s="63"/>
      <c r="G121" s="63"/>
      <c r="H121" s="45">
        <v>0</v>
      </c>
      <c r="I121" s="71">
        <f>$H121+1*($L121-$H121)/4</f>
        <v>0</v>
      </c>
      <c r="J121" s="71">
        <f>$H121+2*($L121-$H121)/4</f>
        <v>0</v>
      </c>
      <c r="K121" s="71">
        <f>$H121+3*($L121-$H121)/4</f>
        <v>0</v>
      </c>
      <c r="L121" s="45">
        <v>0</v>
      </c>
    </row>
    <row r="122" spans="2:12" x14ac:dyDescent="0.55000000000000004">
      <c r="B122"/>
      <c r="C122"/>
      <c r="D122"/>
      <c r="E122"/>
      <c r="F122"/>
      <c r="G122"/>
      <c r="H122"/>
      <c r="I122"/>
      <c r="J122"/>
      <c r="K122"/>
      <c r="L122"/>
    </row>
    <row r="123" spans="2:12" x14ac:dyDescent="0.55000000000000004">
      <c r="B123" s="3" t="s">
        <v>122</v>
      </c>
      <c r="C123" s="63"/>
      <c r="D123" s="63"/>
      <c r="E123" s="63"/>
      <c r="F123" s="63"/>
      <c r="G123" s="63"/>
      <c r="H123" s="45">
        <v>0</v>
      </c>
      <c r="I123" s="71">
        <f>$H123+1*($L123-$H123)/4</f>
        <v>0</v>
      </c>
      <c r="J123" s="71">
        <f>$H123+2*($L123-$H123)/4</f>
        <v>0</v>
      </c>
      <c r="K123" s="71">
        <f>$H123+3*($L123-$H123)/4</f>
        <v>0</v>
      </c>
      <c r="L123" s="45">
        <v>0</v>
      </c>
    </row>
    <row r="124" spans="2:12" x14ac:dyDescent="0.55000000000000004">
      <c r="B124" s="3" t="s">
        <v>121</v>
      </c>
      <c r="C124" s="63"/>
      <c r="D124" s="63"/>
      <c r="E124" s="63"/>
      <c r="F124" s="63"/>
      <c r="G124" s="63"/>
      <c r="H124" s="45">
        <v>0</v>
      </c>
      <c r="I124" s="71">
        <f t="shared" ref="I124:I125" si="48">$H124+1*($L124-$H124)/4</f>
        <v>0</v>
      </c>
      <c r="J124" s="71">
        <f t="shared" ref="J124:J125" si="49">$H124+2*($L124-$H124)/4</f>
        <v>0</v>
      </c>
      <c r="K124" s="71">
        <f t="shared" ref="K124:K125" si="50">$H124+3*($L124-$H124)/4</f>
        <v>0</v>
      </c>
      <c r="L124" s="45">
        <v>0</v>
      </c>
    </row>
    <row r="125" spans="2:12" x14ac:dyDescent="0.55000000000000004">
      <c r="B125" s="3" t="s">
        <v>123</v>
      </c>
      <c r="C125" s="63"/>
      <c r="D125" s="63"/>
      <c r="E125" s="63"/>
      <c r="F125" s="63"/>
      <c r="G125" s="63"/>
      <c r="H125" s="45">
        <v>0</v>
      </c>
      <c r="I125" s="71">
        <f t="shared" si="48"/>
        <v>0</v>
      </c>
      <c r="J125" s="71">
        <f t="shared" si="49"/>
        <v>0</v>
      </c>
      <c r="K125" s="71">
        <f t="shared" si="50"/>
        <v>0</v>
      </c>
      <c r="L125" s="45">
        <v>0</v>
      </c>
    </row>
    <row r="126" spans="2:12" x14ac:dyDescent="0.55000000000000004">
      <c r="B126"/>
      <c r="C126"/>
      <c r="D126"/>
      <c r="E126"/>
      <c r="F126"/>
      <c r="G126"/>
      <c r="H126"/>
      <c r="I126"/>
      <c r="J126"/>
      <c r="K126"/>
      <c r="L126"/>
    </row>
    <row r="127" spans="2:12" x14ac:dyDescent="0.55000000000000004">
      <c r="B127" s="3" t="s">
        <v>126</v>
      </c>
      <c r="C127" s="63"/>
      <c r="D127" s="63"/>
      <c r="E127" s="63"/>
      <c r="F127" s="63"/>
      <c r="G127" s="63"/>
      <c r="H127" s="45">
        <v>0</v>
      </c>
      <c r="I127" s="71">
        <f>$H127+1*($L127-$H127)/4</f>
        <v>0</v>
      </c>
      <c r="J127" s="71">
        <f>$H127+2*($L127-$H127)/4</f>
        <v>0</v>
      </c>
      <c r="K127" s="71">
        <f>$H127+3*($L127-$H127)/4</f>
        <v>0</v>
      </c>
      <c r="L127" s="4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2D46-D9DF-4CA7-8A5A-E9F46F4B8905}">
  <sheetPr>
    <pageSetUpPr fitToPage="1"/>
  </sheetPr>
  <dimension ref="A1:HV136"/>
  <sheetViews>
    <sheetView showGridLines="0" zoomScale="73" zoomScaleNormal="100" zoomScaleSheetLayoutView="85" workbookViewId="0">
      <selection activeCell="T28" sqref="T28"/>
    </sheetView>
  </sheetViews>
  <sheetFormatPr defaultColWidth="9.19921875" defaultRowHeight="13.5" x14ac:dyDescent="0.45"/>
  <cols>
    <col min="1" max="1" width="0.796875" style="309" customWidth="1"/>
    <col min="2" max="15" width="13.796875" style="309" customWidth="1"/>
    <col min="16" max="16" width="8.73046875" style="307" bestFit="1" customWidth="1"/>
    <col min="17" max="18" width="9.19921875" style="309"/>
    <col min="19" max="19" width="21.6640625" style="309" bestFit="1" customWidth="1"/>
    <col min="20" max="20" width="13.796875" style="309" customWidth="1"/>
    <col min="21" max="21" width="19.33203125" style="309" bestFit="1" customWidth="1"/>
    <col min="22" max="22" width="16.53125" style="309" bestFit="1" customWidth="1"/>
    <col min="23" max="23" width="9.19921875" style="309"/>
    <col min="24" max="24" width="14.19921875" style="309" bestFit="1" customWidth="1"/>
    <col min="25" max="252" width="9.19921875" style="309"/>
    <col min="253" max="253" width="0.796875" style="309" customWidth="1"/>
    <col min="254" max="267" width="13.796875" style="309" customWidth="1"/>
    <col min="268" max="268" width="3.796875" style="309" customWidth="1"/>
    <col min="269" max="270" width="9.19921875" style="309"/>
    <col min="271" max="271" width="27.53125" style="309" bestFit="1" customWidth="1"/>
    <col min="272" max="508" width="9.19921875" style="309"/>
    <col min="509" max="509" width="0.796875" style="309" customWidth="1"/>
    <col min="510" max="523" width="13.796875" style="309" customWidth="1"/>
    <col min="524" max="524" width="3.796875" style="309" customWidth="1"/>
    <col min="525" max="526" width="9.19921875" style="309"/>
    <col min="527" max="527" width="27.53125" style="309" bestFit="1" customWidth="1"/>
    <col min="528" max="764" width="9.19921875" style="309"/>
    <col min="765" max="765" width="0.796875" style="309" customWidth="1"/>
    <col min="766" max="779" width="13.796875" style="309" customWidth="1"/>
    <col min="780" max="780" width="3.796875" style="309" customWidth="1"/>
    <col min="781" max="782" width="9.19921875" style="309"/>
    <col min="783" max="783" width="27.53125" style="309" bestFit="1" customWidth="1"/>
    <col min="784" max="1020" width="9.19921875" style="309"/>
    <col min="1021" max="1021" width="0.796875" style="309" customWidth="1"/>
    <col min="1022" max="1035" width="13.796875" style="309" customWidth="1"/>
    <col min="1036" max="1036" width="3.796875" style="309" customWidth="1"/>
    <col min="1037" max="1038" width="9.19921875" style="309"/>
    <col min="1039" max="1039" width="27.53125" style="309" bestFit="1" customWidth="1"/>
    <col min="1040" max="1276" width="9.19921875" style="309"/>
    <col min="1277" max="1277" width="0.796875" style="309" customWidth="1"/>
    <col min="1278" max="1291" width="13.796875" style="309" customWidth="1"/>
    <col min="1292" max="1292" width="3.796875" style="309" customWidth="1"/>
    <col min="1293" max="1294" width="9.19921875" style="309"/>
    <col min="1295" max="1295" width="27.53125" style="309" bestFit="1" customWidth="1"/>
    <col min="1296" max="1532" width="9.19921875" style="309"/>
    <col min="1533" max="1533" width="0.796875" style="309" customWidth="1"/>
    <col min="1534" max="1547" width="13.796875" style="309" customWidth="1"/>
    <col min="1548" max="1548" width="3.796875" style="309" customWidth="1"/>
    <col min="1549" max="1550" width="9.19921875" style="309"/>
    <col min="1551" max="1551" width="27.53125" style="309" bestFit="1" customWidth="1"/>
    <col min="1552" max="1788" width="9.19921875" style="309"/>
    <col min="1789" max="1789" width="0.796875" style="309" customWidth="1"/>
    <col min="1790" max="1803" width="13.796875" style="309" customWidth="1"/>
    <col min="1804" max="1804" width="3.796875" style="309" customWidth="1"/>
    <col min="1805" max="1806" width="9.19921875" style="309"/>
    <col min="1807" max="1807" width="27.53125" style="309" bestFit="1" customWidth="1"/>
    <col min="1808" max="2044" width="9.19921875" style="309"/>
    <col min="2045" max="2045" width="0.796875" style="309" customWidth="1"/>
    <col min="2046" max="2059" width="13.796875" style="309" customWidth="1"/>
    <col min="2060" max="2060" width="3.796875" style="309" customWidth="1"/>
    <col min="2061" max="2062" width="9.19921875" style="309"/>
    <col min="2063" max="2063" width="27.53125" style="309" bestFit="1" customWidth="1"/>
    <col min="2064" max="2300" width="9.19921875" style="309"/>
    <col min="2301" max="2301" width="0.796875" style="309" customWidth="1"/>
    <col min="2302" max="2315" width="13.796875" style="309" customWidth="1"/>
    <col min="2316" max="2316" width="3.796875" style="309" customWidth="1"/>
    <col min="2317" max="2318" width="9.19921875" style="309"/>
    <col min="2319" max="2319" width="27.53125" style="309" bestFit="1" customWidth="1"/>
    <col min="2320" max="2556" width="9.19921875" style="309"/>
    <col min="2557" max="2557" width="0.796875" style="309" customWidth="1"/>
    <col min="2558" max="2571" width="13.796875" style="309" customWidth="1"/>
    <col min="2572" max="2572" width="3.796875" style="309" customWidth="1"/>
    <col min="2573" max="2574" width="9.19921875" style="309"/>
    <col min="2575" max="2575" width="27.53125" style="309" bestFit="1" customWidth="1"/>
    <col min="2576" max="2812" width="9.19921875" style="309"/>
    <col min="2813" max="2813" width="0.796875" style="309" customWidth="1"/>
    <col min="2814" max="2827" width="13.796875" style="309" customWidth="1"/>
    <col min="2828" max="2828" width="3.796875" style="309" customWidth="1"/>
    <col min="2829" max="2830" width="9.19921875" style="309"/>
    <col min="2831" max="2831" width="27.53125" style="309" bestFit="1" customWidth="1"/>
    <col min="2832" max="3068" width="9.19921875" style="309"/>
    <col min="3069" max="3069" width="0.796875" style="309" customWidth="1"/>
    <col min="3070" max="3083" width="13.796875" style="309" customWidth="1"/>
    <col min="3084" max="3084" width="3.796875" style="309" customWidth="1"/>
    <col min="3085" max="3086" width="9.19921875" style="309"/>
    <col min="3087" max="3087" width="27.53125" style="309" bestFit="1" customWidth="1"/>
    <col min="3088" max="3324" width="9.19921875" style="309"/>
    <col min="3325" max="3325" width="0.796875" style="309" customWidth="1"/>
    <col min="3326" max="3339" width="13.796875" style="309" customWidth="1"/>
    <col min="3340" max="3340" width="3.796875" style="309" customWidth="1"/>
    <col min="3341" max="3342" width="9.19921875" style="309"/>
    <col min="3343" max="3343" width="27.53125" style="309" bestFit="1" customWidth="1"/>
    <col min="3344" max="3580" width="9.19921875" style="309"/>
    <col min="3581" max="3581" width="0.796875" style="309" customWidth="1"/>
    <col min="3582" max="3595" width="13.796875" style="309" customWidth="1"/>
    <col min="3596" max="3596" width="3.796875" style="309" customWidth="1"/>
    <col min="3597" max="3598" width="9.19921875" style="309"/>
    <col min="3599" max="3599" width="27.53125" style="309" bestFit="1" customWidth="1"/>
    <col min="3600" max="3836" width="9.19921875" style="309"/>
    <col min="3837" max="3837" width="0.796875" style="309" customWidth="1"/>
    <col min="3838" max="3851" width="13.796875" style="309" customWidth="1"/>
    <col min="3852" max="3852" width="3.796875" style="309" customWidth="1"/>
    <col min="3853" max="3854" width="9.19921875" style="309"/>
    <col min="3855" max="3855" width="27.53125" style="309" bestFit="1" customWidth="1"/>
    <col min="3856" max="4092" width="9.19921875" style="309"/>
    <col min="4093" max="4093" width="0.796875" style="309" customWidth="1"/>
    <col min="4094" max="4107" width="13.796875" style="309" customWidth="1"/>
    <col min="4108" max="4108" width="3.796875" style="309" customWidth="1"/>
    <col min="4109" max="4110" width="9.19921875" style="309"/>
    <col min="4111" max="4111" width="27.53125" style="309" bestFit="1" customWidth="1"/>
    <col min="4112" max="4348" width="9.19921875" style="309"/>
    <col min="4349" max="4349" width="0.796875" style="309" customWidth="1"/>
    <col min="4350" max="4363" width="13.796875" style="309" customWidth="1"/>
    <col min="4364" max="4364" width="3.796875" style="309" customWidth="1"/>
    <col min="4365" max="4366" width="9.19921875" style="309"/>
    <col min="4367" max="4367" width="27.53125" style="309" bestFit="1" customWidth="1"/>
    <col min="4368" max="4604" width="9.19921875" style="309"/>
    <col min="4605" max="4605" width="0.796875" style="309" customWidth="1"/>
    <col min="4606" max="4619" width="13.796875" style="309" customWidth="1"/>
    <col min="4620" max="4620" width="3.796875" style="309" customWidth="1"/>
    <col min="4621" max="4622" width="9.19921875" style="309"/>
    <col min="4623" max="4623" width="27.53125" style="309" bestFit="1" customWidth="1"/>
    <col min="4624" max="4860" width="9.19921875" style="309"/>
    <col min="4861" max="4861" width="0.796875" style="309" customWidth="1"/>
    <col min="4862" max="4875" width="13.796875" style="309" customWidth="1"/>
    <col min="4876" max="4876" width="3.796875" style="309" customWidth="1"/>
    <col min="4877" max="4878" width="9.19921875" style="309"/>
    <col min="4879" max="4879" width="27.53125" style="309" bestFit="1" customWidth="1"/>
    <col min="4880" max="5116" width="9.19921875" style="309"/>
    <col min="5117" max="5117" width="0.796875" style="309" customWidth="1"/>
    <col min="5118" max="5131" width="13.796875" style="309" customWidth="1"/>
    <col min="5132" max="5132" width="3.796875" style="309" customWidth="1"/>
    <col min="5133" max="5134" width="9.19921875" style="309"/>
    <col min="5135" max="5135" width="27.53125" style="309" bestFit="1" customWidth="1"/>
    <col min="5136" max="5372" width="9.19921875" style="309"/>
    <col min="5373" max="5373" width="0.796875" style="309" customWidth="1"/>
    <col min="5374" max="5387" width="13.796875" style="309" customWidth="1"/>
    <col min="5388" max="5388" width="3.796875" style="309" customWidth="1"/>
    <col min="5389" max="5390" width="9.19921875" style="309"/>
    <col min="5391" max="5391" width="27.53125" style="309" bestFit="1" customWidth="1"/>
    <col min="5392" max="5628" width="9.19921875" style="309"/>
    <col min="5629" max="5629" width="0.796875" style="309" customWidth="1"/>
    <col min="5630" max="5643" width="13.796875" style="309" customWidth="1"/>
    <col min="5644" max="5644" width="3.796875" style="309" customWidth="1"/>
    <col min="5645" max="5646" width="9.19921875" style="309"/>
    <col min="5647" max="5647" width="27.53125" style="309" bestFit="1" customWidth="1"/>
    <col min="5648" max="5884" width="9.19921875" style="309"/>
    <col min="5885" max="5885" width="0.796875" style="309" customWidth="1"/>
    <col min="5886" max="5899" width="13.796875" style="309" customWidth="1"/>
    <col min="5900" max="5900" width="3.796875" style="309" customWidth="1"/>
    <col min="5901" max="5902" width="9.19921875" style="309"/>
    <col min="5903" max="5903" width="27.53125" style="309" bestFit="1" customWidth="1"/>
    <col min="5904" max="6140" width="9.19921875" style="309"/>
    <col min="6141" max="6141" width="0.796875" style="309" customWidth="1"/>
    <col min="6142" max="6155" width="13.796875" style="309" customWidth="1"/>
    <col min="6156" max="6156" width="3.796875" style="309" customWidth="1"/>
    <col min="6157" max="6158" width="9.19921875" style="309"/>
    <col min="6159" max="6159" width="27.53125" style="309" bestFit="1" customWidth="1"/>
    <col min="6160" max="6396" width="9.19921875" style="309"/>
    <col min="6397" max="6397" width="0.796875" style="309" customWidth="1"/>
    <col min="6398" max="6411" width="13.796875" style="309" customWidth="1"/>
    <col min="6412" max="6412" width="3.796875" style="309" customWidth="1"/>
    <col min="6413" max="6414" width="9.19921875" style="309"/>
    <col min="6415" max="6415" width="27.53125" style="309" bestFit="1" customWidth="1"/>
    <col min="6416" max="6652" width="9.19921875" style="309"/>
    <col min="6653" max="6653" width="0.796875" style="309" customWidth="1"/>
    <col min="6654" max="6667" width="13.796875" style="309" customWidth="1"/>
    <col min="6668" max="6668" width="3.796875" style="309" customWidth="1"/>
    <col min="6669" max="6670" width="9.19921875" style="309"/>
    <col min="6671" max="6671" width="27.53125" style="309" bestFit="1" customWidth="1"/>
    <col min="6672" max="6908" width="9.19921875" style="309"/>
    <col min="6909" max="6909" width="0.796875" style="309" customWidth="1"/>
    <col min="6910" max="6923" width="13.796875" style="309" customWidth="1"/>
    <col min="6924" max="6924" width="3.796875" style="309" customWidth="1"/>
    <col min="6925" max="6926" width="9.19921875" style="309"/>
    <col min="6927" max="6927" width="27.53125" style="309" bestFit="1" customWidth="1"/>
    <col min="6928" max="7164" width="9.19921875" style="309"/>
    <col min="7165" max="7165" width="0.796875" style="309" customWidth="1"/>
    <col min="7166" max="7179" width="13.796875" style="309" customWidth="1"/>
    <col min="7180" max="7180" width="3.796875" style="309" customWidth="1"/>
    <col min="7181" max="7182" width="9.19921875" style="309"/>
    <col min="7183" max="7183" width="27.53125" style="309" bestFit="1" customWidth="1"/>
    <col min="7184" max="7420" width="9.19921875" style="309"/>
    <col min="7421" max="7421" width="0.796875" style="309" customWidth="1"/>
    <col min="7422" max="7435" width="13.796875" style="309" customWidth="1"/>
    <col min="7436" max="7436" width="3.796875" style="309" customWidth="1"/>
    <col min="7437" max="7438" width="9.19921875" style="309"/>
    <col min="7439" max="7439" width="27.53125" style="309" bestFit="1" customWidth="1"/>
    <col min="7440" max="7676" width="9.19921875" style="309"/>
    <col min="7677" max="7677" width="0.796875" style="309" customWidth="1"/>
    <col min="7678" max="7691" width="13.796875" style="309" customWidth="1"/>
    <col min="7692" max="7692" width="3.796875" style="309" customWidth="1"/>
    <col min="7693" max="7694" width="9.19921875" style="309"/>
    <col min="7695" max="7695" width="27.53125" style="309" bestFit="1" customWidth="1"/>
    <col min="7696" max="7932" width="9.19921875" style="309"/>
    <col min="7933" max="7933" width="0.796875" style="309" customWidth="1"/>
    <col min="7934" max="7947" width="13.796875" style="309" customWidth="1"/>
    <col min="7948" max="7948" width="3.796875" style="309" customWidth="1"/>
    <col min="7949" max="7950" width="9.19921875" style="309"/>
    <col min="7951" max="7951" width="27.53125" style="309" bestFit="1" customWidth="1"/>
    <col min="7952" max="8188" width="9.19921875" style="309"/>
    <col min="8189" max="8189" width="0.796875" style="309" customWidth="1"/>
    <col min="8190" max="8203" width="13.796875" style="309" customWidth="1"/>
    <col min="8204" max="8204" width="3.796875" style="309" customWidth="1"/>
    <col min="8205" max="8206" width="9.19921875" style="309"/>
    <col min="8207" max="8207" width="27.53125" style="309" bestFit="1" customWidth="1"/>
    <col min="8208" max="8444" width="9.19921875" style="309"/>
    <col min="8445" max="8445" width="0.796875" style="309" customWidth="1"/>
    <col min="8446" max="8459" width="13.796875" style="309" customWidth="1"/>
    <col min="8460" max="8460" width="3.796875" style="309" customWidth="1"/>
    <col min="8461" max="8462" width="9.19921875" style="309"/>
    <col min="8463" max="8463" width="27.53125" style="309" bestFit="1" customWidth="1"/>
    <col min="8464" max="8700" width="9.19921875" style="309"/>
    <col min="8701" max="8701" width="0.796875" style="309" customWidth="1"/>
    <col min="8702" max="8715" width="13.796875" style="309" customWidth="1"/>
    <col min="8716" max="8716" width="3.796875" style="309" customWidth="1"/>
    <col min="8717" max="8718" width="9.19921875" style="309"/>
    <col min="8719" max="8719" width="27.53125" style="309" bestFit="1" customWidth="1"/>
    <col min="8720" max="8956" width="9.19921875" style="309"/>
    <col min="8957" max="8957" width="0.796875" style="309" customWidth="1"/>
    <col min="8958" max="8971" width="13.796875" style="309" customWidth="1"/>
    <col min="8972" max="8972" width="3.796875" style="309" customWidth="1"/>
    <col min="8973" max="8974" width="9.19921875" style="309"/>
    <col min="8975" max="8975" width="27.53125" style="309" bestFit="1" customWidth="1"/>
    <col min="8976" max="9212" width="9.19921875" style="309"/>
    <col min="9213" max="9213" width="0.796875" style="309" customWidth="1"/>
    <col min="9214" max="9227" width="13.796875" style="309" customWidth="1"/>
    <col min="9228" max="9228" width="3.796875" style="309" customWidth="1"/>
    <col min="9229" max="9230" width="9.19921875" style="309"/>
    <col min="9231" max="9231" width="27.53125" style="309" bestFit="1" customWidth="1"/>
    <col min="9232" max="9468" width="9.19921875" style="309"/>
    <col min="9469" max="9469" width="0.796875" style="309" customWidth="1"/>
    <col min="9470" max="9483" width="13.796875" style="309" customWidth="1"/>
    <col min="9484" max="9484" width="3.796875" style="309" customWidth="1"/>
    <col min="9485" max="9486" width="9.19921875" style="309"/>
    <col min="9487" max="9487" width="27.53125" style="309" bestFit="1" customWidth="1"/>
    <col min="9488" max="9724" width="9.19921875" style="309"/>
    <col min="9725" max="9725" width="0.796875" style="309" customWidth="1"/>
    <col min="9726" max="9739" width="13.796875" style="309" customWidth="1"/>
    <col min="9740" max="9740" width="3.796875" style="309" customWidth="1"/>
    <col min="9741" max="9742" width="9.19921875" style="309"/>
    <col min="9743" max="9743" width="27.53125" style="309" bestFit="1" customWidth="1"/>
    <col min="9744" max="9980" width="9.19921875" style="309"/>
    <col min="9981" max="9981" width="0.796875" style="309" customWidth="1"/>
    <col min="9982" max="9995" width="13.796875" style="309" customWidth="1"/>
    <col min="9996" max="9996" width="3.796875" style="309" customWidth="1"/>
    <col min="9997" max="9998" width="9.19921875" style="309"/>
    <col min="9999" max="9999" width="27.53125" style="309" bestFit="1" customWidth="1"/>
    <col min="10000" max="10236" width="9.19921875" style="309"/>
    <col min="10237" max="10237" width="0.796875" style="309" customWidth="1"/>
    <col min="10238" max="10251" width="13.796875" style="309" customWidth="1"/>
    <col min="10252" max="10252" width="3.796875" style="309" customWidth="1"/>
    <col min="10253" max="10254" width="9.19921875" style="309"/>
    <col min="10255" max="10255" width="27.53125" style="309" bestFit="1" customWidth="1"/>
    <col min="10256" max="10492" width="9.19921875" style="309"/>
    <col min="10493" max="10493" width="0.796875" style="309" customWidth="1"/>
    <col min="10494" max="10507" width="13.796875" style="309" customWidth="1"/>
    <col min="10508" max="10508" width="3.796875" style="309" customWidth="1"/>
    <col min="10509" max="10510" width="9.19921875" style="309"/>
    <col min="10511" max="10511" width="27.53125" style="309" bestFit="1" customWidth="1"/>
    <col min="10512" max="10748" width="9.19921875" style="309"/>
    <col min="10749" max="10749" width="0.796875" style="309" customWidth="1"/>
    <col min="10750" max="10763" width="13.796875" style="309" customWidth="1"/>
    <col min="10764" max="10764" width="3.796875" style="309" customWidth="1"/>
    <col min="10765" max="10766" width="9.19921875" style="309"/>
    <col min="10767" max="10767" width="27.53125" style="309" bestFit="1" customWidth="1"/>
    <col min="10768" max="11004" width="9.19921875" style="309"/>
    <col min="11005" max="11005" width="0.796875" style="309" customWidth="1"/>
    <col min="11006" max="11019" width="13.796875" style="309" customWidth="1"/>
    <col min="11020" max="11020" width="3.796875" style="309" customWidth="1"/>
    <col min="11021" max="11022" width="9.19921875" style="309"/>
    <col min="11023" max="11023" width="27.53125" style="309" bestFit="1" customWidth="1"/>
    <col min="11024" max="11260" width="9.19921875" style="309"/>
    <col min="11261" max="11261" width="0.796875" style="309" customWidth="1"/>
    <col min="11262" max="11275" width="13.796875" style="309" customWidth="1"/>
    <col min="11276" max="11276" width="3.796875" style="309" customWidth="1"/>
    <col min="11277" max="11278" width="9.19921875" style="309"/>
    <col min="11279" max="11279" width="27.53125" style="309" bestFit="1" customWidth="1"/>
    <col min="11280" max="11516" width="9.19921875" style="309"/>
    <col min="11517" max="11517" width="0.796875" style="309" customWidth="1"/>
    <col min="11518" max="11531" width="13.796875" style="309" customWidth="1"/>
    <col min="11532" max="11532" width="3.796875" style="309" customWidth="1"/>
    <col min="11533" max="11534" width="9.19921875" style="309"/>
    <col min="11535" max="11535" width="27.53125" style="309" bestFit="1" customWidth="1"/>
    <col min="11536" max="11772" width="9.19921875" style="309"/>
    <col min="11773" max="11773" width="0.796875" style="309" customWidth="1"/>
    <col min="11774" max="11787" width="13.796875" style="309" customWidth="1"/>
    <col min="11788" max="11788" width="3.796875" style="309" customWidth="1"/>
    <col min="11789" max="11790" width="9.19921875" style="309"/>
    <col min="11791" max="11791" width="27.53125" style="309" bestFit="1" customWidth="1"/>
    <col min="11792" max="12028" width="9.19921875" style="309"/>
    <col min="12029" max="12029" width="0.796875" style="309" customWidth="1"/>
    <col min="12030" max="12043" width="13.796875" style="309" customWidth="1"/>
    <col min="12044" max="12044" width="3.796875" style="309" customWidth="1"/>
    <col min="12045" max="12046" width="9.19921875" style="309"/>
    <col min="12047" max="12047" width="27.53125" style="309" bestFit="1" customWidth="1"/>
    <col min="12048" max="12284" width="9.19921875" style="309"/>
    <col min="12285" max="12285" width="0.796875" style="309" customWidth="1"/>
    <col min="12286" max="12299" width="13.796875" style="309" customWidth="1"/>
    <col min="12300" max="12300" width="3.796875" style="309" customWidth="1"/>
    <col min="12301" max="12302" width="9.19921875" style="309"/>
    <col min="12303" max="12303" width="27.53125" style="309" bestFit="1" customWidth="1"/>
    <col min="12304" max="12540" width="9.19921875" style="309"/>
    <col min="12541" max="12541" width="0.796875" style="309" customWidth="1"/>
    <col min="12542" max="12555" width="13.796875" style="309" customWidth="1"/>
    <col min="12556" max="12556" width="3.796875" style="309" customWidth="1"/>
    <col min="12557" max="12558" width="9.19921875" style="309"/>
    <col min="12559" max="12559" width="27.53125" style="309" bestFit="1" customWidth="1"/>
    <col min="12560" max="12796" width="9.19921875" style="309"/>
    <col min="12797" max="12797" width="0.796875" style="309" customWidth="1"/>
    <col min="12798" max="12811" width="13.796875" style="309" customWidth="1"/>
    <col min="12812" max="12812" width="3.796875" style="309" customWidth="1"/>
    <col min="12813" max="12814" width="9.19921875" style="309"/>
    <col min="12815" max="12815" width="27.53125" style="309" bestFit="1" customWidth="1"/>
    <col min="12816" max="13052" width="9.19921875" style="309"/>
    <col min="13053" max="13053" width="0.796875" style="309" customWidth="1"/>
    <col min="13054" max="13067" width="13.796875" style="309" customWidth="1"/>
    <col min="13068" max="13068" width="3.796875" style="309" customWidth="1"/>
    <col min="13069" max="13070" width="9.19921875" style="309"/>
    <col min="13071" max="13071" width="27.53125" style="309" bestFit="1" customWidth="1"/>
    <col min="13072" max="13308" width="9.19921875" style="309"/>
    <col min="13309" max="13309" width="0.796875" style="309" customWidth="1"/>
    <col min="13310" max="13323" width="13.796875" style="309" customWidth="1"/>
    <col min="13324" max="13324" width="3.796875" style="309" customWidth="1"/>
    <col min="13325" max="13326" width="9.19921875" style="309"/>
    <col min="13327" max="13327" width="27.53125" style="309" bestFit="1" customWidth="1"/>
    <col min="13328" max="13564" width="9.19921875" style="309"/>
    <col min="13565" max="13565" width="0.796875" style="309" customWidth="1"/>
    <col min="13566" max="13579" width="13.796875" style="309" customWidth="1"/>
    <col min="13580" max="13580" width="3.796875" style="309" customWidth="1"/>
    <col min="13581" max="13582" width="9.19921875" style="309"/>
    <col min="13583" max="13583" width="27.53125" style="309" bestFit="1" customWidth="1"/>
    <col min="13584" max="13820" width="9.19921875" style="309"/>
    <col min="13821" max="13821" width="0.796875" style="309" customWidth="1"/>
    <col min="13822" max="13835" width="13.796875" style="309" customWidth="1"/>
    <col min="13836" max="13836" width="3.796875" style="309" customWidth="1"/>
    <col min="13837" max="13838" width="9.19921875" style="309"/>
    <col min="13839" max="13839" width="27.53125" style="309" bestFit="1" customWidth="1"/>
    <col min="13840" max="14076" width="9.19921875" style="309"/>
    <col min="14077" max="14077" width="0.796875" style="309" customWidth="1"/>
    <col min="14078" max="14091" width="13.796875" style="309" customWidth="1"/>
    <col min="14092" max="14092" width="3.796875" style="309" customWidth="1"/>
    <col min="14093" max="14094" width="9.19921875" style="309"/>
    <col min="14095" max="14095" width="27.53125" style="309" bestFit="1" customWidth="1"/>
    <col min="14096" max="14332" width="9.19921875" style="309"/>
    <col min="14333" max="14333" width="0.796875" style="309" customWidth="1"/>
    <col min="14334" max="14347" width="13.796875" style="309" customWidth="1"/>
    <col min="14348" max="14348" width="3.796875" style="309" customWidth="1"/>
    <col min="14349" max="14350" width="9.19921875" style="309"/>
    <col min="14351" max="14351" width="27.53125" style="309" bestFit="1" customWidth="1"/>
    <col min="14352" max="14588" width="9.19921875" style="309"/>
    <col min="14589" max="14589" width="0.796875" style="309" customWidth="1"/>
    <col min="14590" max="14603" width="13.796875" style="309" customWidth="1"/>
    <col min="14604" max="14604" width="3.796875" style="309" customWidth="1"/>
    <col min="14605" max="14606" width="9.19921875" style="309"/>
    <col min="14607" max="14607" width="27.53125" style="309" bestFit="1" customWidth="1"/>
    <col min="14608" max="14844" width="9.19921875" style="309"/>
    <col min="14845" max="14845" width="0.796875" style="309" customWidth="1"/>
    <col min="14846" max="14859" width="13.796875" style="309" customWidth="1"/>
    <col min="14860" max="14860" width="3.796875" style="309" customWidth="1"/>
    <col min="14861" max="14862" width="9.19921875" style="309"/>
    <col min="14863" max="14863" width="27.53125" style="309" bestFit="1" customWidth="1"/>
    <col min="14864" max="15100" width="9.19921875" style="309"/>
    <col min="15101" max="15101" width="0.796875" style="309" customWidth="1"/>
    <col min="15102" max="15115" width="13.796875" style="309" customWidth="1"/>
    <col min="15116" max="15116" width="3.796875" style="309" customWidth="1"/>
    <col min="15117" max="15118" width="9.19921875" style="309"/>
    <col min="15119" max="15119" width="27.53125" style="309" bestFit="1" customWidth="1"/>
    <col min="15120" max="15356" width="9.19921875" style="309"/>
    <col min="15357" max="15357" width="0.796875" style="309" customWidth="1"/>
    <col min="15358" max="15371" width="13.796875" style="309" customWidth="1"/>
    <col min="15372" max="15372" width="3.796875" style="309" customWidth="1"/>
    <col min="15373" max="15374" width="9.19921875" style="309"/>
    <col min="15375" max="15375" width="27.53125" style="309" bestFit="1" customWidth="1"/>
    <col min="15376" max="15612" width="9.19921875" style="309"/>
    <col min="15613" max="15613" width="0.796875" style="309" customWidth="1"/>
    <col min="15614" max="15627" width="13.796875" style="309" customWidth="1"/>
    <col min="15628" max="15628" width="3.796875" style="309" customWidth="1"/>
    <col min="15629" max="15630" width="9.19921875" style="309"/>
    <col min="15631" max="15631" width="27.53125" style="309" bestFit="1" customWidth="1"/>
    <col min="15632" max="15868" width="9.19921875" style="309"/>
    <col min="15869" max="15869" width="0.796875" style="309" customWidth="1"/>
    <col min="15870" max="15883" width="13.796875" style="309" customWidth="1"/>
    <col min="15884" max="15884" width="3.796875" style="309" customWidth="1"/>
    <col min="15885" max="15886" width="9.19921875" style="309"/>
    <col min="15887" max="15887" width="27.53125" style="309" bestFit="1" customWidth="1"/>
    <col min="15888" max="16124" width="9.19921875" style="309"/>
    <col min="16125" max="16125" width="0.796875" style="309" customWidth="1"/>
    <col min="16126" max="16139" width="13.796875" style="309" customWidth="1"/>
    <col min="16140" max="16140" width="3.796875" style="309" customWidth="1"/>
    <col min="16141" max="16142" width="9.19921875" style="309"/>
    <col min="16143" max="16143" width="27.53125" style="309" bestFit="1" customWidth="1"/>
    <col min="16144" max="16384" width="9.19921875" style="309"/>
  </cols>
  <sheetData>
    <row r="1" spans="1:22" ht="25.9" x14ac:dyDescent="0.8">
      <c r="A1" s="307"/>
      <c r="B1" s="308" t="s">
        <v>471</v>
      </c>
      <c r="H1" s="310" t="s">
        <v>31</v>
      </c>
      <c r="I1" s="311"/>
      <c r="J1" s="577">
        <f ca="1">J43</f>
        <v>132.95473598821147</v>
      </c>
      <c r="P1" s="309"/>
    </row>
    <row r="2" spans="1:22" ht="21" x14ac:dyDescent="0.65">
      <c r="A2" s="307"/>
      <c r="B2" s="312" t="s">
        <v>434</v>
      </c>
      <c r="H2" s="310" t="s">
        <v>536</v>
      </c>
      <c r="I2" s="313"/>
      <c r="J2" s="314">
        <f ca="1">F104</f>
        <v>0.26083201506127507</v>
      </c>
      <c r="P2" s="309"/>
    </row>
    <row r="3" spans="1:22" ht="13.9" thickBot="1" x14ac:dyDescent="0.5">
      <c r="A3" s="307"/>
      <c r="B3" s="444" t="s">
        <v>465</v>
      </c>
      <c r="C3" s="445"/>
      <c r="D3" s="445"/>
      <c r="E3" s="445"/>
      <c r="F3" s="445"/>
      <c r="G3" s="445"/>
      <c r="H3" s="445"/>
      <c r="I3" s="445"/>
      <c r="J3" s="445"/>
      <c r="K3" s="445"/>
      <c r="L3" s="445"/>
      <c r="M3" s="446" t="str">
        <f>B4</f>
        <v>Operating Scenario</v>
      </c>
      <c r="N3" s="445"/>
      <c r="O3" s="447" t="str">
        <f>DCF!D4</f>
        <v>Street Case</v>
      </c>
      <c r="P3" s="447"/>
    </row>
    <row r="4" spans="1:22" ht="14.25" x14ac:dyDescent="0.45">
      <c r="A4" s="307"/>
      <c r="B4" s="610" t="s">
        <v>535</v>
      </c>
      <c r="C4" s="610"/>
      <c r="D4" s="610" t="s">
        <v>113</v>
      </c>
      <c r="E4" s="264">
        <f>VLOOKUP($D$4,Scenarios!$Q$1:$R$5,2,0)</f>
        <v>1</v>
      </c>
      <c r="S4" s="522" t="s">
        <v>713</v>
      </c>
      <c r="T4" s="522"/>
      <c r="U4"/>
      <c r="V4"/>
    </row>
    <row r="5" spans="1:22" s="315" customFormat="1" x14ac:dyDescent="0.45">
      <c r="B5" s="316" t="s">
        <v>435</v>
      </c>
      <c r="C5" s="317"/>
      <c r="D5" s="318" t="s">
        <v>259</v>
      </c>
      <c r="E5" s="405" t="s">
        <v>109</v>
      </c>
      <c r="F5" s="319"/>
      <c r="G5" s="319"/>
      <c r="H5" s="319"/>
      <c r="I5" s="320" t="s">
        <v>436</v>
      </c>
      <c r="K5" s="321" t="s">
        <v>540</v>
      </c>
      <c r="L5" s="321"/>
      <c r="M5" s="321"/>
      <c r="N5" s="321"/>
      <c r="O5" s="321"/>
      <c r="P5" s="320" t="s">
        <v>436</v>
      </c>
      <c r="S5" s="315" t="s">
        <v>714</v>
      </c>
      <c r="T5" s="578">
        <f>'Relative Valuation &amp; WACC'!E5</f>
        <v>1081706.1000000001</v>
      </c>
    </row>
    <row r="6" spans="1:22" s="315" customFormat="1" x14ac:dyDescent="0.45">
      <c r="E6" s="322">
        <f>+F6-1</f>
        <v>2018</v>
      </c>
      <c r="F6" s="322">
        <f>+G6-1</f>
        <v>2019</v>
      </c>
      <c r="G6" s="322">
        <f>+H6-1</f>
        <v>2020</v>
      </c>
      <c r="H6" s="322">
        <f>+J6-1</f>
        <v>2021</v>
      </c>
      <c r="I6" s="323" t="s">
        <v>621</v>
      </c>
      <c r="J6" s="324">
        <v>2022</v>
      </c>
      <c r="K6" s="322">
        <f>+J6+1</f>
        <v>2023</v>
      </c>
      <c r="L6" s="323">
        <f>+K6+1</f>
        <v>2024</v>
      </c>
      <c r="M6" s="323">
        <f>+L6+1</f>
        <v>2025</v>
      </c>
      <c r="N6" s="323">
        <f>+M6+1</f>
        <v>2026</v>
      </c>
      <c r="O6" s="323">
        <f>+N6+1</f>
        <v>2027</v>
      </c>
      <c r="P6" s="323" t="s">
        <v>520</v>
      </c>
      <c r="S6" s="309" t="s">
        <v>715</v>
      </c>
      <c r="T6" s="342">
        <f ca="1">T7-T5</f>
        <v>293976.55327002401</v>
      </c>
    </row>
    <row r="7" spans="1:22" s="315" customFormat="1" x14ac:dyDescent="0.45">
      <c r="B7" s="315" t="s">
        <v>0</v>
      </c>
      <c r="E7" s="325">
        <f>AMZN_IS!C13</f>
        <v>232887</v>
      </c>
      <c r="F7" s="325">
        <f>AMZN_IS!D13</f>
        <v>280522</v>
      </c>
      <c r="G7" s="325">
        <f>AMZN_IS!E13</f>
        <v>386064</v>
      </c>
      <c r="H7" s="325">
        <f>AMZN_IS!F13</f>
        <v>469822</v>
      </c>
      <c r="I7" s="326">
        <f>+IF(ISERROR((H7/E7)^(1/($H$6-$E$6))-1),"-",(H7/E7)^(1/($H$6-$E$6))-1)</f>
        <v>0.26356048040923818</v>
      </c>
      <c r="J7" s="327">
        <f>AMZN_IS!G13</f>
        <v>513983</v>
      </c>
      <c r="K7" s="328">
        <f>AMZN_IS!H13</f>
        <v>559640.99699999997</v>
      </c>
      <c r="L7" s="328">
        <f>AMZN_IS!I13</f>
        <v>622029.49790804414</v>
      </c>
      <c r="M7" s="328">
        <f>AMZN_IS!J13</f>
        <v>689957.22583864792</v>
      </c>
      <c r="N7" s="328">
        <f>AMZN_IS!K13</f>
        <v>763394.09155672102</v>
      </c>
      <c r="O7" s="328">
        <f>AMZN_IS!L13</f>
        <v>842173.59956358478</v>
      </c>
      <c r="P7" s="326">
        <f>+IF(ISERROR((O7/J7)^(1/($O$6-$J$6))-1),"-",(O7/J7)^(1/($O$6-$J$6))-1)</f>
        <v>0.10380046738218263</v>
      </c>
      <c r="Q7" s="329"/>
      <c r="S7" s="579" t="s">
        <v>466</v>
      </c>
      <c r="T7" s="580">
        <f ca="1">J40</f>
        <v>1375682.6532700241</v>
      </c>
    </row>
    <row r="8" spans="1:22" x14ac:dyDescent="0.45">
      <c r="A8" s="307"/>
      <c r="B8" s="330" t="s">
        <v>437</v>
      </c>
      <c r="C8" s="307"/>
      <c r="D8" s="307"/>
      <c r="E8" s="331">
        <f>+IF(ISERROR(E7/#REF!-1),0,E7/#REF!-1)</f>
        <v>0</v>
      </c>
      <c r="F8" s="331">
        <f>+IF(ISERROR(F7/E7-1),0,F7/E7-1)</f>
        <v>0.20454125820676983</v>
      </c>
      <c r="G8" s="331">
        <f>+IF(ISERROR(G7/F7-1),0,G7/F7-1)</f>
        <v>0.37623430604373276</v>
      </c>
      <c r="H8" s="331">
        <f>+IF(ISERROR(H7/G7-1),0,H7/G7-1)</f>
        <v>0.21695366571345676</v>
      </c>
      <c r="I8" s="332"/>
      <c r="J8" s="333">
        <f>+IF(ISERROR(J7/H7-1),0,J7/H7-1)</f>
        <v>9.399517263985091E-2</v>
      </c>
      <c r="K8" s="334">
        <f>+IF(ISERROR(K7/J7-1),0,K7/J7-1)</f>
        <v>8.8831725952025709E-2</v>
      </c>
      <c r="L8" s="332">
        <f>+IF(ISERROR(L7/K7-1),0,L7/K7-1)</f>
        <v>0.11147950425805586</v>
      </c>
      <c r="M8" s="332">
        <f>+IF(ISERROR(M7/L7-1),0,M7/L7-1)</f>
        <v>0.10920338691179832</v>
      </c>
      <c r="N8" s="332">
        <f>+IF(ISERROR(N7/M7-1),0,N7/M7-1)</f>
        <v>0.10643683835445028</v>
      </c>
      <c r="O8" s="332">
        <f>+IF(ISERROR(O7/N7-1),0,O7/N7-1)</f>
        <v>0.10319638163064093</v>
      </c>
      <c r="P8" s="332"/>
      <c r="Q8" s="335"/>
    </row>
    <row r="9" spans="1:22" ht="14.25" x14ac:dyDescent="0.45">
      <c r="A9" s="307"/>
      <c r="B9" s="307" t="s">
        <v>33</v>
      </c>
      <c r="E9" s="406">
        <f>AMZN_IS!C15</f>
        <v>139156</v>
      </c>
      <c r="F9" s="406">
        <f>AMZN_IS!D15</f>
        <v>165536</v>
      </c>
      <c r="G9" s="406">
        <f>AMZN_IS!E15</f>
        <v>233307</v>
      </c>
      <c r="H9" s="406">
        <f>AMZN_IS!F15</f>
        <v>272344</v>
      </c>
      <c r="I9" s="336"/>
      <c r="J9" s="410">
        <f>AMZN_IS!G15</f>
        <v>288831</v>
      </c>
      <c r="K9" s="406">
        <f>AMZN_IS!H15</f>
        <v>303166.93975256471</v>
      </c>
      <c r="L9" s="406">
        <f>AMZN_IS!I15</f>
        <v>333803.84389306518</v>
      </c>
      <c r="M9" s="406">
        <f>AMZN_IS!J15</f>
        <v>371029.87012453325</v>
      </c>
      <c r="N9" s="406">
        <f>AMZN_IS!K15</f>
        <v>411376.96293813997</v>
      </c>
      <c r="O9" s="406">
        <f>AMZN_IS!L15</f>
        <v>454773.74376433581</v>
      </c>
      <c r="P9" s="326"/>
    </row>
    <row r="10" spans="1:22" ht="14.25" x14ac:dyDescent="0.45">
      <c r="A10" s="307"/>
      <c r="B10" s="407" t="s">
        <v>34</v>
      </c>
      <c r="C10" s="408"/>
      <c r="D10" s="408"/>
      <c r="E10" s="409">
        <f>+E7-E9</f>
        <v>93731</v>
      </c>
      <c r="F10" s="409">
        <f>+F7-F9</f>
        <v>114986</v>
      </c>
      <c r="G10" s="409">
        <f>+G7-G9</f>
        <v>152757</v>
      </c>
      <c r="H10" s="409">
        <f>+H7-H9</f>
        <v>197478</v>
      </c>
      <c r="I10" s="326">
        <f t="shared" ref="I10:I19" si="0">+IF(ISERROR((H10/E10)^(1/($H$6-$E$6))-1),"-",(H10/E10)^(1/($H$6-$E$6))-1)</f>
        <v>0.28197185296993266</v>
      </c>
      <c r="J10" s="412">
        <f t="shared" ref="J10:O10" si="1">+J7-J9</f>
        <v>225152</v>
      </c>
      <c r="K10" s="411">
        <f t="shared" si="1"/>
        <v>256474.05724743527</v>
      </c>
      <c r="L10" s="409">
        <f t="shared" si="1"/>
        <v>288225.65401497897</v>
      </c>
      <c r="M10" s="409">
        <f t="shared" si="1"/>
        <v>318927.35571411467</v>
      </c>
      <c r="N10" s="409">
        <f t="shared" si="1"/>
        <v>352017.12861858105</v>
      </c>
      <c r="O10" s="409">
        <f t="shared" si="1"/>
        <v>387399.85579924897</v>
      </c>
      <c r="P10" s="326">
        <f>+IF(ISERROR((O10/J10)^(1/($O$6-$J$6))-1),"-",(O10/J10)^(1/($O$6-$J$6))-1)</f>
        <v>0.11464540266308876</v>
      </c>
      <c r="S10"/>
      <c r="T10"/>
    </row>
    <row r="11" spans="1:22" ht="14.25" x14ac:dyDescent="0.45">
      <c r="A11" s="307"/>
      <c r="B11" s="330" t="s">
        <v>438</v>
      </c>
      <c r="C11" s="307"/>
      <c r="D11" s="307"/>
      <c r="E11" s="331">
        <f>+IF(ISERROR(E10/E7),0,E10/E7)</f>
        <v>0.40247416128852193</v>
      </c>
      <c r="F11" s="331">
        <f>+IF(ISERROR(F10/F7),0,F10/F7)</f>
        <v>0.40990011478600608</v>
      </c>
      <c r="G11" s="331">
        <f>+IF(ISERROR(G10/G7),0,G10/G7)</f>
        <v>0.3956779186870571</v>
      </c>
      <c r="H11" s="331">
        <f>+IF(ISERROR(H10/H7),0,H10/H7)</f>
        <v>0.42032514441639601</v>
      </c>
      <c r="I11" s="326"/>
      <c r="J11" s="333">
        <f t="shared" ref="J11:O11" si="2">+IF(ISERROR(J10/J7),0,J10/J7)</f>
        <v>0.43805339865326287</v>
      </c>
      <c r="K11" s="334">
        <f t="shared" si="2"/>
        <v>0.45828318265152984</v>
      </c>
      <c r="L11" s="332">
        <f t="shared" si="2"/>
        <v>0.46336332116774942</v>
      </c>
      <c r="M11" s="332">
        <f t="shared" si="2"/>
        <v>0.46224221411183308</v>
      </c>
      <c r="N11" s="332">
        <f t="shared" si="2"/>
        <v>0.46112110705591675</v>
      </c>
      <c r="O11" s="332">
        <f t="shared" si="2"/>
        <v>0.45999999999999996</v>
      </c>
      <c r="P11" s="331"/>
      <c r="Q11" s="335"/>
      <c r="S11"/>
      <c r="T11"/>
    </row>
    <row r="12" spans="1:22" ht="14.25" x14ac:dyDescent="0.45">
      <c r="A12" s="307"/>
      <c r="B12" s="307" t="s">
        <v>439</v>
      </c>
      <c r="E12" s="406">
        <f>AMZN_IS!C25-AMZN_IS!C28</f>
        <v>65970</v>
      </c>
      <c r="F12" s="406">
        <f>AMZN_IS!D25-AMZN_IS!D28</f>
        <v>78657</v>
      </c>
      <c r="G12" s="406">
        <f>AMZN_IS!E25-AMZN_IS!E28</f>
        <v>104607</v>
      </c>
      <c r="H12" s="406">
        <f>AMZN_IS!F25-AMZN_IS!F28</f>
        <v>138303</v>
      </c>
      <c r="I12" s="336"/>
      <c r="J12" s="414">
        <f>AMZN_IS!G25-AMZN_IS!G28</f>
        <v>171443</v>
      </c>
      <c r="K12" s="415">
        <f>AMZN_IS!H25-AMZN_IS!H28</f>
        <v>183321.50819599009</v>
      </c>
      <c r="L12" s="415">
        <f>AMZN_IS!I25-AMZN_IS!I28</f>
        <v>200660.17790479027</v>
      </c>
      <c r="M12" s="415">
        <f>AMZN_IS!J25-AMZN_IS!J28</f>
        <v>221362.19152996116</v>
      </c>
      <c r="N12" s="415">
        <f>AMZN_IS!K25-AMZN_IS!K28</f>
        <v>243755.42038602976</v>
      </c>
      <c r="O12" s="415">
        <f>AMZN_IS!L25-AMZN_IS!L28</f>
        <v>267811.20466121996</v>
      </c>
      <c r="P12" s="326"/>
    </row>
    <row r="13" spans="1:22" s="315" customFormat="1" x14ac:dyDescent="0.45">
      <c r="B13" s="407" t="s">
        <v>1</v>
      </c>
      <c r="C13" s="408"/>
      <c r="D13" s="408"/>
      <c r="E13" s="409">
        <f>E10-E12</f>
        <v>27761</v>
      </c>
      <c r="F13" s="409">
        <f>F10-F12</f>
        <v>36329</v>
      </c>
      <c r="G13" s="409">
        <f>G10-G12</f>
        <v>48150</v>
      </c>
      <c r="H13" s="409">
        <f>H10-H12</f>
        <v>59175</v>
      </c>
      <c r="I13" s="326">
        <f t="shared" si="0"/>
        <v>0.28696791613922512</v>
      </c>
      <c r="J13" s="338">
        <f t="shared" ref="J13:O13" si="3">J10-J12</f>
        <v>53709</v>
      </c>
      <c r="K13" s="413">
        <f t="shared" si="3"/>
        <v>73152.549051445181</v>
      </c>
      <c r="L13" s="328">
        <f t="shared" si="3"/>
        <v>87565.476110188698</v>
      </c>
      <c r="M13" s="328">
        <f t="shared" si="3"/>
        <v>97565.164184153517</v>
      </c>
      <c r="N13" s="328">
        <f t="shared" si="3"/>
        <v>108261.70823255129</v>
      </c>
      <c r="O13" s="328">
        <f t="shared" si="3"/>
        <v>119588.651138029</v>
      </c>
      <c r="P13" s="326">
        <f>+IF(ISERROR((O13/J13)^(1/($O$6-$J$6))-1),"-",(O13/J13)^(1/($O$6-$J$6))-1)</f>
        <v>0.17362291415189435</v>
      </c>
      <c r="Q13" s="339"/>
    </row>
    <row r="14" spans="1:22" x14ac:dyDescent="0.45">
      <c r="A14" s="307"/>
      <c r="B14" s="330" t="s">
        <v>438</v>
      </c>
      <c r="C14" s="307"/>
      <c r="D14" s="307"/>
      <c r="E14" s="331">
        <f>+IF(ISERROR(E13/E7),0,E13/E7)</f>
        <v>0.11920373399975095</v>
      </c>
      <c r="F14" s="331">
        <f>+IF(ISERROR(F13/F7),0,F13/F7)</f>
        <v>0.1295049942606997</v>
      </c>
      <c r="G14" s="331">
        <f>+IF(ISERROR(G13/G7),0,G13/G7)</f>
        <v>0.12472025363670272</v>
      </c>
      <c r="H14" s="331">
        <f>+IF(ISERROR(H13/H7),0,H13/H7)</f>
        <v>0.1259519562728012</v>
      </c>
      <c r="I14" s="326"/>
      <c r="J14" s="333">
        <f t="shared" ref="J14:O14" si="4">+IF(ISERROR(J13/J7),0,J13/J7)</f>
        <v>0.10449567398143518</v>
      </c>
      <c r="K14" s="334">
        <f t="shared" si="4"/>
        <v>0.13071334917131738</v>
      </c>
      <c r="L14" s="332">
        <f t="shared" si="4"/>
        <v>0.14077383211677474</v>
      </c>
      <c r="M14" s="332">
        <f t="shared" si="4"/>
        <v>0.14140755474451674</v>
      </c>
      <c r="N14" s="332">
        <f t="shared" si="4"/>
        <v>0.14181627737225855</v>
      </c>
      <c r="O14" s="332">
        <f t="shared" si="4"/>
        <v>0.14199999999999996</v>
      </c>
      <c r="P14" s="331"/>
      <c r="Q14" s="335"/>
    </row>
    <row r="15" spans="1:22" ht="14.25" x14ac:dyDescent="0.45">
      <c r="A15" s="307"/>
      <c r="B15" s="340" t="s">
        <v>35</v>
      </c>
      <c r="C15" s="307"/>
      <c r="D15" s="307"/>
      <c r="E15" s="416">
        <f>AMZN_IS!C28</f>
        <v>15341</v>
      </c>
      <c r="F15" s="416">
        <f>AMZN_IS!D28</f>
        <v>21789</v>
      </c>
      <c r="G15" s="416">
        <f>AMZN_IS!E28</f>
        <v>25251</v>
      </c>
      <c r="H15" s="416">
        <f>AMZN_IS!F28</f>
        <v>34296</v>
      </c>
      <c r="I15" s="336"/>
      <c r="J15" s="414">
        <f>AMZN_IS!G28</f>
        <v>41461</v>
      </c>
      <c r="K15" s="415">
        <f>AMZN_IS!H28</f>
        <v>46338.274551599992</v>
      </c>
      <c r="L15" s="415">
        <f>AMZN_IS!I28</f>
        <v>50967.541984840354</v>
      </c>
      <c r="M15" s="415">
        <f>AMZN_IS!J28</f>
        <v>55783.041709054691</v>
      </c>
      <c r="N15" s="415">
        <f>AMZN_IS!K28</f>
        <v>60718.457557192705</v>
      </c>
      <c r="O15" s="415">
        <f>AMZN_IS!L28</f>
        <v>65689.540765959624</v>
      </c>
      <c r="P15" s="326"/>
      <c r="Q15" s="342"/>
    </row>
    <row r="16" spans="1:22" s="315" customFormat="1" x14ac:dyDescent="0.45">
      <c r="B16" s="407" t="s">
        <v>12</v>
      </c>
      <c r="C16" s="408"/>
      <c r="D16" s="408"/>
      <c r="E16" s="328">
        <f>+E13-E15</f>
        <v>12420</v>
      </c>
      <c r="F16" s="328">
        <f>+F13-F15</f>
        <v>14540</v>
      </c>
      <c r="G16" s="328">
        <f>+G13-G15</f>
        <v>22899</v>
      </c>
      <c r="H16" s="328">
        <f>+H13-H15</f>
        <v>24879</v>
      </c>
      <c r="I16" s="326">
        <f t="shared" si="0"/>
        <v>0.26058008408130817</v>
      </c>
      <c r="J16" s="338">
        <f t="shared" ref="J16:O16" si="5">+J13-J15</f>
        <v>12248</v>
      </c>
      <c r="K16" s="328">
        <f t="shared" si="5"/>
        <v>26814.274499845189</v>
      </c>
      <c r="L16" s="328">
        <f t="shared" si="5"/>
        <v>36597.934125348344</v>
      </c>
      <c r="M16" s="328">
        <f t="shared" si="5"/>
        <v>41782.122475098826</v>
      </c>
      <c r="N16" s="328">
        <f t="shared" si="5"/>
        <v>47543.250675358584</v>
      </c>
      <c r="O16" s="328">
        <f t="shared" si="5"/>
        <v>53899.110372069379</v>
      </c>
      <c r="P16" s="326">
        <f>+IF(ISERROR((O16/J16)^(1/($O$6-$J$6))-1),"-",(O16/J16)^(1/($O$6-$J$6))-1)</f>
        <v>0.34494115726764396</v>
      </c>
      <c r="Q16" s="329"/>
    </row>
    <row r="17" spans="1:224" x14ac:dyDescent="0.45">
      <c r="A17" s="307"/>
      <c r="B17" s="330" t="s">
        <v>438</v>
      </c>
      <c r="C17" s="307"/>
      <c r="D17" s="307"/>
      <c r="E17" s="331">
        <f>+IF(ISERROR(E16/E7),0,E16/E7)</f>
        <v>5.3330585219441187E-2</v>
      </c>
      <c r="F17" s="331">
        <f>+IF(ISERROR(F16/F7),0,F16/F7)</f>
        <v>5.1831941879781268E-2</v>
      </c>
      <c r="G17" s="331">
        <f>+IF(ISERROR(G16/G7),0,G16/G7)</f>
        <v>5.9313999751336569E-2</v>
      </c>
      <c r="H17" s="331">
        <f>+IF(ISERROR(H16/H7),0,H16/H7)</f>
        <v>5.2954097509269465E-2</v>
      </c>
      <c r="I17" s="326"/>
      <c r="J17" s="333">
        <f t="shared" ref="J17:O17" si="6">+IF(ISERROR(J16/J7),0,J16/J7)</f>
        <v>2.3829581912242232E-2</v>
      </c>
      <c r="K17" s="334">
        <f t="shared" si="6"/>
        <v>4.7913349171317392E-2</v>
      </c>
      <c r="L17" s="332">
        <f t="shared" si="6"/>
        <v>5.8836332116774775E-2</v>
      </c>
      <c r="M17" s="332">
        <f t="shared" si="6"/>
        <v>6.0557554744516746E-2</v>
      </c>
      <c r="N17" s="332">
        <f t="shared" si="6"/>
        <v>6.2278777372258544E-2</v>
      </c>
      <c r="O17" s="332">
        <f t="shared" si="6"/>
        <v>6.3999999999999946E-2</v>
      </c>
      <c r="P17" s="331"/>
      <c r="Q17" s="335"/>
    </row>
    <row r="18" spans="1:224" ht="14.25" x14ac:dyDescent="0.45">
      <c r="A18" s="307"/>
      <c r="B18" s="307" t="s">
        <v>13</v>
      </c>
      <c r="C18" s="307"/>
      <c r="D18" s="307"/>
      <c r="E18" s="417">
        <f>-AMZN_IS!C39</f>
        <v>1196</v>
      </c>
      <c r="F18" s="417">
        <f>-AMZN_IS!D39</f>
        <v>2373</v>
      </c>
      <c r="G18" s="417">
        <f>-AMZN_IS!E39</f>
        <v>2863</v>
      </c>
      <c r="H18" s="417">
        <f>-AMZN_IS!F39</f>
        <v>4791</v>
      </c>
      <c r="I18" s="336"/>
      <c r="J18" s="414">
        <f>-AMZN_IS!G39</f>
        <v>-3217</v>
      </c>
      <c r="K18" s="415">
        <f ca="1">-AMZN_IS!H39</f>
        <v>1781.4560027212865</v>
      </c>
      <c r="L18" s="415">
        <f ca="1">-AMZN_IS!I39</f>
        <v>3292.2533811474982</v>
      </c>
      <c r="M18" s="415">
        <f ca="1">-AMZN_IS!J39</f>
        <v>3808.0848878606457</v>
      </c>
      <c r="N18" s="415">
        <f ca="1">-AMZN_IS!K39</f>
        <v>4409.5086347590986</v>
      </c>
      <c r="O18" s="415">
        <f ca="1">-AMZN_IS!L39</f>
        <v>5103.0731687027819</v>
      </c>
      <c r="P18" s="326"/>
      <c r="Q18" s="307"/>
    </row>
    <row r="19" spans="1:224" s="315" customFormat="1" x14ac:dyDescent="0.45">
      <c r="B19" s="407" t="s">
        <v>14</v>
      </c>
      <c r="C19" s="408"/>
      <c r="D19" s="408"/>
      <c r="E19" s="328">
        <f>+E16-E18</f>
        <v>11224</v>
      </c>
      <c r="F19" s="328">
        <f>+F16-F18</f>
        <v>12167</v>
      </c>
      <c r="G19" s="328">
        <f>+G16-G18</f>
        <v>20036</v>
      </c>
      <c r="H19" s="328">
        <f>+H16-H18</f>
        <v>20088</v>
      </c>
      <c r="I19" s="326">
        <f t="shared" si="0"/>
        <v>0.21412391571969835</v>
      </c>
      <c r="J19" s="338">
        <f t="shared" ref="J19:O19" si="7">+J16-J18</f>
        <v>15465</v>
      </c>
      <c r="K19" s="328">
        <f ca="1">+K16-K18</f>
        <v>25032.818497123902</v>
      </c>
      <c r="L19" s="328">
        <f t="shared" ca="1" si="7"/>
        <v>33305.680744200843</v>
      </c>
      <c r="M19" s="328">
        <f t="shared" ca="1" si="7"/>
        <v>37974.037587238177</v>
      </c>
      <c r="N19" s="328">
        <f t="shared" ca="1" si="7"/>
        <v>43133.742040599485</v>
      </c>
      <c r="O19" s="328">
        <f t="shared" ca="1" si="7"/>
        <v>48796.037203366599</v>
      </c>
      <c r="P19" s="326">
        <f ca="1">+IF(ISERROR((O19/J19)^(1/($O$6-$J$6))-1),"-",(O19/J19)^(1/($O$6-$J$6))-1)</f>
        <v>0.25836585623714026</v>
      </c>
      <c r="Q19" s="339"/>
    </row>
    <row r="20" spans="1:224" ht="4.05" customHeight="1" x14ac:dyDescent="0.45">
      <c r="A20" s="307"/>
      <c r="B20" s="307"/>
      <c r="C20" s="307"/>
      <c r="D20" s="307"/>
      <c r="E20" s="307"/>
      <c r="F20" s="307"/>
      <c r="G20" s="307"/>
      <c r="H20" s="307"/>
      <c r="J20" s="343"/>
      <c r="K20" s="307"/>
      <c r="L20" s="307"/>
      <c r="M20" s="307"/>
      <c r="N20" s="307"/>
      <c r="O20" s="307"/>
      <c r="P20" s="326"/>
    </row>
    <row r="21" spans="1:224" x14ac:dyDescent="0.45">
      <c r="A21" s="307"/>
      <c r="B21" s="307" t="s">
        <v>440</v>
      </c>
      <c r="C21" s="307"/>
      <c r="D21" s="307"/>
      <c r="E21" s="344">
        <f>E15</f>
        <v>15341</v>
      </c>
      <c r="F21" s="344">
        <f>F15</f>
        <v>21789</v>
      </c>
      <c r="G21" s="344">
        <f>G15</f>
        <v>25251</v>
      </c>
      <c r="H21" s="344">
        <f>H15</f>
        <v>34296</v>
      </c>
      <c r="J21" s="345">
        <f t="shared" ref="J21:O21" si="8">J15</f>
        <v>41461</v>
      </c>
      <c r="K21" s="344">
        <f t="shared" si="8"/>
        <v>46338.274551599992</v>
      </c>
      <c r="L21" s="344">
        <f t="shared" si="8"/>
        <v>50967.541984840354</v>
      </c>
      <c r="M21" s="344">
        <f t="shared" si="8"/>
        <v>55783.041709054691</v>
      </c>
      <c r="N21" s="344">
        <f t="shared" si="8"/>
        <v>60718.457557192705</v>
      </c>
      <c r="O21" s="344">
        <f t="shared" si="8"/>
        <v>65689.540765959624</v>
      </c>
      <c r="P21" s="326"/>
    </row>
    <row r="22" spans="1:224" x14ac:dyDescent="0.45">
      <c r="A22" s="307"/>
      <c r="B22" s="307" t="s">
        <v>441</v>
      </c>
      <c r="C22" s="307"/>
      <c r="D22" s="307"/>
      <c r="E22" s="344">
        <f>AMZN_CFS!C27</f>
        <v>-13426</v>
      </c>
      <c r="F22" s="344">
        <f>AMZN_CFS!D27</f>
        <v>-16861</v>
      </c>
      <c r="G22" s="344">
        <f>AMZN_CFS!E27</f>
        <v>-40141</v>
      </c>
      <c r="H22" s="344">
        <f>AMZN_CFS!F27</f>
        <v>-61053</v>
      </c>
      <c r="J22" s="345">
        <f>AMZN_CFS!G27</f>
        <v>-63645</v>
      </c>
      <c r="K22" s="344">
        <f>AMZN_CFS!H27</f>
        <v>-67156.919639999993</v>
      </c>
      <c r="L22" s="344">
        <f>AMZN_CFS!I27</f>
        <v>-71533.392259425076</v>
      </c>
      <c r="M22" s="344">
        <f>AMZN_CFS!J27</f>
        <v>-75895.294842251271</v>
      </c>
      <c r="N22" s="344">
        <f>AMZN_CFS!K27</f>
        <v>-80156.37961345572</v>
      </c>
      <c r="O22" s="344">
        <f>AMZN_CFS!L27</f>
        <v>-84217.359956358487</v>
      </c>
      <c r="P22" s="326"/>
    </row>
    <row r="23" spans="1:224" ht="14.25" x14ac:dyDescent="0.45">
      <c r="A23" s="307"/>
      <c r="B23" s="418" t="s">
        <v>442</v>
      </c>
      <c r="C23" s="418"/>
      <c r="D23" s="418"/>
      <c r="E23" s="415">
        <f>SUM(AMZN_CFS!C18:C22)</f>
        <v>-1042</v>
      </c>
      <c r="F23" s="415">
        <f>SUM(AMZN_CFS!D18:D22)</f>
        <v>-2439</v>
      </c>
      <c r="G23" s="415">
        <f>SUM(AMZN_CFS!E18:E22)</f>
        <v>13481</v>
      </c>
      <c r="H23" s="415">
        <f>SUM(AMZN_CFS!F18:F22)</f>
        <v>-19611</v>
      </c>
      <c r="I23"/>
      <c r="J23" s="414">
        <f>SUM(AMZN_CFS!G18:G22)</f>
        <v>-20886</v>
      </c>
      <c r="K23" s="415">
        <f>SUM(AMZN_CFS!H18:H22)</f>
        <v>11225.825772202415</v>
      </c>
      <c r="L23" s="415">
        <f>SUM(AMZN_CFS!I18:I22)</f>
        <v>7972.1198123673748</v>
      </c>
      <c r="M23" s="415">
        <f>SUM(AMZN_CFS!J18:J22)</f>
        <v>9121.4012811732518</v>
      </c>
      <c r="N23" s="415">
        <f>SUM(AMZN_CFS!K18:K22)</f>
        <v>9658.9277401339459</v>
      </c>
      <c r="O23" s="415">
        <f>SUM(AMZN_CFS!L18:L22)</f>
        <v>10135.083816116752</v>
      </c>
      <c r="P23" s="326"/>
    </row>
    <row r="24" spans="1:224" ht="4.05" customHeight="1" x14ac:dyDescent="0.45">
      <c r="A24" s="307"/>
      <c r="B24" s="307"/>
      <c r="C24" s="307"/>
      <c r="D24" s="307"/>
      <c r="F24" s="344"/>
      <c r="G24" s="344"/>
      <c r="H24" s="344"/>
      <c r="I24" s="344"/>
      <c r="J24" s="346"/>
      <c r="K24" s="344"/>
      <c r="L24" s="344"/>
      <c r="M24" s="344"/>
      <c r="N24" s="344"/>
      <c r="O24" s="344"/>
      <c r="P24" s="326"/>
    </row>
    <row r="25" spans="1:224" s="315" customFormat="1" x14ac:dyDescent="0.45">
      <c r="B25" s="315" t="s">
        <v>443</v>
      </c>
      <c r="E25" s="339">
        <f>+E19+SUM(E21:E23)</f>
        <v>12097</v>
      </c>
      <c r="F25" s="339">
        <f>+F19+SUM(F21:F23)</f>
        <v>14656</v>
      </c>
      <c r="G25" s="339">
        <f>+G19+SUM(G21:G23)</f>
        <v>18627</v>
      </c>
      <c r="H25" s="339">
        <f>+H19+SUM(H21:H23)</f>
        <v>-26280</v>
      </c>
      <c r="I25" s="339"/>
      <c r="J25" s="339">
        <f t="shared" ref="J25:O25" si="9">+J19+SUM(J21:J23)</f>
        <v>-27605</v>
      </c>
      <c r="K25" s="339">
        <f t="shared" ca="1" si="9"/>
        <v>15439.999180926317</v>
      </c>
      <c r="L25" s="339">
        <f t="shared" ca="1" si="9"/>
        <v>20711.950281983496</v>
      </c>
      <c r="M25" s="339">
        <f t="shared" ca="1" si="9"/>
        <v>26983.185735214851</v>
      </c>
      <c r="N25" s="339">
        <f t="shared" ca="1" si="9"/>
        <v>33354.747724470421</v>
      </c>
      <c r="O25" s="339">
        <f t="shared" ca="1" si="9"/>
        <v>40403.301829084492</v>
      </c>
      <c r="P25" s="347"/>
    </row>
    <row r="26" spans="1:224" s="315" customFormat="1" x14ac:dyDescent="0.45">
      <c r="E26" s="339"/>
      <c r="F26" s="339"/>
      <c r="G26" s="339"/>
      <c r="H26" s="339"/>
      <c r="I26" s="339"/>
      <c r="J26" s="339"/>
      <c r="K26" s="339"/>
      <c r="L26" s="339"/>
      <c r="M26" s="339"/>
      <c r="N26" s="339"/>
      <c r="O26" s="339"/>
      <c r="P26" s="347"/>
    </row>
    <row r="27" spans="1:224" s="315" customFormat="1" x14ac:dyDescent="0.45">
      <c r="B27" s="337" t="s">
        <v>444</v>
      </c>
      <c r="E27" s="425">
        <f>WACC!F55</f>
        <v>8.0134866526278006E-2</v>
      </c>
      <c r="G27" s="349"/>
      <c r="H27" s="349"/>
      <c r="I27" s="347"/>
      <c r="J27" s="350"/>
      <c r="K27" s="350"/>
      <c r="L27" s="350"/>
      <c r="M27" s="350"/>
      <c r="N27" s="350"/>
      <c r="O27" s="347"/>
    </row>
    <row r="28" spans="1:224" s="315" customFormat="1" x14ac:dyDescent="0.45">
      <c r="B28" s="340" t="s">
        <v>445</v>
      </c>
      <c r="E28" s="348"/>
      <c r="F28" s="339"/>
      <c r="G28" s="339"/>
      <c r="H28" s="339"/>
      <c r="I28" s="347"/>
      <c r="K28" s="350">
        <f>IF($D$5="Y",K6-$J$6-0.5,K6-$J$6)</f>
        <v>1</v>
      </c>
      <c r="L28" s="350">
        <f>IF($D$5="Y",L6-$J$6-0.5,L6-$J$6)</f>
        <v>2</v>
      </c>
      <c r="M28" s="350">
        <f>IF($D$5="Y",M6-$J$6-0.5,M6-$J$6)</f>
        <v>3</v>
      </c>
      <c r="N28" s="350">
        <f>IF($D$5="Y",N6-$J$6-0.5,N6-$J$6)</f>
        <v>4</v>
      </c>
      <c r="O28" s="350">
        <f>IF($D$5="Y",O6-$J$6-0.5,O6-$J$6)</f>
        <v>5</v>
      </c>
      <c r="P28" s="350"/>
    </row>
    <row r="29" spans="1:224" s="307" customFormat="1" x14ac:dyDescent="0.45">
      <c r="B29" s="340" t="s">
        <v>446</v>
      </c>
      <c r="I29" s="346"/>
      <c r="K29" s="351">
        <f>1/((1+$E$27)^(K28))</f>
        <v>0.92581031405458436</v>
      </c>
      <c r="L29" s="351">
        <f>1/((1+$E$27)^(L28))</f>
        <v>0.85712473760984809</v>
      </c>
      <c r="M29" s="351">
        <f>1/((1+$E$27)^(M28))</f>
        <v>0.79353492251052671</v>
      </c>
      <c r="N29" s="351">
        <f>1/((1+$E$27)^(N28))</f>
        <v>0.73466281582275095</v>
      </c>
      <c r="O29" s="351">
        <f>1/((1+$E$27)^(O28))</f>
        <v>0.68015841224108631</v>
      </c>
      <c r="P29" s="351"/>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c r="BN29" s="309"/>
      <c r="BO29" s="309"/>
      <c r="BP29" s="309"/>
      <c r="BQ29" s="309"/>
      <c r="BR29" s="309"/>
      <c r="BS29" s="309"/>
      <c r="BT29" s="309"/>
      <c r="BU29" s="309"/>
      <c r="BV29" s="309"/>
      <c r="BW29" s="309"/>
      <c r="BX29" s="309"/>
      <c r="BY29" s="309"/>
      <c r="BZ29" s="309"/>
      <c r="CA29" s="309"/>
      <c r="CB29" s="309"/>
      <c r="CC29" s="309"/>
      <c r="CD29" s="309"/>
      <c r="CE29" s="309"/>
      <c r="CF29" s="309"/>
      <c r="CG29" s="309"/>
      <c r="CH29" s="309"/>
      <c r="CI29" s="309"/>
      <c r="CJ29" s="309"/>
      <c r="CK29" s="309"/>
      <c r="CL29" s="309"/>
      <c r="CM29" s="309"/>
      <c r="CN29" s="309"/>
      <c r="CO29" s="309"/>
      <c r="CP29" s="309"/>
      <c r="CQ29" s="309"/>
      <c r="CR29" s="309"/>
      <c r="CS29" s="309"/>
      <c r="CT29" s="309"/>
      <c r="CU29" s="309"/>
      <c r="CV29" s="309"/>
      <c r="CW29" s="309"/>
      <c r="CX29" s="309"/>
      <c r="CY29" s="309"/>
      <c r="CZ29" s="309"/>
      <c r="DA29" s="309"/>
      <c r="DB29" s="309"/>
      <c r="DC29" s="309"/>
      <c r="DD29" s="309"/>
      <c r="DE29" s="309"/>
      <c r="DF29" s="309"/>
      <c r="DG29" s="309"/>
      <c r="DH29" s="309"/>
      <c r="DI29" s="309"/>
      <c r="DJ29" s="309"/>
      <c r="DK29" s="309"/>
      <c r="DL29" s="309"/>
      <c r="DM29" s="309"/>
      <c r="DN29" s="309"/>
      <c r="DO29" s="309"/>
      <c r="DP29" s="309"/>
      <c r="DQ29" s="309"/>
      <c r="DR29" s="309"/>
      <c r="DS29" s="309"/>
      <c r="DT29" s="309"/>
      <c r="DU29" s="309"/>
      <c r="DV29" s="309"/>
      <c r="DW29" s="309"/>
      <c r="DX29" s="309"/>
      <c r="DY29" s="309"/>
      <c r="DZ29" s="309"/>
      <c r="EA29" s="309"/>
      <c r="EB29" s="309"/>
      <c r="EC29" s="309"/>
      <c r="ED29" s="309"/>
      <c r="EE29" s="309"/>
      <c r="EF29" s="309"/>
      <c r="EG29" s="309"/>
      <c r="EH29" s="309"/>
      <c r="EI29" s="309"/>
      <c r="EJ29" s="309"/>
      <c r="EK29" s="309"/>
      <c r="EL29" s="309"/>
      <c r="EM29" s="309"/>
      <c r="EN29" s="309"/>
      <c r="EO29" s="309"/>
      <c r="EP29" s="309"/>
      <c r="EQ29" s="309"/>
      <c r="ER29" s="309"/>
      <c r="ES29" s="309"/>
      <c r="ET29" s="309"/>
      <c r="EU29" s="309"/>
      <c r="EV29" s="309"/>
      <c r="EW29" s="309"/>
      <c r="EX29" s="309"/>
      <c r="EY29" s="309"/>
      <c r="EZ29" s="309"/>
      <c r="FA29" s="309"/>
      <c r="FB29" s="309"/>
      <c r="FC29" s="309"/>
      <c r="FD29" s="309"/>
      <c r="FE29" s="309"/>
      <c r="FF29" s="309"/>
      <c r="FG29" s="309"/>
      <c r="FH29" s="309"/>
      <c r="FI29" s="309"/>
      <c r="FJ29" s="309"/>
      <c r="FK29" s="309"/>
      <c r="FL29" s="309"/>
      <c r="FM29" s="309"/>
      <c r="FN29" s="309"/>
      <c r="FO29" s="309"/>
      <c r="FP29" s="309"/>
      <c r="FQ29" s="309"/>
      <c r="FR29" s="309"/>
      <c r="FS29" s="309"/>
      <c r="FT29" s="309"/>
      <c r="FU29" s="309"/>
      <c r="FV29" s="309"/>
      <c r="FW29" s="309"/>
      <c r="FX29" s="309"/>
      <c r="FY29" s="309"/>
      <c r="FZ29" s="309"/>
      <c r="GA29" s="309"/>
      <c r="GB29" s="309"/>
      <c r="GC29" s="309"/>
      <c r="GD29" s="309"/>
      <c r="GE29" s="309"/>
      <c r="GF29" s="309"/>
      <c r="GG29" s="309"/>
      <c r="GH29" s="309"/>
      <c r="GI29" s="309"/>
      <c r="GJ29" s="309"/>
      <c r="GK29" s="309"/>
      <c r="GL29" s="309"/>
      <c r="GM29" s="309"/>
      <c r="GN29" s="309"/>
      <c r="GO29" s="309"/>
      <c r="GP29" s="309"/>
      <c r="GQ29" s="309"/>
      <c r="GR29" s="309"/>
      <c r="GS29" s="309"/>
      <c r="GT29" s="309"/>
      <c r="GU29" s="309"/>
      <c r="GV29" s="309"/>
      <c r="GW29" s="309"/>
      <c r="GX29" s="309"/>
      <c r="GY29" s="309"/>
      <c r="GZ29" s="309"/>
      <c r="HA29" s="309"/>
      <c r="HB29" s="309"/>
      <c r="HC29" s="309"/>
      <c r="HD29" s="309"/>
      <c r="HE29" s="309"/>
      <c r="HF29" s="309"/>
      <c r="HG29" s="309"/>
      <c r="HH29" s="309"/>
      <c r="HI29" s="309"/>
      <c r="HJ29" s="309"/>
      <c r="HK29" s="309"/>
      <c r="HL29" s="309"/>
      <c r="HM29" s="309"/>
      <c r="HN29" s="309"/>
      <c r="HO29" s="309"/>
      <c r="HP29" s="309"/>
    </row>
    <row r="30" spans="1:224" s="307" customFormat="1" x14ac:dyDescent="0.45">
      <c r="B30" s="419" t="s">
        <v>447</v>
      </c>
      <c r="C30" s="420"/>
      <c r="D30" s="420"/>
      <c r="E30" s="421"/>
      <c r="F30" s="420"/>
      <c r="G30" s="420"/>
      <c r="H30" s="422"/>
      <c r="I30" s="423"/>
      <c r="J30" s="423"/>
      <c r="K30" s="424">
        <f ca="1">+K25*K29</f>
        <v>14294.510490695919</v>
      </c>
      <c r="L30" s="424">
        <f ca="1">+L25*L29</f>
        <v>17752.724950833323</v>
      </c>
      <c r="M30" s="424">
        <f ca="1">+M25*M29</f>
        <v>21412.100201480866</v>
      </c>
      <c r="N30" s="424">
        <f ca="1">+N25*N29</f>
        <v>24504.492884316933</v>
      </c>
      <c r="O30" s="424">
        <f ca="1">+O25*O29</f>
        <v>27480.645621367486</v>
      </c>
      <c r="P30" s="339"/>
    </row>
    <row r="31" spans="1:224" s="307" customFormat="1" x14ac:dyDescent="0.45">
      <c r="E31" s="352"/>
      <c r="H31" s="349"/>
      <c r="I31" s="346"/>
      <c r="J31" s="349"/>
      <c r="K31" s="349"/>
      <c r="L31" s="349"/>
      <c r="M31" s="349"/>
      <c r="N31" s="349"/>
      <c r="O31" s="349"/>
      <c r="P31" s="339"/>
    </row>
    <row r="32" spans="1:224" s="307" customFormat="1" ht="12.75" customHeight="1" x14ac:dyDescent="0.75">
      <c r="I32" s="346"/>
      <c r="L32" s="353"/>
      <c r="P32" s="346"/>
      <c r="Q32" s="354"/>
    </row>
    <row r="33" spans="1:32" s="307" customFormat="1" x14ac:dyDescent="0.45">
      <c r="B33" s="426" t="s">
        <v>17</v>
      </c>
      <c r="C33" s="427"/>
      <c r="D33" s="427"/>
      <c r="E33" s="427"/>
      <c r="G33" s="613" t="s">
        <v>448</v>
      </c>
      <c r="H33" s="613"/>
      <c r="I33" s="613"/>
      <c r="J33" s="613"/>
      <c r="L33" s="613" t="s">
        <v>449</v>
      </c>
      <c r="M33" s="613"/>
      <c r="N33" s="613"/>
      <c r="O33" s="613"/>
      <c r="Q33" s="358"/>
      <c r="S33" s="612" t="s">
        <v>652</v>
      </c>
      <c r="T33" s="612"/>
      <c r="U33" s="612"/>
      <c r="V33" s="612"/>
      <c r="Y33" s="523" t="s">
        <v>659</v>
      </c>
      <c r="Z33" s="523"/>
      <c r="AA33" s="523"/>
      <c r="AB33" s="523"/>
      <c r="AC33" s="523"/>
      <c r="AD33" s="523"/>
      <c r="AE33" s="523" t="s">
        <v>658</v>
      </c>
      <c r="AF33" s="523"/>
    </row>
    <row r="34" spans="1:32" s="307" customFormat="1" x14ac:dyDescent="0.45">
      <c r="B34" s="316" t="s">
        <v>450</v>
      </c>
      <c r="C34" s="316"/>
      <c r="D34" s="316"/>
      <c r="E34" s="359">
        <f ca="1">+SUM(K30:O30)</f>
        <v>105444.47414869453</v>
      </c>
      <c r="G34" s="307" t="s">
        <v>17</v>
      </c>
      <c r="I34" s="346"/>
      <c r="J34" s="360">
        <f ca="1">+E43</f>
        <v>1244193.6532700241</v>
      </c>
      <c r="L34" s="307" t="str">
        <f>"Terminal Year Free Cash Flow ("&amp;O6&amp;"E)"</f>
        <v>Terminal Year Free Cash Flow (2027E)</v>
      </c>
      <c r="O34" s="349">
        <f ca="1">+O25</f>
        <v>40403.301829084492</v>
      </c>
      <c r="Q34" s="361"/>
      <c r="S34" s="307" t="s">
        <v>655</v>
      </c>
      <c r="U34" s="307" t="s">
        <v>654</v>
      </c>
      <c r="V34" s="307" t="s">
        <v>656</v>
      </c>
      <c r="Y34" s="315">
        <v>2023</v>
      </c>
      <c r="Z34" s="315">
        <v>2024</v>
      </c>
      <c r="AA34" s="315">
        <v>2025</v>
      </c>
      <c r="AB34" s="315">
        <v>2026</v>
      </c>
      <c r="AC34" s="315">
        <v>2027</v>
      </c>
    </row>
    <row r="35" spans="1:32" s="307" customFormat="1" x14ac:dyDescent="0.45">
      <c r="B35" s="362"/>
      <c r="C35" s="317"/>
      <c r="D35" s="317"/>
      <c r="E35" s="363"/>
      <c r="G35" s="307" t="s">
        <v>451</v>
      </c>
      <c r="I35" s="364">
        <v>45016</v>
      </c>
      <c r="J35" s="344">
        <v>67084</v>
      </c>
      <c r="L35" s="307" t="s">
        <v>15</v>
      </c>
      <c r="O35" s="348">
        <f>+E27</f>
        <v>8.0134866526278006E-2</v>
      </c>
      <c r="Q35" s="365"/>
      <c r="S35" s="307" t="s">
        <v>104</v>
      </c>
      <c r="U35" s="520">
        <f>'AMZN_Revenue Build'!O76</f>
        <v>0.6928497635135793</v>
      </c>
      <c r="V35" s="348">
        <f>AVERAGE(Y35:AC35)</f>
        <v>4.1400000000000006E-2</v>
      </c>
      <c r="Y35" s="348">
        <v>3.1E-2</v>
      </c>
      <c r="Z35" s="348">
        <v>4.8000000000000001E-2</v>
      </c>
      <c r="AA35" s="348">
        <v>4.8000000000000001E-2</v>
      </c>
      <c r="AB35" s="348">
        <v>0.04</v>
      </c>
      <c r="AC35" s="348">
        <v>0.04</v>
      </c>
      <c r="AE35" s="307" t="s">
        <v>657</v>
      </c>
    </row>
    <row r="36" spans="1:32" s="307" customFormat="1" x14ac:dyDescent="0.45">
      <c r="B36" s="366" t="s">
        <v>18</v>
      </c>
      <c r="C36" s="366"/>
      <c r="D36" s="366"/>
      <c r="E36" s="366"/>
      <c r="G36" s="307" t="s">
        <v>452</v>
      </c>
      <c r="J36" s="344">
        <v>0</v>
      </c>
      <c r="L36" s="307" t="str">
        <f>+B36</f>
        <v>Terminal Value</v>
      </c>
      <c r="O36" s="360">
        <f>+E39</f>
        <v>1674241.1159324059</v>
      </c>
      <c r="Q36" s="365"/>
      <c r="S36" s="307" t="s">
        <v>105</v>
      </c>
      <c r="U36" s="520">
        <f>'AMZN_Revenue Build'!O77</f>
        <v>6.5367920728895704E-2</v>
      </c>
      <c r="V36" s="348">
        <f>AVERAGE(Y36:AC36)</f>
        <v>1.2199999999999999E-2</v>
      </c>
      <c r="Y36" s="348">
        <v>2E-3</v>
      </c>
      <c r="Z36" s="348">
        <v>1.7000000000000001E-2</v>
      </c>
      <c r="AA36" s="348">
        <v>1.4E-2</v>
      </c>
      <c r="AB36" s="348">
        <f t="shared" ref="AB36:AC36" si="10">AA36</f>
        <v>1.4E-2</v>
      </c>
      <c r="AC36" s="348">
        <f t="shared" si="10"/>
        <v>1.4E-2</v>
      </c>
      <c r="AE36" s="307" t="s">
        <v>660</v>
      </c>
    </row>
    <row r="37" spans="1:32" s="307" customFormat="1" x14ac:dyDescent="0.45">
      <c r="B37" s="307" t="str">
        <f>"Terminal Year EBITDA ("&amp;O6&amp;"E)"</f>
        <v>Terminal Year EBITDA (2027E)</v>
      </c>
      <c r="C37" s="367"/>
      <c r="D37" s="367"/>
      <c r="E37" s="368">
        <f>+O13</f>
        <v>119588.651138029</v>
      </c>
      <c r="G37" s="307" t="s">
        <v>453</v>
      </c>
      <c r="J37" s="344">
        <v>0</v>
      </c>
      <c r="L37" s="309"/>
      <c r="M37" s="309"/>
      <c r="N37" s="309"/>
      <c r="O37" s="309"/>
      <c r="Q37" s="365"/>
      <c r="S37" s="307" t="s">
        <v>106</v>
      </c>
      <c r="U37" s="520">
        <f>'AMZN_Revenue Build'!O78</f>
        <v>5.8511662837097723E-2</v>
      </c>
      <c r="V37" s="348">
        <f>AVERAGE(Y37:AC37)</f>
        <v>1.6199999999999999E-2</v>
      </c>
      <c r="Y37" s="348">
        <v>-2E-3</v>
      </c>
      <c r="Z37" s="348">
        <v>1.7999999999999999E-2</v>
      </c>
      <c r="AA37" s="348">
        <v>2.5000000000000001E-2</v>
      </c>
      <c r="AB37" s="348">
        <v>2.1000000000000001E-2</v>
      </c>
      <c r="AC37" s="348">
        <v>1.9E-2</v>
      </c>
      <c r="AE37" s="252" t="s">
        <v>661</v>
      </c>
    </row>
    <row r="38" spans="1:32" s="307" customFormat="1" x14ac:dyDescent="0.45">
      <c r="B38" s="367" t="s">
        <v>519</v>
      </c>
      <c r="C38" s="367"/>
      <c r="D38" s="367"/>
      <c r="E38" s="369">
        <v>14</v>
      </c>
      <c r="G38" s="307" t="s">
        <v>455</v>
      </c>
      <c r="I38" s="364">
        <v>45016</v>
      </c>
      <c r="J38" s="341">
        <f>49343+15062</f>
        <v>64405</v>
      </c>
      <c r="L38" s="419" t="s">
        <v>449</v>
      </c>
      <c r="M38" s="420"/>
      <c r="N38" s="420"/>
      <c r="O38" s="430">
        <f ca="1">+IF(ISERROR(IF(D5="Y",((E39*E27)-O25*(1+E27)^0.5)/(E39+O25*(1+E27)^0.5),((O36*O35)-O34)/(O36+O34))),"- %",IF(D5="Y",((E39*E27)-O25*(1+E27)^0.5)/(E39+O25*(1+E27)^0.5),((O36*O35)-O34)/(O36+O34)))</f>
        <v>5.468293341623208E-2</v>
      </c>
      <c r="Q38" s="365"/>
      <c r="S38" s="307" t="s">
        <v>107</v>
      </c>
      <c r="U38" s="520">
        <f>'AMZN_Revenue Build'!O79</f>
        <v>4.7464604860472041E-2</v>
      </c>
      <c r="V38" s="348">
        <f>AVERAGE(Y38:AC38)</f>
        <v>7.6399999999999992E-3</v>
      </c>
      <c r="Y38" s="348">
        <v>1.2999999999999999E-2</v>
      </c>
      <c r="Z38" s="348">
        <v>1.0200000000000001E-2</v>
      </c>
      <c r="AA38" s="348">
        <v>6.0000000000000001E-3</v>
      </c>
      <c r="AB38" s="348">
        <v>5.0000000000000001E-3</v>
      </c>
      <c r="AC38" s="348">
        <v>4.0000000000000001E-3</v>
      </c>
    </row>
    <row r="39" spans="1:32" s="307" customFormat="1" ht="14.25" x14ac:dyDescent="0.45">
      <c r="B39" s="370" t="s">
        <v>456</v>
      </c>
      <c r="C39" s="370"/>
      <c r="D39" s="370"/>
      <c r="E39" s="371">
        <f>+E37*E38</f>
        <v>1674241.1159324059</v>
      </c>
      <c r="J39" s="307" t="s">
        <v>72</v>
      </c>
      <c r="Q39" s="365"/>
      <c r="S39" s="419" t="s">
        <v>653</v>
      </c>
      <c r="T39" s="420"/>
      <c r="U39" s="521"/>
      <c r="V39" s="430">
        <f>SUMPRODUCT(U35:U38,V35:V38)</f>
        <v>3.0791987361449707E-2</v>
      </c>
      <c r="Y39"/>
      <c r="Z39"/>
      <c r="AA39"/>
      <c r="AB39"/>
      <c r="AC39"/>
      <c r="AD39"/>
      <c r="AE39"/>
    </row>
    <row r="40" spans="1:32" s="307" customFormat="1" ht="14.25" x14ac:dyDescent="0.45">
      <c r="B40" s="367" t="s">
        <v>457</v>
      </c>
      <c r="C40" s="367"/>
      <c r="D40" s="367"/>
      <c r="E40" s="372">
        <f>1/((1+$E$27)^(O6-J6))</f>
        <v>0.68015841224108631</v>
      </c>
      <c r="G40" s="419" t="s">
        <v>458</v>
      </c>
      <c r="H40" s="420"/>
      <c r="I40" s="420"/>
      <c r="J40" s="428">
        <f ca="1">+J34+SUM(J35:J38)</f>
        <v>1375682.6532700241</v>
      </c>
      <c r="L40" s="355" t="s">
        <v>459</v>
      </c>
      <c r="M40" s="356"/>
      <c r="N40" s="356"/>
      <c r="O40" s="357"/>
      <c r="S40"/>
      <c r="T40"/>
      <c r="U40"/>
      <c r="V40"/>
      <c r="Y40"/>
      <c r="Z40"/>
      <c r="AA40"/>
      <c r="AB40"/>
      <c r="AC40"/>
      <c r="AD40"/>
      <c r="AE40"/>
    </row>
    <row r="41" spans="1:32" s="307" customFormat="1" ht="14.25" x14ac:dyDescent="0.45">
      <c r="B41" s="370" t="s">
        <v>460</v>
      </c>
      <c r="C41" s="370"/>
      <c r="D41" s="370"/>
      <c r="E41" s="371">
        <f>+E39*E40</f>
        <v>1138749.1791213297</v>
      </c>
      <c r="L41" s="360" t="str">
        <f>+G34</f>
        <v>Enterprise Value</v>
      </c>
      <c r="O41" s="360">
        <f ca="1">E43</f>
        <v>1244193.6532700241</v>
      </c>
      <c r="S41"/>
      <c r="T41"/>
      <c r="U41"/>
      <c r="V41"/>
      <c r="Y41"/>
      <c r="Z41"/>
      <c r="AA41"/>
      <c r="AB41"/>
      <c r="AC41"/>
      <c r="AD41"/>
      <c r="AE41"/>
    </row>
    <row r="42" spans="1:32" s="307" customFormat="1" ht="14.25" x14ac:dyDescent="0.45">
      <c r="B42" s="362" t="s">
        <v>461</v>
      </c>
      <c r="C42" s="367"/>
      <c r="D42" s="367"/>
      <c r="E42" s="331">
        <f ca="1">+IF(ISERROR(E41/E43),"- %",E41/E43)</f>
        <v>0.91525075387455779</v>
      </c>
      <c r="G42" s="307" t="s">
        <v>462</v>
      </c>
      <c r="J42" s="344">
        <v>10347</v>
      </c>
      <c r="L42" s="307" t="s">
        <v>518</v>
      </c>
      <c r="O42" s="344">
        <f>J13</f>
        <v>53709</v>
      </c>
      <c r="S42"/>
      <c r="T42"/>
      <c r="U42"/>
      <c r="V42"/>
      <c r="Y42" s="348"/>
      <c r="Z42" s="348"/>
      <c r="AA42" s="348"/>
      <c r="AB42" s="348"/>
      <c r="AC42" s="348"/>
    </row>
    <row r="43" spans="1:32" s="307" customFormat="1" ht="14.25" x14ac:dyDescent="0.45">
      <c r="B43" s="419" t="s">
        <v>463</v>
      </c>
      <c r="C43" s="420"/>
      <c r="D43" s="420"/>
      <c r="E43" s="428">
        <f ca="1">+E41+E34</f>
        <v>1244193.6532700241</v>
      </c>
      <c r="G43" s="419" t="s">
        <v>464</v>
      </c>
      <c r="H43" s="420"/>
      <c r="I43" s="420"/>
      <c r="J43" s="428">
        <f ca="1">+IF(ISERROR(J40/J42),"NA",J40/J42)</f>
        <v>132.95473598821147</v>
      </c>
      <c r="L43" s="419" t="s">
        <v>459</v>
      </c>
      <c r="M43" s="420"/>
      <c r="N43" s="420"/>
      <c r="O43" s="429">
        <f ca="1">+IF(ISERROR(O41/O42),"- x",O41/O42)</f>
        <v>23.165459294904469</v>
      </c>
      <c r="S43"/>
      <c r="T43"/>
      <c r="U43"/>
      <c r="V43"/>
      <c r="Y43" s="348"/>
      <c r="Z43" s="348"/>
      <c r="AA43" s="348"/>
      <c r="AB43" s="348"/>
      <c r="AC43" s="348"/>
    </row>
    <row r="44" spans="1:32" s="307" customFormat="1" ht="14.25" x14ac:dyDescent="0.45">
      <c r="S44"/>
      <c r="T44"/>
      <c r="U44"/>
      <c r="V44"/>
    </row>
    <row r="45" spans="1:32" s="307" customFormat="1" x14ac:dyDescent="0.45"/>
    <row r="46" spans="1:32" s="307" customFormat="1" x14ac:dyDescent="0.45">
      <c r="C46" s="431" t="s">
        <v>17</v>
      </c>
      <c r="D46" s="432"/>
      <c r="E46" s="432"/>
      <c r="F46" s="432"/>
      <c r="G46" s="432"/>
      <c r="H46" s="433"/>
      <c r="J46" s="431" t="s">
        <v>449</v>
      </c>
      <c r="K46" s="432"/>
      <c r="L46" s="432"/>
      <c r="M46" s="432"/>
      <c r="N46" s="432"/>
      <c r="O46" s="433"/>
    </row>
    <row r="47" spans="1:32" s="307" customFormat="1" x14ac:dyDescent="0.45">
      <c r="B47" s="317"/>
      <c r="D47" s="319" t="s">
        <v>454</v>
      </c>
      <c r="E47" s="319"/>
      <c r="F47" s="319"/>
      <c r="G47" s="319"/>
      <c r="H47" s="319"/>
      <c r="K47" s="319" t="s">
        <v>454</v>
      </c>
      <c r="L47" s="319"/>
      <c r="M47" s="319"/>
      <c r="N47" s="319"/>
      <c r="O47" s="319"/>
      <c r="S47" s="309"/>
      <c r="T47" s="309"/>
      <c r="U47" s="309"/>
      <c r="V47" s="309"/>
    </row>
    <row r="48" spans="1:32" x14ac:dyDescent="0.45">
      <c r="A48" s="317"/>
      <c r="B48" s="317"/>
      <c r="C48" s="434">
        <f ca="1">+E43</f>
        <v>1244193.6532700241</v>
      </c>
      <c r="D48" s="435">
        <f>+E48-0.5</f>
        <v>13</v>
      </c>
      <c r="E48" s="435">
        <f>+F48-0.5</f>
        <v>13.5</v>
      </c>
      <c r="F48" s="435">
        <v>14</v>
      </c>
      <c r="G48" s="435">
        <f>+F48+0.5</f>
        <v>14.5</v>
      </c>
      <c r="H48" s="435">
        <f>+G48+0.5</f>
        <v>15</v>
      </c>
      <c r="I48" s="361"/>
      <c r="J48" s="434">
        <f ca="1">+O38</f>
        <v>5.468293341623208E-2</v>
      </c>
      <c r="K48" s="435">
        <f>+L48-0.5</f>
        <v>13</v>
      </c>
      <c r="L48" s="435">
        <f>+M48-0.5</f>
        <v>13.5</v>
      </c>
      <c r="M48" s="435">
        <v>14</v>
      </c>
      <c r="N48" s="435">
        <f>+M48+0.5</f>
        <v>14.5</v>
      </c>
      <c r="O48" s="435">
        <f>+N48+0.5</f>
        <v>15</v>
      </c>
      <c r="P48" s="376"/>
      <c r="Q48" s="307"/>
      <c r="S48" s="307"/>
      <c r="T48" s="307"/>
      <c r="U48" s="307"/>
      <c r="V48" s="307"/>
    </row>
    <row r="49" spans="1:230" s="307" customFormat="1" x14ac:dyDescent="0.45">
      <c r="B49" s="614" t="s">
        <v>15</v>
      </c>
      <c r="C49" s="436">
        <f>+C50-0.005</f>
        <v>7.0134866526277997E-2</v>
      </c>
      <c r="D49" s="379">
        <f t="dataTable" ref="D49:H53" dt2D="1" dtr="0" r1="E38" r2="E27" ca="1"/>
        <v>1216501.7613391897</v>
      </c>
      <c r="E49" s="365">
        <v>1259107.4314766529</v>
      </c>
      <c r="F49" s="365">
        <v>1301713.1016141158</v>
      </c>
      <c r="G49" s="365">
        <v>1344318.7717515789</v>
      </c>
      <c r="H49" s="365">
        <v>1386924.4418890418</v>
      </c>
      <c r="I49" s="614" t="s">
        <v>15</v>
      </c>
      <c r="J49" s="436">
        <f>+J50-0.005</f>
        <v>7.0134866526277997E-2</v>
      </c>
      <c r="K49" s="380">
        <f t="dataTable" ref="K49:O53" dt2D="1" dtr="0" r1="E38" r2="E27" ca="1"/>
        <v>4.3027988563248735E-2</v>
      </c>
      <c r="L49" s="381">
        <v>4.400743527792577E-2</v>
      </c>
      <c r="M49" s="381">
        <v>4.4918570038091146E-2</v>
      </c>
      <c r="N49" s="381">
        <v>4.5768298690334962E-2</v>
      </c>
      <c r="O49" s="381">
        <v>4.6562626584039334E-2</v>
      </c>
    </row>
    <row r="50" spans="1:230" s="307" customFormat="1" x14ac:dyDescent="0.45">
      <c r="B50" s="614"/>
      <c r="C50" s="436">
        <f>+C51-0.005</f>
        <v>7.5134866526278002E-2</v>
      </c>
      <c r="D50" s="379">
        <v>1189308.1480600187</v>
      </c>
      <c r="E50" s="365">
        <v>1230932.2849030814</v>
      </c>
      <c r="F50" s="365">
        <v>1272556.4217461441</v>
      </c>
      <c r="G50" s="365">
        <v>1314180.558589207</v>
      </c>
      <c r="H50" s="365">
        <v>1355804.6954322699</v>
      </c>
      <c r="I50" s="614"/>
      <c r="J50" s="436">
        <f>+J51-0.005</f>
        <v>7.5134866526278002E-2</v>
      </c>
      <c r="K50" s="380">
        <v>4.7901336872836014E-2</v>
      </c>
      <c r="L50" s="382">
        <v>4.8885359864510071E-2</v>
      </c>
      <c r="M50" s="382">
        <v>4.9800751727161613E-2</v>
      </c>
      <c r="N50" s="382">
        <v>5.0654450573624978E-2</v>
      </c>
      <c r="O50" s="381">
        <v>5.1452489812125926E-2</v>
      </c>
    </row>
    <row r="51" spans="1:230" s="307" customFormat="1" x14ac:dyDescent="0.45">
      <c r="B51" s="614"/>
      <c r="C51" s="436">
        <v>8.0134866526278006E-2</v>
      </c>
      <c r="D51" s="379">
        <v>1162854.4261899292</v>
      </c>
      <c r="E51" s="365">
        <v>1203524.0397299768</v>
      </c>
      <c r="F51" s="438">
        <v>1244193.6532700241</v>
      </c>
      <c r="G51" s="365">
        <v>1284863.2668100717</v>
      </c>
      <c r="H51" s="365">
        <v>1325532.8803501192</v>
      </c>
      <c r="I51" s="614"/>
      <c r="J51" s="436">
        <v>8.0134866526278006E-2</v>
      </c>
      <c r="K51" s="380">
        <v>5.2774685182423293E-2</v>
      </c>
      <c r="L51" s="382">
        <v>5.3763284451094365E-2</v>
      </c>
      <c r="M51" s="437">
        <v>5.468293341623208E-2</v>
      </c>
      <c r="N51" s="382">
        <v>5.5540602456914993E-2</v>
      </c>
      <c r="O51" s="381">
        <v>5.6342353040212526E-2</v>
      </c>
    </row>
    <row r="52" spans="1:230" s="307" customFormat="1" x14ac:dyDescent="0.45">
      <c r="B52" s="614"/>
      <c r="C52" s="436">
        <f>+C51+0.005</f>
        <v>8.5134866526278011E-2</v>
      </c>
      <c r="D52" s="379">
        <v>1137117.0927778734</v>
      </c>
      <c r="E52" s="365">
        <v>1176858.3298283138</v>
      </c>
      <c r="F52" s="365">
        <v>1216599.5668787542</v>
      </c>
      <c r="G52" s="365">
        <v>1256340.8039291946</v>
      </c>
      <c r="H52" s="365">
        <v>1296082.0409796352</v>
      </c>
      <c r="I52" s="614"/>
      <c r="J52" s="436">
        <f>+J51+0.005</f>
        <v>8.5134866526278011E-2</v>
      </c>
      <c r="K52" s="380">
        <v>5.7648033492010572E-2</v>
      </c>
      <c r="L52" s="382">
        <v>5.8641209037678652E-2</v>
      </c>
      <c r="M52" s="382">
        <v>5.9565115105302539E-2</v>
      </c>
      <c r="N52" s="382">
        <v>6.0426754340205002E-2</v>
      </c>
      <c r="O52" s="381">
        <v>6.1232216268299118E-2</v>
      </c>
    </row>
    <row r="53" spans="1:230" s="307" customFormat="1" x14ac:dyDescent="0.45">
      <c r="B53" s="614"/>
      <c r="C53" s="436">
        <f>+C52+0.005</f>
        <v>9.0134866526278015E-2</v>
      </c>
      <c r="D53" s="379">
        <v>1112073.4961518063</v>
      </c>
      <c r="E53" s="365">
        <v>1150911.671730533</v>
      </c>
      <c r="F53" s="365">
        <v>1189749.8473092595</v>
      </c>
      <c r="G53" s="365">
        <v>1228588.0228879862</v>
      </c>
      <c r="H53" s="365">
        <v>1267426.1984667128</v>
      </c>
      <c r="I53" s="614"/>
      <c r="J53" s="436">
        <f>+J52+0.005</f>
        <v>9.0134866526278015E-2</v>
      </c>
      <c r="K53" s="380">
        <v>6.2521381801597858E-2</v>
      </c>
      <c r="L53" s="381">
        <v>6.3519133624262952E-2</v>
      </c>
      <c r="M53" s="381">
        <v>6.4447296794373013E-2</v>
      </c>
      <c r="N53" s="381">
        <v>6.5312906223495018E-2</v>
      </c>
      <c r="O53" s="381">
        <v>6.6122079496385711E-2</v>
      </c>
    </row>
    <row r="54" spans="1:230" s="307" customFormat="1" x14ac:dyDescent="0.45">
      <c r="A54" s="383"/>
      <c r="B54" s="353"/>
      <c r="C54" s="370"/>
      <c r="D54" s="370"/>
      <c r="E54" s="371"/>
      <c r="F54" s="348"/>
      <c r="G54" s="348"/>
      <c r="H54" s="348"/>
      <c r="I54" s="353"/>
      <c r="K54" s="384"/>
      <c r="L54" s="384"/>
      <c r="M54" s="384"/>
      <c r="N54" s="384"/>
      <c r="O54" s="384"/>
      <c r="AC54" s="383"/>
      <c r="AD54" s="383"/>
      <c r="AE54" s="383"/>
      <c r="AF54" s="383"/>
      <c r="AG54" s="383"/>
      <c r="AH54" s="383"/>
      <c r="AI54" s="383"/>
      <c r="AJ54" s="383"/>
      <c r="AK54" s="383"/>
      <c r="AL54" s="383"/>
      <c r="AM54" s="383"/>
      <c r="AN54" s="383"/>
      <c r="AO54" s="383"/>
      <c r="AP54" s="383"/>
      <c r="AQ54" s="383"/>
      <c r="AR54" s="383"/>
      <c r="AS54" s="383"/>
      <c r="AT54" s="383"/>
      <c r="AU54" s="383"/>
      <c r="AV54" s="383"/>
      <c r="AW54" s="383"/>
      <c r="AX54" s="383"/>
      <c r="AY54" s="383"/>
      <c r="AZ54" s="383"/>
      <c r="BA54" s="383"/>
      <c r="BB54" s="383"/>
      <c r="BC54" s="383"/>
      <c r="BD54" s="383"/>
      <c r="BE54" s="383"/>
      <c r="BF54" s="383"/>
      <c r="BG54" s="383"/>
      <c r="BH54" s="383"/>
      <c r="BI54" s="383"/>
      <c r="BJ54" s="383"/>
      <c r="BK54" s="383"/>
      <c r="BL54" s="383"/>
      <c r="BM54" s="383"/>
      <c r="BN54" s="383"/>
      <c r="BO54" s="383"/>
      <c r="BP54" s="383"/>
      <c r="BQ54" s="383"/>
      <c r="BR54" s="383"/>
      <c r="BS54" s="383"/>
      <c r="BT54" s="383"/>
      <c r="BU54" s="383"/>
      <c r="BV54" s="383"/>
      <c r="BW54" s="383"/>
      <c r="BX54" s="383"/>
      <c r="BY54" s="383"/>
      <c r="BZ54" s="383"/>
      <c r="CA54" s="383"/>
      <c r="CB54" s="383"/>
      <c r="CC54" s="383"/>
      <c r="CD54" s="383"/>
      <c r="CE54" s="383"/>
      <c r="CF54" s="383"/>
      <c r="CG54" s="383"/>
      <c r="CH54" s="383"/>
      <c r="CI54" s="383"/>
      <c r="CJ54" s="383"/>
      <c r="CK54" s="383"/>
      <c r="CL54" s="383"/>
      <c r="CM54" s="383"/>
      <c r="CN54" s="383"/>
      <c r="CO54" s="383"/>
      <c r="CP54" s="383"/>
      <c r="CQ54" s="383"/>
      <c r="CR54" s="383"/>
      <c r="CS54" s="383"/>
      <c r="CT54" s="383"/>
      <c r="CU54" s="383"/>
      <c r="CV54" s="383"/>
      <c r="CW54" s="383"/>
      <c r="CX54" s="383"/>
      <c r="CY54" s="383"/>
      <c r="CZ54" s="383"/>
      <c r="DA54" s="383"/>
      <c r="DB54" s="383"/>
      <c r="DC54" s="383"/>
      <c r="DD54" s="383"/>
      <c r="DE54" s="383"/>
      <c r="DF54" s="383"/>
      <c r="DG54" s="383"/>
      <c r="DH54" s="383"/>
      <c r="DI54" s="383"/>
      <c r="DJ54" s="383"/>
      <c r="DK54" s="383"/>
      <c r="DL54" s="383"/>
      <c r="DM54" s="383"/>
      <c r="DN54" s="383"/>
      <c r="DO54" s="383"/>
      <c r="DP54" s="383"/>
      <c r="DQ54" s="383"/>
      <c r="DR54" s="383"/>
      <c r="DS54" s="383"/>
      <c r="DT54" s="383"/>
      <c r="DU54" s="383"/>
      <c r="DV54" s="383"/>
      <c r="DW54" s="383"/>
      <c r="DX54" s="383"/>
      <c r="DY54" s="383"/>
      <c r="DZ54" s="383"/>
      <c r="EA54" s="383"/>
      <c r="EB54" s="383"/>
      <c r="EC54" s="383"/>
      <c r="ED54" s="383"/>
      <c r="EE54" s="383"/>
      <c r="EF54" s="383"/>
      <c r="EG54" s="383"/>
      <c r="EH54" s="383"/>
      <c r="EI54" s="383"/>
      <c r="EJ54" s="383"/>
      <c r="EK54" s="383"/>
      <c r="EL54" s="383"/>
      <c r="EM54" s="383"/>
      <c r="EN54" s="383"/>
      <c r="EO54" s="383"/>
      <c r="EP54" s="383"/>
      <c r="EQ54" s="383"/>
      <c r="ER54" s="383"/>
      <c r="ES54" s="383"/>
      <c r="ET54" s="383"/>
      <c r="EU54" s="383"/>
      <c r="EV54" s="383"/>
      <c r="EW54" s="383"/>
      <c r="EX54" s="383"/>
      <c r="EY54" s="383"/>
      <c r="EZ54" s="383"/>
      <c r="FA54" s="383"/>
      <c r="FB54" s="383"/>
      <c r="FC54" s="383"/>
      <c r="FD54" s="383"/>
      <c r="FE54" s="383"/>
      <c r="FF54" s="383"/>
      <c r="FG54" s="383"/>
      <c r="FH54" s="383"/>
      <c r="FI54" s="383"/>
      <c r="FJ54" s="383"/>
      <c r="FK54" s="383"/>
      <c r="FL54" s="383"/>
      <c r="FM54" s="383"/>
      <c r="FN54" s="383"/>
      <c r="FO54" s="383"/>
      <c r="FP54" s="383"/>
      <c r="FQ54" s="383"/>
      <c r="FR54" s="383"/>
      <c r="FS54" s="383"/>
      <c r="FT54" s="383"/>
      <c r="FU54" s="383"/>
      <c r="FV54" s="383"/>
      <c r="FW54" s="383"/>
      <c r="FX54" s="383"/>
      <c r="FY54" s="383"/>
      <c r="FZ54" s="383"/>
      <c r="GA54" s="383"/>
      <c r="GB54" s="383"/>
      <c r="GC54" s="383"/>
      <c r="GD54" s="383"/>
      <c r="GE54" s="383"/>
      <c r="GF54" s="383"/>
      <c r="GG54" s="383"/>
      <c r="GH54" s="383"/>
      <c r="GI54" s="383"/>
      <c r="GJ54" s="383"/>
      <c r="GK54" s="383"/>
      <c r="GL54" s="383"/>
      <c r="GM54" s="383"/>
      <c r="GN54" s="383"/>
      <c r="GO54" s="383"/>
      <c r="GP54" s="383"/>
      <c r="GQ54" s="383"/>
      <c r="GR54" s="383"/>
      <c r="GS54" s="383"/>
      <c r="GT54" s="383"/>
      <c r="GU54" s="383"/>
      <c r="GV54" s="383"/>
      <c r="GW54" s="383"/>
      <c r="GX54" s="383"/>
      <c r="GY54" s="383"/>
      <c r="GZ54" s="383"/>
      <c r="HA54" s="383"/>
      <c r="HB54" s="383"/>
      <c r="HC54" s="383"/>
      <c r="HD54" s="383"/>
      <c r="HE54" s="383"/>
      <c r="HF54" s="383"/>
      <c r="HG54" s="383"/>
      <c r="HH54" s="383"/>
      <c r="HI54" s="383"/>
      <c r="HJ54" s="383"/>
      <c r="HK54" s="383"/>
      <c r="HL54" s="383"/>
      <c r="HM54" s="383"/>
      <c r="HN54" s="383"/>
      <c r="HO54" s="383"/>
      <c r="HP54" s="383"/>
      <c r="HQ54" s="383"/>
      <c r="HR54" s="383"/>
      <c r="HS54" s="383"/>
      <c r="HT54" s="383"/>
      <c r="HU54" s="383"/>
      <c r="HV54" s="383"/>
    </row>
    <row r="55" spans="1:230" s="307" customFormat="1" x14ac:dyDescent="0.45">
      <c r="A55" s="383"/>
      <c r="B55" s="385"/>
      <c r="C55" s="386"/>
      <c r="D55" s="386"/>
      <c r="E55" s="387"/>
      <c r="F55" s="388"/>
      <c r="G55" s="388"/>
      <c r="H55" s="388"/>
      <c r="I55" s="385"/>
      <c r="J55" s="389"/>
      <c r="K55" s="390"/>
      <c r="L55" s="390"/>
      <c r="M55" s="390"/>
      <c r="N55" s="390"/>
      <c r="O55" s="390"/>
      <c r="AC55" s="383"/>
      <c r="AD55" s="383"/>
      <c r="AE55" s="383"/>
      <c r="AF55" s="383"/>
      <c r="AG55" s="383"/>
      <c r="AH55" s="383"/>
      <c r="AI55" s="383"/>
      <c r="AJ55" s="383"/>
      <c r="AK55" s="383"/>
      <c r="AL55" s="383"/>
      <c r="AM55" s="383"/>
      <c r="AN55" s="383"/>
      <c r="AO55" s="383"/>
      <c r="AP55" s="383"/>
      <c r="AQ55" s="383"/>
      <c r="AR55" s="383"/>
      <c r="AS55" s="383"/>
      <c r="AT55" s="383"/>
      <c r="AU55" s="383"/>
      <c r="AV55" s="383"/>
      <c r="AW55" s="383"/>
      <c r="AX55" s="383"/>
      <c r="AY55" s="383"/>
      <c r="AZ55" s="383"/>
      <c r="BA55" s="383"/>
      <c r="BB55" s="383"/>
      <c r="BC55" s="383"/>
      <c r="BD55" s="383"/>
      <c r="BE55" s="383"/>
      <c r="BF55" s="383"/>
      <c r="BG55" s="383"/>
      <c r="BH55" s="383"/>
      <c r="BI55" s="383"/>
      <c r="BJ55" s="383"/>
      <c r="BK55" s="383"/>
      <c r="BL55" s="383"/>
      <c r="BM55" s="383"/>
      <c r="BN55" s="383"/>
      <c r="BO55" s="383"/>
      <c r="BP55" s="383"/>
      <c r="BQ55" s="383"/>
      <c r="BR55" s="383"/>
      <c r="BS55" s="383"/>
      <c r="BT55" s="383"/>
      <c r="BU55" s="383"/>
      <c r="BV55" s="383"/>
      <c r="BW55" s="383"/>
      <c r="BX55" s="383"/>
      <c r="BY55" s="383"/>
      <c r="BZ55" s="383"/>
      <c r="CA55" s="383"/>
      <c r="CB55" s="383"/>
      <c r="CC55" s="383"/>
      <c r="CD55" s="383"/>
      <c r="CE55" s="383"/>
      <c r="CF55" s="383"/>
      <c r="CG55" s="383"/>
      <c r="CH55" s="383"/>
      <c r="CI55" s="383"/>
      <c r="CJ55" s="383"/>
      <c r="CK55" s="383"/>
      <c r="CL55" s="383"/>
      <c r="CM55" s="383"/>
      <c r="CN55" s="383"/>
      <c r="CO55" s="383"/>
      <c r="CP55" s="383"/>
      <c r="CQ55" s="383"/>
      <c r="CR55" s="383"/>
      <c r="CS55" s="383"/>
      <c r="CT55" s="383"/>
      <c r="CU55" s="383"/>
      <c r="CV55" s="383"/>
      <c r="CW55" s="383"/>
      <c r="CX55" s="383"/>
      <c r="CY55" s="383"/>
      <c r="CZ55" s="383"/>
      <c r="DA55" s="383"/>
      <c r="DB55" s="383"/>
      <c r="DC55" s="383"/>
      <c r="DD55" s="383"/>
      <c r="DE55" s="383"/>
      <c r="DF55" s="383"/>
      <c r="DG55" s="383"/>
      <c r="DH55" s="383"/>
      <c r="DI55" s="383"/>
      <c r="DJ55" s="383"/>
      <c r="DK55" s="383"/>
      <c r="DL55" s="383"/>
      <c r="DM55" s="383"/>
      <c r="DN55" s="383"/>
      <c r="DO55" s="383"/>
      <c r="DP55" s="383"/>
      <c r="DQ55" s="383"/>
      <c r="DR55" s="383"/>
      <c r="DS55" s="383"/>
      <c r="DT55" s="383"/>
      <c r="DU55" s="383"/>
      <c r="DV55" s="383"/>
      <c r="DW55" s="383"/>
      <c r="DX55" s="383"/>
      <c r="DY55" s="383"/>
      <c r="DZ55" s="383"/>
      <c r="EA55" s="383"/>
      <c r="EB55" s="383"/>
      <c r="EC55" s="383"/>
      <c r="ED55" s="383"/>
      <c r="EE55" s="383"/>
      <c r="EF55" s="383"/>
      <c r="EG55" s="383"/>
      <c r="EH55" s="383"/>
      <c r="EI55" s="383"/>
      <c r="EJ55" s="383"/>
      <c r="EK55" s="383"/>
      <c r="EL55" s="383"/>
      <c r="EM55" s="383"/>
      <c r="EN55" s="383"/>
      <c r="EO55" s="383"/>
      <c r="EP55" s="383"/>
      <c r="EQ55" s="383"/>
      <c r="ER55" s="383"/>
      <c r="ES55" s="383"/>
      <c r="ET55" s="383"/>
      <c r="EU55" s="383"/>
      <c r="EV55" s="383"/>
      <c r="EW55" s="383"/>
      <c r="EX55" s="383"/>
      <c r="EY55" s="383"/>
      <c r="EZ55" s="383"/>
      <c r="FA55" s="383"/>
      <c r="FB55" s="383"/>
      <c r="FC55" s="383"/>
      <c r="FD55" s="383"/>
      <c r="FE55" s="383"/>
      <c r="FF55" s="383"/>
      <c r="FG55" s="383"/>
      <c r="FH55" s="383"/>
      <c r="FI55" s="383"/>
      <c r="FJ55" s="383"/>
      <c r="FK55" s="383"/>
      <c r="FL55" s="383"/>
      <c r="FM55" s="383"/>
      <c r="FN55" s="383"/>
      <c r="FO55" s="383"/>
      <c r="FP55" s="383"/>
      <c r="FQ55" s="383"/>
      <c r="FR55" s="383"/>
      <c r="FS55" s="383"/>
      <c r="FT55" s="383"/>
      <c r="FU55" s="383"/>
      <c r="FV55" s="383"/>
      <c r="FW55" s="383"/>
      <c r="FX55" s="383"/>
      <c r="FY55" s="383"/>
      <c r="FZ55" s="383"/>
      <c r="GA55" s="383"/>
      <c r="GB55" s="383"/>
      <c r="GC55" s="383"/>
      <c r="GD55" s="383"/>
      <c r="GE55" s="383"/>
      <c r="GF55" s="383"/>
      <c r="GG55" s="383"/>
      <c r="GH55" s="383"/>
      <c r="GI55" s="383"/>
      <c r="GJ55" s="383"/>
      <c r="GK55" s="383"/>
      <c r="GL55" s="383"/>
      <c r="GM55" s="383"/>
      <c r="GN55" s="383"/>
      <c r="GO55" s="383"/>
      <c r="GP55" s="383"/>
      <c r="GQ55" s="383"/>
      <c r="GR55" s="383"/>
      <c r="GS55" s="383"/>
      <c r="GT55" s="383"/>
      <c r="GU55" s="383"/>
      <c r="GV55" s="383"/>
      <c r="GW55" s="383"/>
      <c r="GX55" s="383"/>
      <c r="GY55" s="383"/>
      <c r="GZ55" s="383"/>
      <c r="HA55" s="383"/>
      <c r="HB55" s="383"/>
      <c r="HC55" s="383"/>
      <c r="HD55" s="383"/>
      <c r="HE55" s="383"/>
      <c r="HF55" s="383"/>
      <c r="HG55" s="383"/>
      <c r="HH55" s="383"/>
      <c r="HI55" s="383"/>
      <c r="HJ55" s="383"/>
      <c r="HK55" s="383"/>
      <c r="HL55" s="383"/>
      <c r="HM55" s="383"/>
      <c r="HN55" s="383"/>
      <c r="HO55" s="383"/>
      <c r="HP55" s="383"/>
      <c r="HQ55" s="383"/>
      <c r="HR55" s="383"/>
      <c r="HS55" s="383"/>
      <c r="HT55" s="383"/>
      <c r="HU55" s="383"/>
      <c r="HV55" s="383"/>
    </row>
    <row r="56" spans="1:230" s="307" customFormat="1" x14ac:dyDescent="0.45">
      <c r="A56" s="383"/>
      <c r="B56" s="353"/>
      <c r="C56" s="370"/>
      <c r="D56" s="370"/>
      <c r="E56" s="371"/>
      <c r="F56" s="348"/>
      <c r="G56" s="348"/>
      <c r="H56" s="348"/>
      <c r="I56" s="353"/>
      <c r="K56" s="384"/>
      <c r="L56" s="384"/>
      <c r="M56" s="384"/>
      <c r="N56" s="384"/>
      <c r="O56" s="384"/>
      <c r="AC56" s="383"/>
      <c r="AD56" s="383"/>
      <c r="AE56" s="383"/>
      <c r="AF56" s="383"/>
      <c r="AG56" s="383"/>
      <c r="AH56" s="383"/>
      <c r="AI56" s="383"/>
      <c r="AJ56" s="383"/>
      <c r="AK56" s="383"/>
      <c r="AL56" s="383"/>
      <c r="AM56" s="383"/>
      <c r="AN56" s="383"/>
      <c r="AO56" s="383"/>
      <c r="AP56" s="383"/>
      <c r="AQ56" s="383"/>
      <c r="AR56" s="383"/>
      <c r="AS56" s="383"/>
      <c r="AT56" s="383"/>
      <c r="AU56" s="383"/>
      <c r="AV56" s="383"/>
      <c r="AW56" s="383"/>
      <c r="AX56" s="383"/>
      <c r="AY56" s="383"/>
      <c r="AZ56" s="383"/>
      <c r="BA56" s="383"/>
      <c r="BB56" s="383"/>
      <c r="BC56" s="383"/>
      <c r="BD56" s="383"/>
      <c r="BE56" s="383"/>
      <c r="BF56" s="383"/>
      <c r="BG56" s="383"/>
      <c r="BH56" s="383"/>
      <c r="BI56" s="383"/>
      <c r="BJ56" s="383"/>
      <c r="BK56" s="383"/>
      <c r="BL56" s="383"/>
      <c r="BM56" s="383"/>
      <c r="BN56" s="383"/>
      <c r="BO56" s="383"/>
      <c r="BP56" s="383"/>
      <c r="BQ56" s="383"/>
      <c r="BR56" s="383"/>
      <c r="BS56" s="383"/>
      <c r="BT56" s="383"/>
      <c r="BU56" s="383"/>
      <c r="BV56" s="383"/>
      <c r="BW56" s="383"/>
      <c r="BX56" s="383"/>
      <c r="BY56" s="383"/>
      <c r="BZ56" s="383"/>
      <c r="CA56" s="383"/>
      <c r="CB56" s="383"/>
      <c r="CC56" s="383"/>
      <c r="CD56" s="383"/>
      <c r="CE56" s="383"/>
      <c r="CF56" s="383"/>
      <c r="CG56" s="383"/>
      <c r="CH56" s="383"/>
      <c r="CI56" s="383"/>
      <c r="CJ56" s="383"/>
      <c r="CK56" s="383"/>
      <c r="CL56" s="383"/>
      <c r="CM56" s="383"/>
      <c r="CN56" s="383"/>
      <c r="CO56" s="383"/>
      <c r="CP56" s="383"/>
      <c r="CQ56" s="383"/>
      <c r="CR56" s="383"/>
      <c r="CS56" s="383"/>
      <c r="CT56" s="383"/>
      <c r="CU56" s="383"/>
      <c r="CV56" s="383"/>
      <c r="CW56" s="383"/>
      <c r="CX56" s="383"/>
      <c r="CY56" s="383"/>
      <c r="CZ56" s="383"/>
      <c r="DA56" s="383"/>
      <c r="DB56" s="383"/>
      <c r="DC56" s="383"/>
      <c r="DD56" s="383"/>
      <c r="DE56" s="383"/>
      <c r="DF56" s="383"/>
      <c r="DG56" s="383"/>
      <c r="DH56" s="383"/>
      <c r="DI56" s="383"/>
      <c r="DJ56" s="383"/>
      <c r="DK56" s="383"/>
      <c r="DL56" s="383"/>
      <c r="DM56" s="383"/>
      <c r="DN56" s="383"/>
      <c r="DO56" s="383"/>
      <c r="DP56" s="383"/>
      <c r="DQ56" s="383"/>
      <c r="DR56" s="383"/>
      <c r="DS56" s="383"/>
      <c r="DT56" s="383"/>
      <c r="DU56" s="383"/>
      <c r="DV56" s="383"/>
      <c r="DW56" s="383"/>
      <c r="DX56" s="383"/>
      <c r="DY56" s="383"/>
      <c r="DZ56" s="383"/>
      <c r="EA56" s="383"/>
      <c r="EB56" s="383"/>
      <c r="EC56" s="383"/>
      <c r="ED56" s="383"/>
      <c r="EE56" s="383"/>
      <c r="EF56" s="383"/>
      <c r="EG56" s="383"/>
      <c r="EH56" s="383"/>
      <c r="EI56" s="383"/>
      <c r="EJ56" s="383"/>
      <c r="EK56" s="383"/>
      <c r="EL56" s="383"/>
      <c r="EM56" s="383"/>
      <c r="EN56" s="383"/>
      <c r="EO56" s="383"/>
      <c r="EP56" s="383"/>
      <c r="EQ56" s="383"/>
      <c r="ER56" s="383"/>
      <c r="ES56" s="383"/>
      <c r="ET56" s="383"/>
      <c r="EU56" s="383"/>
      <c r="EV56" s="383"/>
      <c r="EW56" s="383"/>
      <c r="EX56" s="383"/>
      <c r="EY56" s="383"/>
      <c r="EZ56" s="383"/>
      <c r="FA56" s="383"/>
      <c r="FB56" s="383"/>
      <c r="FC56" s="383"/>
      <c r="FD56" s="383"/>
      <c r="FE56" s="383"/>
      <c r="FF56" s="383"/>
      <c r="FG56" s="383"/>
      <c r="FH56" s="383"/>
      <c r="FI56" s="383"/>
      <c r="FJ56" s="383"/>
      <c r="FK56" s="383"/>
      <c r="FL56" s="383"/>
      <c r="FM56" s="383"/>
      <c r="FN56" s="383"/>
      <c r="FO56" s="383"/>
      <c r="FP56" s="383"/>
      <c r="FQ56" s="383"/>
      <c r="FR56" s="383"/>
      <c r="FS56" s="383"/>
      <c r="FT56" s="383"/>
      <c r="FU56" s="383"/>
      <c r="FV56" s="383"/>
      <c r="FW56" s="383"/>
      <c r="FX56" s="383"/>
      <c r="FY56" s="383"/>
      <c r="FZ56" s="383"/>
      <c r="GA56" s="383"/>
      <c r="GB56" s="383"/>
      <c r="GC56" s="383"/>
      <c r="GD56" s="383"/>
      <c r="GE56" s="383"/>
      <c r="GF56" s="383"/>
      <c r="GG56" s="383"/>
      <c r="GH56" s="383"/>
      <c r="GI56" s="383"/>
      <c r="GJ56" s="383"/>
      <c r="GK56" s="383"/>
      <c r="GL56" s="383"/>
      <c r="GM56" s="383"/>
      <c r="GN56" s="383"/>
      <c r="GO56" s="383"/>
      <c r="GP56" s="383"/>
      <c r="GQ56" s="383"/>
      <c r="GR56" s="383"/>
      <c r="GS56" s="383"/>
      <c r="GT56" s="383"/>
      <c r="GU56" s="383"/>
      <c r="GV56" s="383"/>
      <c r="GW56" s="383"/>
      <c r="GX56" s="383"/>
      <c r="GY56" s="383"/>
      <c r="GZ56" s="383"/>
      <c r="HA56" s="383"/>
      <c r="HB56" s="383"/>
      <c r="HC56" s="383"/>
      <c r="HD56" s="383"/>
      <c r="HE56" s="383"/>
      <c r="HF56" s="383"/>
      <c r="HG56" s="383"/>
      <c r="HH56" s="383"/>
      <c r="HI56" s="383"/>
      <c r="HJ56" s="383"/>
      <c r="HK56" s="383"/>
      <c r="HL56" s="383"/>
      <c r="HM56" s="383"/>
      <c r="HN56" s="383"/>
      <c r="HO56" s="383"/>
      <c r="HP56" s="383"/>
      <c r="HQ56" s="383"/>
      <c r="HR56" s="383"/>
      <c r="HS56" s="383"/>
      <c r="HT56" s="383"/>
      <c r="HU56" s="383"/>
      <c r="HV56" s="383"/>
    </row>
    <row r="57" spans="1:230" s="307" customFormat="1" x14ac:dyDescent="0.45">
      <c r="A57" s="383"/>
      <c r="B57" s="353"/>
      <c r="C57" s="370"/>
      <c r="D57" s="370"/>
      <c r="E57" s="371"/>
      <c r="F57" s="334"/>
      <c r="G57" s="334"/>
      <c r="H57" s="334"/>
      <c r="I57" s="391"/>
      <c r="J57" s="384"/>
      <c r="K57" s="384"/>
      <c r="L57" s="384"/>
      <c r="M57" s="384"/>
      <c r="N57" s="384"/>
      <c r="S57" s="309"/>
      <c r="T57" s="309"/>
      <c r="U57" s="309"/>
      <c r="V57" s="309"/>
      <c r="AC57" s="383"/>
      <c r="AD57" s="383"/>
      <c r="AE57" s="383"/>
      <c r="AF57" s="383"/>
      <c r="AG57" s="383"/>
      <c r="AH57" s="383"/>
      <c r="AI57" s="383"/>
      <c r="AJ57" s="383"/>
      <c r="AK57" s="383"/>
      <c r="AL57" s="383"/>
      <c r="AM57" s="383"/>
      <c r="AN57" s="383"/>
      <c r="AO57" s="383"/>
      <c r="AP57" s="383"/>
      <c r="AQ57" s="383"/>
      <c r="AR57" s="383"/>
      <c r="AS57" s="383"/>
      <c r="AT57" s="383"/>
      <c r="AU57" s="383"/>
      <c r="AV57" s="383"/>
      <c r="AW57" s="383"/>
      <c r="AX57" s="383"/>
      <c r="AY57" s="383"/>
      <c r="AZ57" s="383"/>
      <c r="BA57" s="383"/>
      <c r="BB57" s="383"/>
      <c r="BC57" s="383"/>
      <c r="BD57" s="383"/>
      <c r="BE57" s="383"/>
      <c r="BF57" s="383"/>
      <c r="BG57" s="383"/>
      <c r="BH57" s="383"/>
      <c r="BI57" s="383"/>
      <c r="BJ57" s="383"/>
      <c r="BK57" s="383"/>
      <c r="BL57" s="383"/>
      <c r="BM57" s="383"/>
      <c r="BN57" s="383"/>
      <c r="BO57" s="383"/>
      <c r="BP57" s="383"/>
      <c r="BQ57" s="383"/>
      <c r="BR57" s="383"/>
      <c r="BS57" s="383"/>
      <c r="BT57" s="383"/>
      <c r="BU57" s="383"/>
      <c r="BV57" s="383"/>
      <c r="BW57" s="383"/>
      <c r="BX57" s="383"/>
      <c r="BY57" s="383"/>
      <c r="BZ57" s="383"/>
      <c r="CA57" s="383"/>
      <c r="CB57" s="383"/>
      <c r="CC57" s="383"/>
      <c r="CD57" s="383"/>
      <c r="CE57" s="383"/>
      <c r="CF57" s="383"/>
      <c r="CG57" s="383"/>
      <c r="CH57" s="383"/>
      <c r="CI57" s="383"/>
      <c r="CJ57" s="383"/>
      <c r="CK57" s="383"/>
      <c r="CL57" s="383"/>
      <c r="CM57" s="383"/>
      <c r="CN57" s="383"/>
      <c r="CO57" s="383"/>
      <c r="CP57" s="383"/>
      <c r="CQ57" s="383"/>
      <c r="CR57" s="383"/>
      <c r="CS57" s="383"/>
      <c r="CT57" s="383"/>
      <c r="CU57" s="383"/>
      <c r="CV57" s="383"/>
      <c r="CW57" s="383"/>
      <c r="CX57" s="383"/>
      <c r="CY57" s="383"/>
      <c r="CZ57" s="383"/>
      <c r="DA57" s="383"/>
      <c r="DB57" s="383"/>
      <c r="DC57" s="383"/>
      <c r="DD57" s="383"/>
      <c r="DE57" s="383"/>
      <c r="DF57" s="383"/>
      <c r="DG57" s="383"/>
      <c r="DH57" s="383"/>
      <c r="DI57" s="383"/>
      <c r="DJ57" s="383"/>
      <c r="DK57" s="383"/>
      <c r="DL57" s="383"/>
      <c r="DM57" s="383"/>
      <c r="DN57" s="383"/>
      <c r="DO57" s="383"/>
      <c r="DP57" s="383"/>
      <c r="DQ57" s="383"/>
      <c r="DR57" s="383"/>
      <c r="DS57" s="383"/>
      <c r="DT57" s="383"/>
      <c r="DU57" s="383"/>
      <c r="DV57" s="383"/>
      <c r="DW57" s="383"/>
      <c r="DX57" s="383"/>
      <c r="DY57" s="383"/>
      <c r="DZ57" s="383"/>
      <c r="EA57" s="383"/>
      <c r="EB57" s="383"/>
      <c r="EC57" s="383"/>
      <c r="ED57" s="383"/>
      <c r="EE57" s="383"/>
      <c r="EF57" s="383"/>
      <c r="EG57" s="383"/>
      <c r="EH57" s="383"/>
      <c r="EI57" s="383"/>
      <c r="EJ57" s="383"/>
      <c r="EK57" s="383"/>
      <c r="EL57" s="383"/>
      <c r="EM57" s="383"/>
      <c r="EN57" s="383"/>
      <c r="EO57" s="383"/>
      <c r="EP57" s="383"/>
      <c r="EQ57" s="383"/>
      <c r="ER57" s="383"/>
      <c r="ES57" s="383"/>
      <c r="ET57" s="383"/>
      <c r="EU57" s="383"/>
      <c r="EV57" s="383"/>
      <c r="EW57" s="383"/>
      <c r="EX57" s="383"/>
      <c r="EY57" s="383"/>
      <c r="EZ57" s="383"/>
      <c r="FA57" s="383"/>
      <c r="FB57" s="383"/>
      <c r="FC57" s="383"/>
      <c r="FD57" s="383"/>
      <c r="FE57" s="383"/>
      <c r="FF57" s="383"/>
      <c r="FG57" s="383"/>
      <c r="FH57" s="383"/>
      <c r="FI57" s="383"/>
      <c r="FJ57" s="383"/>
      <c r="FK57" s="383"/>
      <c r="FL57" s="383"/>
      <c r="FM57" s="383"/>
      <c r="FN57" s="383"/>
      <c r="FO57" s="383"/>
      <c r="FP57" s="383"/>
      <c r="FQ57" s="383"/>
      <c r="FR57" s="383"/>
      <c r="FS57" s="383"/>
      <c r="FT57" s="383"/>
      <c r="FU57" s="383"/>
      <c r="FV57" s="383"/>
      <c r="FW57" s="383"/>
      <c r="FX57" s="383"/>
      <c r="FY57" s="383"/>
      <c r="FZ57" s="383"/>
      <c r="GA57" s="383"/>
      <c r="GB57" s="383"/>
      <c r="GC57" s="383"/>
      <c r="GD57" s="383"/>
      <c r="GE57" s="383"/>
      <c r="GF57" s="383"/>
      <c r="GG57" s="383"/>
      <c r="GH57" s="383"/>
      <c r="GI57" s="383"/>
      <c r="GJ57" s="383"/>
      <c r="GK57" s="383"/>
      <c r="GL57" s="383"/>
      <c r="GM57" s="383"/>
      <c r="GN57" s="383"/>
      <c r="GO57" s="383"/>
      <c r="GP57" s="383"/>
      <c r="GQ57" s="383"/>
      <c r="GR57" s="383"/>
      <c r="GS57" s="383"/>
      <c r="GT57" s="383"/>
      <c r="GU57" s="383"/>
      <c r="GV57" s="383"/>
      <c r="GW57" s="383"/>
      <c r="GX57" s="383"/>
      <c r="GY57" s="383"/>
      <c r="GZ57" s="383"/>
      <c r="HA57" s="383"/>
      <c r="HB57" s="383"/>
      <c r="HC57" s="383"/>
      <c r="HD57" s="383"/>
      <c r="HE57" s="383"/>
      <c r="HF57" s="383"/>
      <c r="HG57" s="383"/>
      <c r="HH57" s="383"/>
      <c r="HI57" s="383"/>
      <c r="HJ57" s="383"/>
      <c r="HK57" s="383"/>
      <c r="HL57" s="383"/>
      <c r="HM57" s="383"/>
      <c r="HN57" s="383"/>
      <c r="HO57" s="383"/>
      <c r="HP57" s="383"/>
      <c r="HQ57" s="383"/>
      <c r="HR57" s="383"/>
      <c r="HS57" s="383"/>
      <c r="HT57" s="383"/>
      <c r="HU57" s="383"/>
      <c r="HV57" s="383"/>
    </row>
    <row r="58" spans="1:230" ht="23.25" x14ac:dyDescent="0.7">
      <c r="A58" s="307"/>
      <c r="B58" s="392" t="str">
        <f>+B1</f>
        <v>AMAZON.COM</v>
      </c>
      <c r="P58" s="309"/>
    </row>
    <row r="59" spans="1:230" ht="21" x14ac:dyDescent="0.65">
      <c r="B59" s="312" t="s">
        <v>70</v>
      </c>
      <c r="P59" s="309"/>
    </row>
    <row r="60" spans="1:230" ht="13.9" thickBot="1" x14ac:dyDescent="0.5">
      <c r="B60" s="444" t="s">
        <v>465</v>
      </c>
      <c r="C60" s="445"/>
      <c r="D60" s="445"/>
      <c r="E60" s="445"/>
      <c r="F60" s="445"/>
      <c r="G60" s="445"/>
      <c r="H60" s="445"/>
      <c r="I60" s="445"/>
      <c r="J60" s="445"/>
      <c r="K60" s="445"/>
      <c r="L60" s="445"/>
      <c r="M60" s="446"/>
      <c r="N60" s="445"/>
      <c r="O60" s="447"/>
      <c r="P60" s="309"/>
    </row>
    <row r="63" spans="1:230" x14ac:dyDescent="0.45">
      <c r="B63" s="307"/>
      <c r="C63" s="431" t="s">
        <v>17</v>
      </c>
      <c r="D63" s="432"/>
      <c r="E63" s="432"/>
      <c r="F63" s="432"/>
      <c r="G63" s="432"/>
      <c r="H63" s="433"/>
      <c r="I63" s="377"/>
      <c r="J63" s="431" t="s">
        <v>466</v>
      </c>
      <c r="K63" s="432"/>
      <c r="L63" s="432"/>
      <c r="M63" s="432"/>
      <c r="N63" s="432"/>
      <c r="O63" s="433"/>
    </row>
    <row r="64" spans="1:230" x14ac:dyDescent="0.45">
      <c r="B64" s="317"/>
      <c r="C64" s="307"/>
      <c r="D64" s="319" t="s">
        <v>454</v>
      </c>
      <c r="E64" s="319"/>
      <c r="F64" s="319"/>
      <c r="G64" s="319"/>
      <c r="H64" s="319"/>
      <c r="I64" s="317"/>
      <c r="J64" s="307"/>
      <c r="K64" s="319" t="s">
        <v>454</v>
      </c>
      <c r="L64" s="319"/>
      <c r="M64" s="319"/>
      <c r="N64" s="319"/>
      <c r="O64" s="319"/>
      <c r="U64" s="309" t="s">
        <v>114</v>
      </c>
      <c r="W64" s="309" t="s">
        <v>113</v>
      </c>
      <c r="Y64" s="309" t="s">
        <v>112</v>
      </c>
    </row>
    <row r="65" spans="2:26" x14ac:dyDescent="0.45">
      <c r="B65" s="317"/>
      <c r="C65" s="434">
        <f ca="1">E43</f>
        <v>1244193.6532700241</v>
      </c>
      <c r="D65" s="435">
        <f>+E65-0.5</f>
        <v>13</v>
      </c>
      <c r="E65" s="435">
        <f>+F65-0.5</f>
        <v>13.5</v>
      </c>
      <c r="F65" s="435">
        <v>14</v>
      </c>
      <c r="G65" s="435">
        <f>+F65+0.5</f>
        <v>14.5</v>
      </c>
      <c r="H65" s="435">
        <f>+G65+0.5</f>
        <v>15</v>
      </c>
      <c r="I65" s="367"/>
      <c r="J65" s="434">
        <f ca="1">J40</f>
        <v>1375682.6532700241</v>
      </c>
      <c r="K65" s="435">
        <f>+L65-0.5</f>
        <v>13</v>
      </c>
      <c r="L65" s="435">
        <f>+M65-0.5</f>
        <v>13.5</v>
      </c>
      <c r="M65" s="435">
        <v>14</v>
      </c>
      <c r="N65" s="435">
        <f>+M65+0.5</f>
        <v>14.5</v>
      </c>
      <c r="O65" s="435">
        <f>+N65+0.5</f>
        <v>15</v>
      </c>
      <c r="U65" s="309" t="s">
        <v>708</v>
      </c>
      <c r="V65" s="309" t="s">
        <v>709</v>
      </c>
      <c r="W65" s="309" t="s">
        <v>708</v>
      </c>
      <c r="X65" s="309" t="s">
        <v>709</v>
      </c>
      <c r="Y65" s="309" t="s">
        <v>708</v>
      </c>
      <c r="Z65" s="309" t="s">
        <v>709</v>
      </c>
    </row>
    <row r="66" spans="2:26" x14ac:dyDescent="0.45">
      <c r="B66" s="614" t="s">
        <v>15</v>
      </c>
      <c r="C66" s="436">
        <f>+C67-0.005</f>
        <v>7.0134866526277997E-2</v>
      </c>
      <c r="D66" s="379">
        <f t="dataTable" ref="D66:H70" dt2D="1" dtr="0" r1="E38" r2="E27" ca="1"/>
        <v>1216501.7613391897</v>
      </c>
      <c r="E66" s="365">
        <v>1259107.4314766529</v>
      </c>
      <c r="F66" s="365">
        <v>1301713.1016141158</v>
      </c>
      <c r="G66" s="365">
        <v>1344318.7717515789</v>
      </c>
      <c r="H66" s="365">
        <v>1386924.4418890418</v>
      </c>
      <c r="I66" s="614" t="s">
        <v>15</v>
      </c>
      <c r="J66" s="436">
        <f>+J67-0.005</f>
        <v>7.0134866526277997E-2</v>
      </c>
      <c r="K66" s="379">
        <f t="dataTable" ref="K66:O70" dt2D="1" dtr="0" r1="E38" r2="E27" ca="1"/>
        <v>1347990.7613391897</v>
      </c>
      <c r="L66" s="365">
        <v>1390596.4314766529</v>
      </c>
      <c r="M66" s="365">
        <v>1433202.1016141158</v>
      </c>
      <c r="N66" s="365">
        <v>1475807.7717515789</v>
      </c>
      <c r="O66" s="365">
        <v>1518413.4418890418</v>
      </c>
      <c r="T66" s="309" t="s">
        <v>710</v>
      </c>
      <c r="U66" s="309">
        <v>1849536.5012769953</v>
      </c>
      <c r="V66" s="309">
        <v>1512421.5982047832</v>
      </c>
      <c r="W66" s="309">
        <v>1485361.1179316966</v>
      </c>
      <c r="X66" s="309">
        <v>1217676.8354419398</v>
      </c>
      <c r="Y66" s="309">
        <v>1147100.6220576023</v>
      </c>
      <c r="Z66" s="309">
        <v>943535.38035494706</v>
      </c>
    </row>
    <row r="67" spans="2:26" x14ac:dyDescent="0.45">
      <c r="B67" s="614"/>
      <c r="C67" s="436">
        <f>+C68-0.005</f>
        <v>7.5134866526278002E-2</v>
      </c>
      <c r="D67" s="379">
        <v>1189308.1480600187</v>
      </c>
      <c r="E67" s="365">
        <v>1230932.2849030814</v>
      </c>
      <c r="F67" s="365">
        <v>1272556.4217461441</v>
      </c>
      <c r="G67" s="365">
        <v>1314180.558589207</v>
      </c>
      <c r="H67" s="365">
        <v>1355804.6954322699</v>
      </c>
      <c r="I67" s="614"/>
      <c r="J67" s="436">
        <f>+J68-0.005</f>
        <v>7.5134866526278002E-2</v>
      </c>
      <c r="K67" s="379">
        <v>1320797.1480600187</v>
      </c>
      <c r="L67" s="365">
        <v>1362421.2849030814</v>
      </c>
      <c r="M67" s="365">
        <v>1404045.4217461441</v>
      </c>
      <c r="N67" s="365">
        <v>1445669.558589207</v>
      </c>
      <c r="O67" s="365">
        <v>1487293.6954322699</v>
      </c>
      <c r="T67" s="309" t="s">
        <v>711</v>
      </c>
      <c r="U67" s="575">
        <f>J42</f>
        <v>10347</v>
      </c>
      <c r="V67" s="575">
        <f>U67</f>
        <v>10347</v>
      </c>
      <c r="W67" s="575">
        <f t="shared" ref="W67:Z67" si="11">V67</f>
        <v>10347</v>
      </c>
      <c r="X67" s="575">
        <f t="shared" si="11"/>
        <v>10347</v>
      </c>
      <c r="Y67" s="575">
        <f t="shared" si="11"/>
        <v>10347</v>
      </c>
      <c r="Z67" s="575">
        <f t="shared" si="11"/>
        <v>10347</v>
      </c>
    </row>
    <row r="68" spans="2:26" x14ac:dyDescent="0.45">
      <c r="B68" s="614"/>
      <c r="C68" s="436">
        <v>8.0134866526278006E-2</v>
      </c>
      <c r="D68" s="379">
        <v>1162854.4261899292</v>
      </c>
      <c r="E68" s="365">
        <v>1203524.0397299768</v>
      </c>
      <c r="F68" s="438">
        <v>1244193.6532700241</v>
      </c>
      <c r="G68" s="365">
        <v>1284863.2668100717</v>
      </c>
      <c r="H68" s="365">
        <v>1325532.8803501192</v>
      </c>
      <c r="I68" s="614"/>
      <c r="J68" s="436">
        <v>8.0134866526278006E-2</v>
      </c>
      <c r="K68" s="379">
        <v>1294343.4261899292</v>
      </c>
      <c r="L68" s="365">
        <v>1335013.0397299768</v>
      </c>
      <c r="M68" s="438">
        <v>1375682.6532700241</v>
      </c>
      <c r="N68" s="365">
        <v>1416352.2668100717</v>
      </c>
      <c r="O68" s="365">
        <v>1457021.8803501192</v>
      </c>
      <c r="T68" s="309" t="s">
        <v>31</v>
      </c>
      <c r="U68" s="576">
        <f>U66/U67</f>
        <v>178.75099074871898</v>
      </c>
      <c r="V68" s="576">
        <f t="shared" ref="V68:Z68" si="12">V66/V67</f>
        <v>146.17005878078507</v>
      </c>
      <c r="W68" s="576">
        <f t="shared" si="12"/>
        <v>143.55476156680163</v>
      </c>
      <c r="X68" s="576">
        <f t="shared" si="12"/>
        <v>117.68404710949451</v>
      </c>
      <c r="Y68" s="576">
        <f t="shared" si="12"/>
        <v>110.8631122120037</v>
      </c>
      <c r="Z68" s="576">
        <f t="shared" si="12"/>
        <v>91.189270354203828</v>
      </c>
    </row>
    <row r="69" spans="2:26" x14ac:dyDescent="0.45">
      <c r="B69" s="614"/>
      <c r="C69" s="436">
        <f>+C68+0.005</f>
        <v>8.5134866526278011E-2</v>
      </c>
      <c r="D69" s="379">
        <v>1137117.0927778734</v>
      </c>
      <c r="E69" s="365">
        <v>1176858.3298283138</v>
      </c>
      <c r="F69" s="365">
        <v>1216599.5668787542</v>
      </c>
      <c r="G69" s="365">
        <v>1256340.8039291946</v>
      </c>
      <c r="H69" s="365">
        <v>1296082.0409796352</v>
      </c>
      <c r="I69" s="614"/>
      <c r="J69" s="436">
        <f>+J68+0.005</f>
        <v>8.5134866526278011E-2</v>
      </c>
      <c r="K69" s="379">
        <v>1268606.0927778734</v>
      </c>
      <c r="L69" s="365">
        <v>1308347.3298283138</v>
      </c>
      <c r="M69" s="365">
        <v>1348088.5668787542</v>
      </c>
      <c r="N69" s="365">
        <v>1387829.8039291946</v>
      </c>
      <c r="O69" s="365">
        <v>1427571.0409796352</v>
      </c>
    </row>
    <row r="70" spans="2:26" x14ac:dyDescent="0.45">
      <c r="B70" s="614"/>
      <c r="C70" s="436">
        <f>+C69+0.005</f>
        <v>9.0134866526278015E-2</v>
      </c>
      <c r="D70" s="379">
        <v>1112073.4961518063</v>
      </c>
      <c r="E70" s="365">
        <v>1150911.671730533</v>
      </c>
      <c r="F70" s="365">
        <v>1189749.8473092595</v>
      </c>
      <c r="G70" s="365">
        <v>1228588.0228879862</v>
      </c>
      <c r="H70" s="365">
        <v>1267426.1984667128</v>
      </c>
      <c r="I70" s="614"/>
      <c r="J70" s="436">
        <f>+J69+0.005</f>
        <v>9.0134866526278015E-2</v>
      </c>
      <c r="K70" s="379">
        <v>1243562.4961518063</v>
      </c>
      <c r="L70" s="365">
        <v>1282400.671730533</v>
      </c>
      <c r="M70" s="365">
        <v>1321238.8473092595</v>
      </c>
      <c r="N70" s="365">
        <v>1360077.0228879862</v>
      </c>
      <c r="O70" s="365">
        <v>1398915.1984667128</v>
      </c>
    </row>
    <row r="73" spans="2:26" x14ac:dyDescent="0.45">
      <c r="B73" s="367"/>
      <c r="C73" s="431" t="s">
        <v>449</v>
      </c>
      <c r="D73" s="432"/>
      <c r="E73" s="432"/>
      <c r="F73" s="432"/>
      <c r="G73" s="432"/>
      <c r="H73" s="433"/>
      <c r="I73" s="317"/>
      <c r="J73" s="615" t="s">
        <v>467</v>
      </c>
      <c r="K73" s="615"/>
      <c r="L73" s="615"/>
      <c r="M73" s="615"/>
      <c r="N73" s="615"/>
      <c r="O73" s="615"/>
    </row>
    <row r="74" spans="2:26" x14ac:dyDescent="0.45">
      <c r="B74" s="367"/>
      <c r="C74" s="307"/>
      <c r="D74" s="319" t="s">
        <v>454</v>
      </c>
      <c r="E74" s="319"/>
      <c r="F74" s="319"/>
      <c r="G74" s="319"/>
      <c r="H74" s="319"/>
      <c r="I74" s="317"/>
      <c r="J74" s="307"/>
      <c r="K74" s="319" t="s">
        <v>454</v>
      </c>
      <c r="L74" s="319"/>
      <c r="M74" s="319"/>
      <c r="N74" s="319"/>
      <c r="O74" s="319"/>
    </row>
    <row r="75" spans="2:26" x14ac:dyDescent="0.45">
      <c r="B75" s="367"/>
      <c r="C75" s="434">
        <f ca="1">O38</f>
        <v>5.468293341623208E-2</v>
      </c>
      <c r="D75" s="435">
        <f>+E75-0.5</f>
        <v>13</v>
      </c>
      <c r="E75" s="435">
        <f>+F75-0.5</f>
        <v>13.5</v>
      </c>
      <c r="F75" s="435">
        <v>14</v>
      </c>
      <c r="G75" s="435">
        <f>+F75+0.5</f>
        <v>14.5</v>
      </c>
      <c r="H75" s="435">
        <f>+G75+0.5</f>
        <v>15</v>
      </c>
      <c r="I75" s="317"/>
      <c r="J75" s="434">
        <f ca="1">O43</f>
        <v>23.165459294904469</v>
      </c>
      <c r="K75" s="439">
        <f>+L75-0.5</f>
        <v>6.5</v>
      </c>
      <c r="L75" s="439">
        <v>7</v>
      </c>
      <c r="M75" s="439">
        <v>14</v>
      </c>
      <c r="N75" s="439">
        <f>+M75+0.5</f>
        <v>14.5</v>
      </c>
      <c r="O75" s="439">
        <f>+N75+0.5</f>
        <v>15</v>
      </c>
    </row>
    <row r="76" spans="2:26" x14ac:dyDescent="0.45">
      <c r="B76" s="614" t="s">
        <v>15</v>
      </c>
      <c r="C76" s="436">
        <f>+C77-0.005</f>
        <v>7.0134866526277997E-2</v>
      </c>
      <c r="D76" s="380">
        <f t="dataTable" ref="D76:H80" dt2D="1" dtr="0" r1="E38" r2="E27" ca="1"/>
        <v>4.3027988563248735E-2</v>
      </c>
      <c r="E76" s="381">
        <v>4.400743527792577E-2</v>
      </c>
      <c r="F76" s="381">
        <v>4.4918570038091146E-2</v>
      </c>
      <c r="G76" s="381">
        <v>4.5768298690334962E-2</v>
      </c>
      <c r="H76" s="381">
        <v>4.6562626584039334E-2</v>
      </c>
      <c r="I76" s="614" t="s">
        <v>15</v>
      </c>
      <c r="J76" s="436">
        <f>+J77-0.005</f>
        <v>7.0134866526277997E-2</v>
      </c>
      <c r="K76" s="393">
        <f t="dataTable" ref="K76:O80" dt2D="1" dtr="0" r1="E38" r2="E27" ca="1"/>
        <v>12.33737454713679</v>
      </c>
      <c r="L76" s="394">
        <v>13.130643275608053</v>
      </c>
      <c r="M76" s="394">
        <v>24.236405474205736</v>
      </c>
      <c r="N76" s="394">
        <v>25.029674202676997</v>
      </c>
      <c r="O76" s="394">
        <v>25.822942931148258</v>
      </c>
    </row>
    <row r="77" spans="2:26" x14ac:dyDescent="0.45">
      <c r="B77" s="614"/>
      <c r="C77" s="436">
        <f>+C78-0.005</f>
        <v>7.5134866526278002E-2</v>
      </c>
      <c r="D77" s="380">
        <v>4.7901336872836014E-2</v>
      </c>
      <c r="E77" s="382">
        <v>4.8885359864510071E-2</v>
      </c>
      <c r="F77" s="382">
        <v>4.9800751727161613E-2</v>
      </c>
      <c r="G77" s="382">
        <v>5.0654450573624978E-2</v>
      </c>
      <c r="H77" s="381">
        <v>5.1452489812125926E-2</v>
      </c>
      <c r="I77" s="614"/>
      <c r="J77" s="436">
        <f>+J78-0.005</f>
        <v>7.5134866526278002E-2</v>
      </c>
      <c r="K77" s="395">
        <v>12.068635966042965</v>
      </c>
      <c r="L77" s="396">
        <v>12.843629669948507</v>
      </c>
      <c r="M77" s="396">
        <v>23.693541524626117</v>
      </c>
      <c r="N77" s="396">
        <v>24.46853522853166</v>
      </c>
      <c r="O77" s="396">
        <v>25.243528932437208</v>
      </c>
    </row>
    <row r="78" spans="2:26" x14ac:dyDescent="0.45">
      <c r="B78" s="614"/>
      <c r="C78" s="436">
        <v>8.0134866526278006E-2</v>
      </c>
      <c r="D78" s="380">
        <v>5.2774685182423293E-2</v>
      </c>
      <c r="E78" s="382">
        <v>5.3763284451094365E-2</v>
      </c>
      <c r="F78" s="437">
        <v>5.468293341623208E-2</v>
      </c>
      <c r="G78" s="382">
        <v>5.5540602456914993E-2</v>
      </c>
      <c r="H78" s="381">
        <v>5.6342353040212526E-2</v>
      </c>
      <c r="I78" s="614"/>
      <c r="J78" s="436">
        <v>8.0134866526278006E-2</v>
      </c>
      <c r="K78" s="395">
        <v>11.807135678737492</v>
      </c>
      <c r="L78" s="396">
        <v>12.564357253148623</v>
      </c>
      <c r="M78" s="439">
        <v>23.165459294904469</v>
      </c>
      <c r="N78" s="396">
        <v>23.922680869315602</v>
      </c>
      <c r="O78" s="396">
        <v>24.679902443726736</v>
      </c>
    </row>
    <row r="79" spans="2:26" x14ac:dyDescent="0.45">
      <c r="B79" s="614"/>
      <c r="C79" s="436">
        <f>+C78+0.005</f>
        <v>8.5134866526278011E-2</v>
      </c>
      <c r="D79" s="380">
        <v>5.7648033492010572E-2</v>
      </c>
      <c r="E79" s="382">
        <v>5.8641209037678652E-2</v>
      </c>
      <c r="F79" s="382">
        <v>5.9565115105302539E-2</v>
      </c>
      <c r="G79" s="382">
        <v>6.0426754340205002E-2</v>
      </c>
      <c r="H79" s="381">
        <v>6.1232216268299118E-2</v>
      </c>
      <c r="I79" s="614"/>
      <c r="J79" s="436">
        <f>+J78+0.005</f>
        <v>8.5134866526278011E-2</v>
      </c>
      <c r="K79" s="395">
        <v>11.552645015214344</v>
      </c>
      <c r="L79" s="396">
        <v>12.292581283818127</v>
      </c>
      <c r="M79" s="396">
        <v>22.651689044271055</v>
      </c>
      <c r="N79" s="396">
        <v>23.391625312874837</v>
      </c>
      <c r="O79" s="396">
        <v>24.131561581478621</v>
      </c>
    </row>
    <row r="80" spans="2:26" x14ac:dyDescent="0.45">
      <c r="B80" s="614"/>
      <c r="C80" s="436">
        <f>+C79+0.005</f>
        <v>9.0134866526278015E-2</v>
      </c>
      <c r="D80" s="380">
        <v>6.2521381801597858E-2</v>
      </c>
      <c r="E80" s="381">
        <v>6.3519133624262952E-2</v>
      </c>
      <c r="F80" s="381">
        <v>6.4447296794373013E-2</v>
      </c>
      <c r="G80" s="381">
        <v>6.5312906223495018E-2</v>
      </c>
      <c r="H80" s="381">
        <v>6.6122079496385711E-2</v>
      </c>
      <c r="I80" s="614"/>
      <c r="J80" s="436">
        <f>+J79+0.005</f>
        <v>9.0134866526278015E-2</v>
      </c>
      <c r="K80" s="395">
        <v>11.304943559335669</v>
      </c>
      <c r="L80" s="396">
        <v>12.02806585874036</v>
      </c>
      <c r="M80" s="396">
        <v>22.151778050406069</v>
      </c>
      <c r="N80" s="396">
        <v>22.874900349810762</v>
      </c>
      <c r="O80" s="396">
        <v>23.598022649215455</v>
      </c>
    </row>
    <row r="81" spans="1:230" x14ac:dyDescent="0.45">
      <c r="B81" s="377"/>
      <c r="C81" s="378"/>
      <c r="D81" s="365"/>
      <c r="E81" s="365"/>
      <c r="F81" s="365"/>
      <c r="G81" s="365"/>
      <c r="H81" s="365"/>
    </row>
    <row r="82" spans="1:230" x14ac:dyDescent="0.45">
      <c r="O82" s="307"/>
    </row>
    <row r="83" spans="1:230" x14ac:dyDescent="0.45">
      <c r="B83" s="307"/>
      <c r="C83" s="373"/>
      <c r="D83" s="374"/>
      <c r="E83" s="367"/>
      <c r="F83" s="431" t="s">
        <v>468</v>
      </c>
      <c r="G83" s="432"/>
      <c r="H83" s="432"/>
      <c r="I83" s="432"/>
      <c r="J83" s="432"/>
      <c r="K83" s="433"/>
      <c r="P83" s="309"/>
    </row>
    <row r="84" spans="1:230" x14ac:dyDescent="0.45">
      <c r="B84" s="307"/>
      <c r="C84" s="307"/>
      <c r="D84" s="358"/>
      <c r="E84" s="317"/>
      <c r="F84" s="307"/>
      <c r="G84" s="319" t="s">
        <v>454</v>
      </c>
      <c r="H84" s="319"/>
      <c r="I84" s="319"/>
      <c r="J84" s="319"/>
      <c r="K84" s="319"/>
      <c r="P84" s="309"/>
    </row>
    <row r="85" spans="1:230" x14ac:dyDescent="0.45">
      <c r="B85" s="361"/>
      <c r="C85" s="375"/>
      <c r="D85" s="361"/>
      <c r="E85" s="317"/>
      <c r="F85" s="434">
        <f ca="1">E42</f>
        <v>0.91525075387455779</v>
      </c>
      <c r="G85" s="435">
        <f>+H85-0.5</f>
        <v>13</v>
      </c>
      <c r="H85" s="435">
        <f>+I85-0.5</f>
        <v>13.5</v>
      </c>
      <c r="I85" s="435">
        <v>14</v>
      </c>
      <c r="J85" s="435">
        <f>+I85+0.5</f>
        <v>14.5</v>
      </c>
      <c r="K85" s="435">
        <f>+J85+0.5</f>
        <v>15</v>
      </c>
      <c r="P85" s="309"/>
    </row>
    <row r="86" spans="1:230" ht="12.75" customHeight="1" x14ac:dyDescent="0.45">
      <c r="B86" s="614"/>
      <c r="C86" s="378"/>
      <c r="D86" s="381"/>
      <c r="E86" s="614" t="s">
        <v>15</v>
      </c>
      <c r="F86" s="436">
        <f>+F87-0.005</f>
        <v>7.0134866526277997E-2</v>
      </c>
      <c r="G86" s="380">
        <f t="dataTable" ref="G86:K90" dt2D="1" dtr="0" r1="E38" r2="E27" ca="1"/>
        <v>0.91060075601910562</v>
      </c>
      <c r="H86" s="381">
        <v>0.91362584713076833</v>
      </c>
      <c r="I86" s="381">
        <v>0.91645291298804987</v>
      </c>
      <c r="J86" s="381">
        <v>0.91910078171158127</v>
      </c>
      <c r="K86" s="381">
        <v>0.92158596785775682</v>
      </c>
      <c r="P86" s="309"/>
    </row>
    <row r="87" spans="1:230" x14ac:dyDescent="0.45">
      <c r="B87" s="614"/>
      <c r="C87" s="378"/>
      <c r="D87" s="381"/>
      <c r="E87" s="614"/>
      <c r="F87" s="436">
        <f>+F88-0.005</f>
        <v>7.5134866526278002E-2</v>
      </c>
      <c r="G87" s="380">
        <v>0.90996396491939191</v>
      </c>
      <c r="H87" s="382">
        <v>0.91300854526793407</v>
      </c>
      <c r="I87" s="382">
        <v>0.91585395483411747</v>
      </c>
      <c r="J87" s="382">
        <v>0.91851911867016389</v>
      </c>
      <c r="K87" s="381">
        <v>0.92102063777980614</v>
      </c>
      <c r="P87" s="309"/>
    </row>
    <row r="88" spans="1:230" x14ac:dyDescent="0.45">
      <c r="B88" s="614"/>
      <c r="C88" s="378"/>
      <c r="D88" s="381"/>
      <c r="E88" s="614"/>
      <c r="F88" s="436">
        <v>8.0134866526278006E-2</v>
      </c>
      <c r="G88" s="380">
        <v>0.90932272193847918</v>
      </c>
      <c r="H88" s="382">
        <v>0.91238689825227592</v>
      </c>
      <c r="I88" s="437">
        <v>0.91525075387455779</v>
      </c>
      <c r="J88" s="382">
        <v>0.9179333109814235</v>
      </c>
      <c r="K88" s="381">
        <v>0.92045125721751775</v>
      </c>
      <c r="P88" s="309"/>
    </row>
    <row r="89" spans="1:230" x14ac:dyDescent="0.45">
      <c r="B89" s="614"/>
      <c r="C89" s="378"/>
      <c r="D89" s="381"/>
      <c r="E89" s="614"/>
      <c r="F89" s="436">
        <f>+F88+0.005</f>
        <v>8.5134866526278011E-2</v>
      </c>
      <c r="G89" s="380">
        <v>0.9086770130130245</v>
      </c>
      <c r="H89" s="382">
        <v>0.91176089183005526</v>
      </c>
      <c r="I89" s="382">
        <v>0.91464329571245839</v>
      </c>
      <c r="J89" s="382">
        <v>0.9173433441454365</v>
      </c>
      <c r="K89" s="381">
        <v>0.91987781160216486</v>
      </c>
      <c r="P89" s="309"/>
    </row>
    <row r="90" spans="1:230" x14ac:dyDescent="0.45">
      <c r="B90" s="614"/>
      <c r="C90" s="378"/>
      <c r="D90" s="381"/>
      <c r="E90" s="614"/>
      <c r="F90" s="436">
        <f>+F89+0.005</f>
        <v>9.0134866526278015E-2</v>
      </c>
      <c r="G90" s="380">
        <v>0.90802682425321402</v>
      </c>
      <c r="H90" s="381">
        <v>0.91113051190877137</v>
      </c>
      <c r="I90" s="381">
        <v>0.91403156610086445</v>
      </c>
      <c r="J90" s="381">
        <v>0.91674920380186886</v>
      </c>
      <c r="K90" s="381">
        <v>0.91930028649506501</v>
      </c>
      <c r="P90" s="309"/>
      <c r="S90" s="307"/>
      <c r="T90" s="307"/>
      <c r="U90" s="307"/>
      <c r="V90" s="307"/>
    </row>
    <row r="91" spans="1:230" s="307" customFormat="1" x14ac:dyDescent="0.45">
      <c r="A91" s="383"/>
      <c r="B91" s="353"/>
      <c r="C91" s="370"/>
      <c r="D91" s="370"/>
      <c r="E91" s="371"/>
      <c r="F91" s="348"/>
      <c r="G91" s="348"/>
      <c r="H91" s="348"/>
      <c r="I91" s="353"/>
      <c r="K91" s="384"/>
      <c r="L91" s="384"/>
      <c r="M91" s="384"/>
      <c r="N91" s="384"/>
      <c r="O91" s="384"/>
      <c r="AC91" s="383"/>
      <c r="AD91" s="383"/>
      <c r="AE91" s="383"/>
      <c r="AF91" s="383"/>
      <c r="AG91" s="383"/>
      <c r="AH91" s="383"/>
      <c r="AI91" s="383"/>
      <c r="AJ91" s="383"/>
      <c r="AK91" s="383"/>
      <c r="AL91" s="383"/>
      <c r="AM91" s="383"/>
      <c r="AN91" s="383"/>
      <c r="AO91" s="383"/>
      <c r="AP91" s="383"/>
      <c r="AQ91" s="383"/>
      <c r="AR91" s="383"/>
      <c r="AS91" s="383"/>
      <c r="AT91" s="383"/>
      <c r="AU91" s="383"/>
      <c r="AV91" s="383"/>
      <c r="AW91" s="383"/>
      <c r="AX91" s="383"/>
      <c r="AY91" s="383"/>
      <c r="AZ91" s="383"/>
      <c r="BA91" s="383"/>
      <c r="BB91" s="383"/>
      <c r="BC91" s="383"/>
      <c r="BD91" s="383"/>
      <c r="BE91" s="383"/>
      <c r="BF91" s="383"/>
      <c r="BG91" s="383"/>
      <c r="BH91" s="383"/>
      <c r="BI91" s="383"/>
      <c r="BJ91" s="383"/>
      <c r="BK91" s="383"/>
      <c r="BL91" s="383"/>
      <c r="BM91" s="383"/>
      <c r="BN91" s="383"/>
      <c r="BO91" s="383"/>
      <c r="BP91" s="383"/>
      <c r="BQ91" s="383"/>
      <c r="BR91" s="383"/>
      <c r="BS91" s="383"/>
      <c r="BT91" s="383"/>
      <c r="BU91" s="383"/>
      <c r="BV91" s="383"/>
      <c r="BW91" s="383"/>
      <c r="BX91" s="383"/>
      <c r="BY91" s="383"/>
      <c r="BZ91" s="383"/>
      <c r="CA91" s="383"/>
      <c r="CB91" s="383"/>
      <c r="CC91" s="383"/>
      <c r="CD91" s="383"/>
      <c r="CE91" s="383"/>
      <c r="CF91" s="383"/>
      <c r="CG91" s="383"/>
      <c r="CH91" s="383"/>
      <c r="CI91" s="383"/>
      <c r="CJ91" s="383"/>
      <c r="CK91" s="383"/>
      <c r="CL91" s="383"/>
      <c r="CM91" s="383"/>
      <c r="CN91" s="383"/>
      <c r="CO91" s="383"/>
      <c r="CP91" s="383"/>
      <c r="CQ91" s="383"/>
      <c r="CR91" s="383"/>
      <c r="CS91" s="383"/>
      <c r="CT91" s="383"/>
      <c r="CU91" s="383"/>
      <c r="CV91" s="383"/>
      <c r="CW91" s="383"/>
      <c r="CX91" s="383"/>
      <c r="CY91" s="383"/>
      <c r="CZ91" s="383"/>
      <c r="DA91" s="383"/>
      <c r="DB91" s="383"/>
      <c r="DC91" s="383"/>
      <c r="DD91" s="383"/>
      <c r="DE91" s="383"/>
      <c r="DF91" s="383"/>
      <c r="DG91" s="383"/>
      <c r="DH91" s="383"/>
      <c r="DI91" s="383"/>
      <c r="DJ91" s="383"/>
      <c r="DK91" s="383"/>
      <c r="DL91" s="383"/>
      <c r="DM91" s="383"/>
      <c r="DN91" s="383"/>
      <c r="DO91" s="383"/>
      <c r="DP91" s="383"/>
      <c r="DQ91" s="383"/>
      <c r="DR91" s="383"/>
      <c r="DS91" s="383"/>
      <c r="DT91" s="383"/>
      <c r="DU91" s="383"/>
      <c r="DV91" s="383"/>
      <c r="DW91" s="383"/>
      <c r="DX91" s="383"/>
      <c r="DY91" s="383"/>
      <c r="DZ91" s="383"/>
      <c r="EA91" s="383"/>
      <c r="EB91" s="383"/>
      <c r="EC91" s="383"/>
      <c r="ED91" s="383"/>
      <c r="EE91" s="383"/>
      <c r="EF91" s="383"/>
      <c r="EG91" s="383"/>
      <c r="EH91" s="383"/>
      <c r="EI91" s="383"/>
      <c r="EJ91" s="383"/>
      <c r="EK91" s="383"/>
      <c r="EL91" s="383"/>
      <c r="EM91" s="383"/>
      <c r="EN91" s="383"/>
      <c r="EO91" s="383"/>
      <c r="EP91" s="383"/>
      <c r="EQ91" s="383"/>
      <c r="ER91" s="383"/>
      <c r="ES91" s="383"/>
      <c r="ET91" s="383"/>
      <c r="EU91" s="383"/>
      <c r="EV91" s="383"/>
      <c r="EW91" s="383"/>
      <c r="EX91" s="383"/>
      <c r="EY91" s="383"/>
      <c r="EZ91" s="383"/>
      <c r="FA91" s="383"/>
      <c r="FB91" s="383"/>
      <c r="FC91" s="383"/>
      <c r="FD91" s="383"/>
      <c r="FE91" s="383"/>
      <c r="FF91" s="383"/>
      <c r="FG91" s="383"/>
      <c r="FH91" s="383"/>
      <c r="FI91" s="383"/>
      <c r="FJ91" s="383"/>
      <c r="FK91" s="383"/>
      <c r="FL91" s="383"/>
      <c r="FM91" s="383"/>
      <c r="FN91" s="383"/>
      <c r="FO91" s="383"/>
      <c r="FP91" s="383"/>
      <c r="FQ91" s="383"/>
      <c r="FR91" s="383"/>
      <c r="FS91" s="383"/>
      <c r="FT91" s="383"/>
      <c r="FU91" s="383"/>
      <c r="FV91" s="383"/>
      <c r="FW91" s="383"/>
      <c r="FX91" s="383"/>
      <c r="FY91" s="383"/>
      <c r="FZ91" s="383"/>
      <c r="GA91" s="383"/>
      <c r="GB91" s="383"/>
      <c r="GC91" s="383"/>
      <c r="GD91" s="383"/>
      <c r="GE91" s="383"/>
      <c r="GF91" s="383"/>
      <c r="GG91" s="383"/>
      <c r="GH91" s="383"/>
      <c r="GI91" s="383"/>
      <c r="GJ91" s="383"/>
      <c r="GK91" s="383"/>
      <c r="GL91" s="383"/>
      <c r="GM91" s="383"/>
      <c r="GN91" s="383"/>
      <c r="GO91" s="383"/>
      <c r="GP91" s="383"/>
      <c r="GQ91" s="383"/>
      <c r="GR91" s="383"/>
      <c r="GS91" s="383"/>
      <c r="GT91" s="383"/>
      <c r="GU91" s="383"/>
      <c r="GV91" s="383"/>
      <c r="GW91" s="383"/>
      <c r="GX91" s="383"/>
      <c r="GY91" s="383"/>
      <c r="GZ91" s="383"/>
      <c r="HA91" s="383"/>
      <c r="HB91" s="383"/>
      <c r="HC91" s="383"/>
      <c r="HD91" s="383"/>
      <c r="HE91" s="383"/>
      <c r="HF91" s="383"/>
      <c r="HG91" s="383"/>
      <c r="HH91" s="383"/>
      <c r="HI91" s="383"/>
      <c r="HJ91" s="383"/>
      <c r="HK91" s="383"/>
      <c r="HL91" s="383"/>
      <c r="HM91" s="383"/>
      <c r="HN91" s="383"/>
      <c r="HO91" s="383"/>
      <c r="HP91" s="383"/>
      <c r="HQ91" s="383"/>
      <c r="HR91" s="383"/>
      <c r="HS91" s="383"/>
      <c r="HT91" s="383"/>
      <c r="HU91" s="383"/>
      <c r="HV91" s="383"/>
    </row>
    <row r="92" spans="1:230" s="307" customFormat="1" x14ac:dyDescent="0.45">
      <c r="A92" s="383"/>
      <c r="B92" s="385"/>
      <c r="C92" s="386"/>
      <c r="D92" s="386"/>
      <c r="E92" s="387"/>
      <c r="F92" s="388"/>
      <c r="G92" s="388"/>
      <c r="H92" s="388"/>
      <c r="I92" s="385"/>
      <c r="J92" s="389"/>
      <c r="K92" s="390"/>
      <c r="L92" s="390"/>
      <c r="M92" s="390"/>
      <c r="N92" s="390"/>
      <c r="O92" s="390"/>
      <c r="AC92" s="383"/>
      <c r="AD92" s="383"/>
      <c r="AE92" s="383"/>
      <c r="AF92" s="383"/>
      <c r="AG92" s="383"/>
      <c r="AH92" s="383"/>
      <c r="AI92" s="383"/>
      <c r="AJ92" s="383"/>
      <c r="AK92" s="383"/>
      <c r="AL92" s="383"/>
      <c r="AM92" s="383"/>
      <c r="AN92" s="383"/>
      <c r="AO92" s="383"/>
      <c r="AP92" s="383"/>
      <c r="AQ92" s="383"/>
      <c r="AR92" s="383"/>
      <c r="AS92" s="383"/>
      <c r="AT92" s="383"/>
      <c r="AU92" s="383"/>
      <c r="AV92" s="383"/>
      <c r="AW92" s="383"/>
      <c r="AX92" s="383"/>
      <c r="AY92" s="383"/>
      <c r="AZ92" s="383"/>
      <c r="BA92" s="383"/>
      <c r="BB92" s="383"/>
      <c r="BC92" s="383"/>
      <c r="BD92" s="383"/>
      <c r="BE92" s="383"/>
      <c r="BF92" s="383"/>
      <c r="BG92" s="383"/>
      <c r="BH92" s="383"/>
      <c r="BI92" s="383"/>
      <c r="BJ92" s="383"/>
      <c r="BK92" s="383"/>
      <c r="BL92" s="383"/>
      <c r="BM92" s="383"/>
      <c r="BN92" s="383"/>
      <c r="BO92" s="383"/>
      <c r="BP92" s="383"/>
      <c r="BQ92" s="383"/>
      <c r="BR92" s="383"/>
      <c r="BS92" s="383"/>
      <c r="BT92" s="383"/>
      <c r="BU92" s="383"/>
      <c r="BV92" s="383"/>
      <c r="BW92" s="383"/>
      <c r="BX92" s="383"/>
      <c r="BY92" s="383"/>
      <c r="BZ92" s="383"/>
      <c r="CA92" s="383"/>
      <c r="CB92" s="383"/>
      <c r="CC92" s="383"/>
      <c r="CD92" s="383"/>
      <c r="CE92" s="383"/>
      <c r="CF92" s="383"/>
      <c r="CG92" s="383"/>
      <c r="CH92" s="383"/>
      <c r="CI92" s="383"/>
      <c r="CJ92" s="383"/>
      <c r="CK92" s="383"/>
      <c r="CL92" s="383"/>
      <c r="CM92" s="383"/>
      <c r="CN92" s="383"/>
      <c r="CO92" s="383"/>
      <c r="CP92" s="383"/>
      <c r="CQ92" s="383"/>
      <c r="CR92" s="383"/>
      <c r="CS92" s="383"/>
      <c r="CT92" s="383"/>
      <c r="CU92" s="383"/>
      <c r="CV92" s="383"/>
      <c r="CW92" s="383"/>
      <c r="CX92" s="383"/>
      <c r="CY92" s="383"/>
      <c r="CZ92" s="383"/>
      <c r="DA92" s="383"/>
      <c r="DB92" s="383"/>
      <c r="DC92" s="383"/>
      <c r="DD92" s="383"/>
      <c r="DE92" s="383"/>
      <c r="DF92" s="383"/>
      <c r="DG92" s="383"/>
      <c r="DH92" s="383"/>
      <c r="DI92" s="383"/>
      <c r="DJ92" s="383"/>
      <c r="DK92" s="383"/>
      <c r="DL92" s="383"/>
      <c r="DM92" s="383"/>
      <c r="DN92" s="383"/>
      <c r="DO92" s="383"/>
      <c r="DP92" s="383"/>
      <c r="DQ92" s="383"/>
      <c r="DR92" s="383"/>
      <c r="DS92" s="383"/>
      <c r="DT92" s="383"/>
      <c r="DU92" s="383"/>
      <c r="DV92" s="383"/>
      <c r="DW92" s="383"/>
      <c r="DX92" s="383"/>
      <c r="DY92" s="383"/>
      <c r="DZ92" s="383"/>
      <c r="EA92" s="383"/>
      <c r="EB92" s="383"/>
      <c r="EC92" s="383"/>
      <c r="ED92" s="383"/>
      <c r="EE92" s="383"/>
      <c r="EF92" s="383"/>
      <c r="EG92" s="383"/>
      <c r="EH92" s="383"/>
      <c r="EI92" s="383"/>
      <c r="EJ92" s="383"/>
      <c r="EK92" s="383"/>
      <c r="EL92" s="383"/>
      <c r="EM92" s="383"/>
      <c r="EN92" s="383"/>
      <c r="EO92" s="383"/>
      <c r="EP92" s="383"/>
      <c r="EQ92" s="383"/>
      <c r="ER92" s="383"/>
      <c r="ES92" s="383"/>
      <c r="ET92" s="383"/>
      <c r="EU92" s="383"/>
      <c r="EV92" s="383"/>
      <c r="EW92" s="383"/>
      <c r="EX92" s="383"/>
      <c r="EY92" s="383"/>
      <c r="EZ92" s="383"/>
      <c r="FA92" s="383"/>
      <c r="FB92" s="383"/>
      <c r="FC92" s="383"/>
      <c r="FD92" s="383"/>
      <c r="FE92" s="383"/>
      <c r="FF92" s="383"/>
      <c r="FG92" s="383"/>
      <c r="FH92" s="383"/>
      <c r="FI92" s="383"/>
      <c r="FJ92" s="383"/>
      <c r="FK92" s="383"/>
      <c r="FL92" s="383"/>
      <c r="FM92" s="383"/>
      <c r="FN92" s="383"/>
      <c r="FO92" s="383"/>
      <c r="FP92" s="383"/>
      <c r="FQ92" s="383"/>
      <c r="FR92" s="383"/>
      <c r="FS92" s="383"/>
      <c r="FT92" s="383"/>
      <c r="FU92" s="383"/>
      <c r="FV92" s="383"/>
      <c r="FW92" s="383"/>
      <c r="FX92" s="383"/>
      <c r="FY92" s="383"/>
      <c r="FZ92" s="383"/>
      <c r="GA92" s="383"/>
      <c r="GB92" s="383"/>
      <c r="GC92" s="383"/>
      <c r="GD92" s="383"/>
      <c r="GE92" s="383"/>
      <c r="GF92" s="383"/>
      <c r="GG92" s="383"/>
      <c r="GH92" s="383"/>
      <c r="GI92" s="383"/>
      <c r="GJ92" s="383"/>
      <c r="GK92" s="383"/>
      <c r="GL92" s="383"/>
      <c r="GM92" s="383"/>
      <c r="GN92" s="383"/>
      <c r="GO92" s="383"/>
      <c r="GP92" s="383"/>
      <c r="GQ92" s="383"/>
      <c r="GR92" s="383"/>
      <c r="GS92" s="383"/>
      <c r="GT92" s="383"/>
      <c r="GU92" s="383"/>
      <c r="GV92" s="383"/>
      <c r="GW92" s="383"/>
      <c r="GX92" s="383"/>
      <c r="GY92" s="383"/>
      <c r="GZ92" s="383"/>
      <c r="HA92" s="383"/>
      <c r="HB92" s="383"/>
      <c r="HC92" s="383"/>
      <c r="HD92" s="383"/>
      <c r="HE92" s="383"/>
      <c r="HF92" s="383"/>
      <c r="HG92" s="383"/>
      <c r="HH92" s="383"/>
      <c r="HI92" s="383"/>
      <c r="HJ92" s="383"/>
      <c r="HK92" s="383"/>
      <c r="HL92" s="383"/>
      <c r="HM92" s="383"/>
      <c r="HN92" s="383"/>
      <c r="HO92" s="383"/>
      <c r="HP92" s="383"/>
      <c r="HQ92" s="383"/>
      <c r="HR92" s="383"/>
      <c r="HS92" s="383"/>
      <c r="HT92" s="383"/>
      <c r="HU92" s="383"/>
      <c r="HV92" s="383"/>
    </row>
    <row r="93" spans="1:230" s="307" customFormat="1" x14ac:dyDescent="0.45">
      <c r="A93" s="383"/>
      <c r="B93" s="353"/>
      <c r="C93" s="370"/>
      <c r="D93" s="370"/>
      <c r="E93" s="371"/>
      <c r="F93" s="348"/>
      <c r="G93" s="348"/>
      <c r="H93" s="348"/>
      <c r="I93" s="353"/>
      <c r="K93" s="384"/>
      <c r="L93" s="384"/>
      <c r="M93" s="384"/>
      <c r="N93" s="384"/>
      <c r="O93" s="384"/>
      <c r="AC93" s="383"/>
      <c r="AD93" s="383"/>
      <c r="AE93" s="383"/>
      <c r="AF93" s="383"/>
      <c r="AG93" s="383"/>
      <c r="AH93" s="383"/>
      <c r="AI93" s="383"/>
      <c r="AJ93" s="383"/>
      <c r="AK93" s="383"/>
      <c r="AL93" s="383"/>
      <c r="AM93" s="383"/>
      <c r="AN93" s="383"/>
      <c r="AO93" s="383"/>
      <c r="AP93" s="383"/>
      <c r="AQ93" s="383"/>
      <c r="AR93" s="383"/>
      <c r="AS93" s="383"/>
      <c r="AT93" s="383"/>
      <c r="AU93" s="383"/>
      <c r="AV93" s="383"/>
      <c r="AW93" s="383"/>
      <c r="AX93" s="383"/>
      <c r="AY93" s="383"/>
      <c r="AZ93" s="383"/>
      <c r="BA93" s="383"/>
      <c r="BB93" s="383"/>
      <c r="BC93" s="383"/>
      <c r="BD93" s="383"/>
      <c r="BE93" s="383"/>
      <c r="BF93" s="383"/>
      <c r="BG93" s="383"/>
      <c r="BH93" s="383"/>
      <c r="BI93" s="383"/>
      <c r="BJ93" s="383"/>
      <c r="BK93" s="383"/>
      <c r="BL93" s="383"/>
      <c r="BM93" s="383"/>
      <c r="BN93" s="383"/>
      <c r="BO93" s="383"/>
      <c r="BP93" s="383"/>
      <c r="BQ93" s="383"/>
      <c r="BR93" s="383"/>
      <c r="BS93" s="383"/>
      <c r="BT93" s="383"/>
      <c r="BU93" s="383"/>
      <c r="BV93" s="383"/>
      <c r="BW93" s="383"/>
      <c r="BX93" s="383"/>
      <c r="BY93" s="383"/>
      <c r="BZ93" s="383"/>
      <c r="CA93" s="383"/>
      <c r="CB93" s="383"/>
      <c r="CC93" s="383"/>
      <c r="CD93" s="383"/>
      <c r="CE93" s="383"/>
      <c r="CF93" s="383"/>
      <c r="CG93" s="383"/>
      <c r="CH93" s="383"/>
      <c r="CI93" s="383"/>
      <c r="CJ93" s="383"/>
      <c r="CK93" s="383"/>
      <c r="CL93" s="383"/>
      <c r="CM93" s="383"/>
      <c r="CN93" s="383"/>
      <c r="CO93" s="383"/>
      <c r="CP93" s="383"/>
      <c r="CQ93" s="383"/>
      <c r="CR93" s="383"/>
      <c r="CS93" s="383"/>
      <c r="CT93" s="383"/>
      <c r="CU93" s="383"/>
      <c r="CV93" s="383"/>
      <c r="CW93" s="383"/>
      <c r="CX93" s="383"/>
      <c r="CY93" s="383"/>
      <c r="CZ93" s="383"/>
      <c r="DA93" s="383"/>
      <c r="DB93" s="383"/>
      <c r="DC93" s="383"/>
      <c r="DD93" s="383"/>
      <c r="DE93" s="383"/>
      <c r="DF93" s="383"/>
      <c r="DG93" s="383"/>
      <c r="DH93" s="383"/>
      <c r="DI93" s="383"/>
      <c r="DJ93" s="383"/>
      <c r="DK93" s="383"/>
      <c r="DL93" s="383"/>
      <c r="DM93" s="383"/>
      <c r="DN93" s="383"/>
      <c r="DO93" s="383"/>
      <c r="DP93" s="383"/>
      <c r="DQ93" s="383"/>
      <c r="DR93" s="383"/>
      <c r="DS93" s="383"/>
      <c r="DT93" s="383"/>
      <c r="DU93" s="383"/>
      <c r="DV93" s="383"/>
      <c r="DW93" s="383"/>
      <c r="DX93" s="383"/>
      <c r="DY93" s="383"/>
      <c r="DZ93" s="383"/>
      <c r="EA93" s="383"/>
      <c r="EB93" s="383"/>
      <c r="EC93" s="383"/>
      <c r="ED93" s="383"/>
      <c r="EE93" s="383"/>
      <c r="EF93" s="383"/>
      <c r="EG93" s="383"/>
      <c r="EH93" s="383"/>
      <c r="EI93" s="383"/>
      <c r="EJ93" s="383"/>
      <c r="EK93" s="383"/>
      <c r="EL93" s="383"/>
      <c r="EM93" s="383"/>
      <c r="EN93" s="383"/>
      <c r="EO93" s="383"/>
      <c r="EP93" s="383"/>
      <c r="EQ93" s="383"/>
      <c r="ER93" s="383"/>
      <c r="ES93" s="383"/>
      <c r="ET93" s="383"/>
      <c r="EU93" s="383"/>
      <c r="EV93" s="383"/>
      <c r="EW93" s="383"/>
      <c r="EX93" s="383"/>
      <c r="EY93" s="383"/>
      <c r="EZ93" s="383"/>
      <c r="FA93" s="383"/>
      <c r="FB93" s="383"/>
      <c r="FC93" s="383"/>
      <c r="FD93" s="383"/>
      <c r="FE93" s="383"/>
      <c r="FF93" s="383"/>
      <c r="FG93" s="383"/>
      <c r="FH93" s="383"/>
      <c r="FI93" s="383"/>
      <c r="FJ93" s="383"/>
      <c r="FK93" s="383"/>
      <c r="FL93" s="383"/>
      <c r="FM93" s="383"/>
      <c r="FN93" s="383"/>
      <c r="FO93" s="383"/>
      <c r="FP93" s="383"/>
      <c r="FQ93" s="383"/>
      <c r="FR93" s="383"/>
      <c r="FS93" s="383"/>
      <c r="FT93" s="383"/>
      <c r="FU93" s="383"/>
      <c r="FV93" s="383"/>
      <c r="FW93" s="383"/>
      <c r="FX93" s="383"/>
      <c r="FY93" s="383"/>
      <c r="FZ93" s="383"/>
      <c r="GA93" s="383"/>
      <c r="GB93" s="383"/>
      <c r="GC93" s="383"/>
      <c r="GD93" s="383"/>
      <c r="GE93" s="383"/>
      <c r="GF93" s="383"/>
      <c r="GG93" s="383"/>
      <c r="GH93" s="383"/>
      <c r="GI93" s="383"/>
      <c r="GJ93" s="383"/>
      <c r="GK93" s="383"/>
      <c r="GL93" s="383"/>
      <c r="GM93" s="383"/>
      <c r="GN93" s="383"/>
      <c r="GO93" s="383"/>
      <c r="GP93" s="383"/>
      <c r="GQ93" s="383"/>
      <c r="GR93" s="383"/>
      <c r="GS93" s="383"/>
      <c r="GT93" s="383"/>
      <c r="GU93" s="383"/>
      <c r="GV93" s="383"/>
      <c r="GW93" s="383"/>
      <c r="GX93" s="383"/>
      <c r="GY93" s="383"/>
      <c r="GZ93" s="383"/>
      <c r="HA93" s="383"/>
      <c r="HB93" s="383"/>
      <c r="HC93" s="383"/>
      <c r="HD93" s="383"/>
      <c r="HE93" s="383"/>
      <c r="HF93" s="383"/>
      <c r="HG93" s="383"/>
      <c r="HH93" s="383"/>
      <c r="HI93" s="383"/>
      <c r="HJ93" s="383"/>
      <c r="HK93" s="383"/>
      <c r="HL93" s="383"/>
      <c r="HM93" s="383"/>
      <c r="HN93" s="383"/>
      <c r="HO93" s="383"/>
      <c r="HP93" s="383"/>
      <c r="HQ93" s="383"/>
      <c r="HR93" s="383"/>
      <c r="HS93" s="383"/>
      <c r="HT93" s="383"/>
      <c r="HU93" s="383"/>
      <c r="HV93" s="383"/>
    </row>
    <row r="94" spans="1:230" s="307" customFormat="1" x14ac:dyDescent="0.45">
      <c r="A94" s="317"/>
      <c r="B94" s="353"/>
      <c r="C94" s="370"/>
      <c r="D94" s="370"/>
      <c r="E94" s="371"/>
      <c r="F94" s="348"/>
      <c r="G94" s="348"/>
      <c r="H94" s="348"/>
      <c r="I94" s="353"/>
      <c r="K94" s="384"/>
      <c r="L94" s="384"/>
      <c r="M94" s="384"/>
      <c r="N94" s="384"/>
      <c r="O94" s="384"/>
      <c r="S94" s="309"/>
      <c r="T94" s="309"/>
      <c r="U94" s="309"/>
      <c r="V94" s="309"/>
      <c r="AC94" s="317"/>
      <c r="AD94" s="317"/>
      <c r="AE94" s="317"/>
      <c r="AF94" s="317"/>
      <c r="AG94" s="317"/>
      <c r="AH94" s="317"/>
      <c r="AI94" s="317"/>
      <c r="AJ94" s="317"/>
      <c r="AK94" s="317"/>
      <c r="AL94" s="317"/>
      <c r="AM94" s="317"/>
      <c r="AN94" s="317"/>
      <c r="AO94" s="317"/>
      <c r="AP94" s="317"/>
      <c r="AQ94" s="317"/>
      <c r="AR94" s="317"/>
      <c r="AS94" s="317"/>
      <c r="AT94" s="317"/>
      <c r="AU94" s="317"/>
      <c r="AV94" s="317"/>
      <c r="AW94" s="317"/>
      <c r="AX94" s="317"/>
      <c r="AY94" s="317"/>
      <c r="AZ94" s="317"/>
      <c r="BA94" s="317"/>
      <c r="BB94" s="317"/>
      <c r="BC94" s="317"/>
      <c r="BD94" s="317"/>
      <c r="BE94" s="317"/>
      <c r="BF94" s="317"/>
      <c r="BG94" s="317"/>
      <c r="BH94" s="317"/>
      <c r="BI94" s="317"/>
      <c r="BJ94" s="317"/>
      <c r="BK94" s="317"/>
      <c r="BL94" s="317"/>
      <c r="BM94" s="317"/>
      <c r="BN94" s="317"/>
      <c r="BO94" s="317"/>
      <c r="BP94" s="317"/>
      <c r="BQ94" s="317"/>
      <c r="BR94" s="317"/>
      <c r="BS94" s="317"/>
      <c r="BT94" s="317"/>
      <c r="BU94" s="317"/>
      <c r="BV94" s="317"/>
      <c r="BW94" s="317"/>
      <c r="BX94" s="317"/>
      <c r="BY94" s="317"/>
      <c r="BZ94" s="317"/>
      <c r="CA94" s="317"/>
      <c r="CB94" s="317"/>
      <c r="CC94" s="317"/>
      <c r="CD94" s="317"/>
      <c r="CE94" s="317"/>
      <c r="CF94" s="317"/>
      <c r="CG94" s="317"/>
      <c r="CH94" s="317"/>
      <c r="CI94" s="317"/>
      <c r="CJ94" s="317"/>
      <c r="CK94" s="317"/>
      <c r="CL94" s="317"/>
      <c r="CM94" s="317"/>
      <c r="CN94" s="317"/>
      <c r="CO94" s="317"/>
      <c r="CP94" s="317"/>
      <c r="CQ94" s="317"/>
      <c r="CR94" s="317"/>
      <c r="CS94" s="317"/>
      <c r="CT94" s="317"/>
      <c r="CU94" s="317"/>
      <c r="CV94" s="317"/>
      <c r="CW94" s="317"/>
      <c r="CX94" s="317"/>
      <c r="CY94" s="317"/>
      <c r="CZ94" s="317"/>
      <c r="DA94" s="317"/>
      <c r="DB94" s="317"/>
      <c r="DC94" s="317"/>
      <c r="DD94" s="317"/>
      <c r="DE94" s="317"/>
      <c r="DF94" s="317"/>
      <c r="DG94" s="317"/>
      <c r="DH94" s="317"/>
      <c r="DI94" s="317"/>
      <c r="DJ94" s="317"/>
      <c r="DK94" s="317"/>
      <c r="DL94" s="317"/>
      <c r="DM94" s="317"/>
      <c r="DN94" s="317"/>
      <c r="DO94" s="317"/>
      <c r="DP94" s="317"/>
      <c r="DQ94" s="317"/>
      <c r="DR94" s="317"/>
      <c r="DS94" s="317"/>
      <c r="DT94" s="317"/>
      <c r="DU94" s="317"/>
      <c r="DV94" s="317"/>
      <c r="DW94" s="317"/>
      <c r="DX94" s="317"/>
      <c r="DY94" s="317"/>
      <c r="DZ94" s="317"/>
      <c r="EA94" s="317"/>
      <c r="EB94" s="317"/>
      <c r="EC94" s="317"/>
      <c r="ED94" s="317"/>
      <c r="EE94" s="317"/>
      <c r="EF94" s="317"/>
      <c r="EG94" s="317"/>
      <c r="EH94" s="317"/>
      <c r="EI94" s="317"/>
      <c r="EJ94" s="317"/>
      <c r="EK94" s="317"/>
      <c r="EL94" s="317"/>
      <c r="EM94" s="317"/>
      <c r="EN94" s="317"/>
      <c r="EO94" s="317"/>
      <c r="EP94" s="317"/>
      <c r="EQ94" s="317"/>
      <c r="ER94" s="317"/>
      <c r="ES94" s="317"/>
      <c r="ET94" s="317"/>
      <c r="EU94" s="317"/>
      <c r="EV94" s="317"/>
      <c r="EW94" s="317"/>
      <c r="EX94" s="317"/>
      <c r="EY94" s="317"/>
      <c r="EZ94" s="317"/>
      <c r="FA94" s="317"/>
      <c r="FB94" s="317"/>
      <c r="FC94" s="317"/>
      <c r="FD94" s="317"/>
      <c r="FE94" s="317"/>
      <c r="FF94" s="317"/>
      <c r="FG94" s="317"/>
      <c r="FH94" s="317"/>
      <c r="FI94" s="317"/>
      <c r="FJ94" s="317"/>
      <c r="FK94" s="317"/>
      <c r="FL94" s="317"/>
      <c r="FM94" s="317"/>
      <c r="FN94" s="317"/>
      <c r="FO94" s="317"/>
      <c r="FP94" s="317"/>
      <c r="FQ94" s="317"/>
      <c r="FR94" s="317"/>
      <c r="FS94" s="317"/>
      <c r="FT94" s="317"/>
      <c r="FU94" s="317"/>
      <c r="FV94" s="317"/>
      <c r="FW94" s="317"/>
      <c r="FX94" s="317"/>
      <c r="FY94" s="317"/>
      <c r="FZ94" s="317"/>
      <c r="GA94" s="317"/>
      <c r="GB94" s="317"/>
      <c r="GC94" s="317"/>
      <c r="GD94" s="317"/>
      <c r="GE94" s="317"/>
      <c r="GF94" s="317"/>
      <c r="GG94" s="317"/>
      <c r="GH94" s="317"/>
      <c r="GI94" s="317"/>
      <c r="GJ94" s="317"/>
      <c r="GK94" s="317"/>
      <c r="GL94" s="317"/>
      <c r="GM94" s="317"/>
      <c r="GN94" s="317"/>
      <c r="GO94" s="317"/>
      <c r="GP94" s="317"/>
      <c r="GQ94" s="317"/>
      <c r="GR94" s="317"/>
      <c r="GS94" s="317"/>
      <c r="GT94" s="317"/>
      <c r="GU94" s="317"/>
      <c r="GV94" s="317"/>
      <c r="GW94" s="317"/>
      <c r="GX94" s="317"/>
      <c r="GY94" s="317"/>
      <c r="GZ94" s="317"/>
      <c r="HA94" s="317"/>
      <c r="HB94" s="317"/>
      <c r="HC94" s="317"/>
      <c r="HD94" s="317"/>
      <c r="HE94" s="317"/>
      <c r="HF94" s="317"/>
      <c r="HG94" s="317"/>
      <c r="HH94" s="317"/>
      <c r="HI94" s="317"/>
      <c r="HJ94" s="317"/>
      <c r="HK94" s="317"/>
      <c r="HL94" s="317"/>
      <c r="HM94" s="317"/>
      <c r="HN94" s="317"/>
      <c r="HO94" s="317"/>
      <c r="HP94" s="317"/>
      <c r="HQ94" s="317"/>
      <c r="HR94" s="317"/>
      <c r="HS94" s="317"/>
      <c r="HT94" s="317"/>
      <c r="HU94" s="317"/>
      <c r="HV94" s="317"/>
    </row>
    <row r="95" spans="1:230" x14ac:dyDescent="0.45">
      <c r="B95" s="315" t="s">
        <v>469</v>
      </c>
      <c r="C95" s="315"/>
      <c r="D95" s="315"/>
      <c r="E95" s="315"/>
      <c r="F95" s="315"/>
      <c r="P95" s="309"/>
    </row>
    <row r="96" spans="1:230" x14ac:dyDescent="0.45">
      <c r="B96" s="397" t="s">
        <v>17</v>
      </c>
      <c r="C96" s="397"/>
      <c r="D96" s="397"/>
      <c r="E96" s="398"/>
      <c r="F96" s="325">
        <f ca="1">+J34</f>
        <v>1244193.6532700241</v>
      </c>
      <c r="P96" s="309"/>
    </row>
    <row r="97" spans="1:16" x14ac:dyDescent="0.45">
      <c r="B97" s="398" t="s">
        <v>451</v>
      </c>
      <c r="C97" s="398"/>
      <c r="D97" s="398"/>
      <c r="E97" s="398"/>
      <c r="F97" s="344">
        <f>+J35</f>
        <v>67084</v>
      </c>
      <c r="P97" s="309"/>
    </row>
    <row r="98" spans="1:16" x14ac:dyDescent="0.45">
      <c r="B98" s="398" t="s">
        <v>455</v>
      </c>
      <c r="C98" s="398"/>
      <c r="D98" s="398"/>
      <c r="E98" s="398"/>
      <c r="F98" s="344">
        <f>+J38</f>
        <v>64405</v>
      </c>
      <c r="P98" s="309"/>
    </row>
    <row r="99" spans="1:16" x14ac:dyDescent="0.45">
      <c r="B99" s="401" t="s">
        <v>458</v>
      </c>
      <c r="C99" s="401"/>
      <c r="D99" s="401"/>
      <c r="E99" s="402"/>
      <c r="F99" s="440">
        <f ca="1">F96+SUM(F97:F98)</f>
        <v>1375682.6532700241</v>
      </c>
      <c r="P99" s="309"/>
    </row>
    <row r="100" spans="1:16" x14ac:dyDescent="0.45">
      <c r="B100" s="397"/>
      <c r="C100" s="397"/>
      <c r="D100" s="397"/>
      <c r="E100" s="398"/>
      <c r="F100" s="399"/>
      <c r="P100" s="309"/>
    </row>
    <row r="101" spans="1:16" x14ac:dyDescent="0.45">
      <c r="A101" s="307"/>
      <c r="B101" s="316" t="s">
        <v>470</v>
      </c>
      <c r="C101" s="317"/>
      <c r="D101" s="317"/>
      <c r="E101" s="317"/>
      <c r="F101" s="441">
        <f>J42</f>
        <v>10347</v>
      </c>
      <c r="P101" s="309"/>
    </row>
    <row r="102" spans="1:16" x14ac:dyDescent="0.45">
      <c r="A102" s="307"/>
      <c r="B102" s="398" t="s">
        <v>464</v>
      </c>
      <c r="C102" s="398"/>
      <c r="D102" s="398"/>
      <c r="E102" s="398"/>
      <c r="F102" s="400">
        <f ca="1">+IF(ISERROR(F99/F101),0,F99/F101)</f>
        <v>132.95473598821147</v>
      </c>
      <c r="P102" s="309"/>
    </row>
    <row r="103" spans="1:16" x14ac:dyDescent="0.45">
      <c r="B103" s="401" t="s">
        <v>476</v>
      </c>
      <c r="C103" s="401"/>
      <c r="D103" s="401"/>
      <c r="E103" s="402"/>
      <c r="F103" s="403">
        <f>WACC!F46</f>
        <v>105.45</v>
      </c>
    </row>
    <row r="104" spans="1:16" x14ac:dyDescent="0.45">
      <c r="B104" s="397" t="s">
        <v>477</v>
      </c>
      <c r="C104" s="397"/>
      <c r="D104" s="397"/>
      <c r="E104" s="398"/>
      <c r="F104" s="404">
        <f ca="1">F102/F103-1</f>
        <v>0.26083201506127507</v>
      </c>
    </row>
    <row r="105" spans="1:16" x14ac:dyDescent="0.45">
      <c r="B105" s="442" t="s">
        <v>622</v>
      </c>
      <c r="C105" s="397"/>
      <c r="D105" s="397"/>
      <c r="E105" s="398"/>
      <c r="F105" s="443">
        <f ca="1">F103/F102</f>
        <v>0.7931270685186409</v>
      </c>
    </row>
    <row r="113" spans="3:22" x14ac:dyDescent="0.45">
      <c r="S113" s="307"/>
      <c r="T113" s="307"/>
      <c r="U113" s="307"/>
      <c r="V113" s="307"/>
    </row>
    <row r="114" spans="3:22" s="307" customFormat="1" x14ac:dyDescent="0.45">
      <c r="C114" s="309"/>
      <c r="D114" s="309"/>
      <c r="E114" s="309"/>
      <c r="F114" s="309"/>
      <c r="G114" s="309"/>
      <c r="H114" s="309"/>
      <c r="I114" s="309"/>
      <c r="J114" s="309"/>
      <c r="K114" s="309"/>
      <c r="L114" s="309"/>
      <c r="M114" s="309"/>
      <c r="N114" s="309"/>
      <c r="O114" s="309"/>
      <c r="Q114" s="309"/>
    </row>
    <row r="115" spans="3:22" s="307" customFormat="1" x14ac:dyDescent="0.45">
      <c r="C115" s="309"/>
      <c r="D115" s="309"/>
      <c r="E115" s="309"/>
      <c r="F115" s="309"/>
      <c r="G115" s="309"/>
      <c r="H115" s="309"/>
      <c r="I115" s="309"/>
      <c r="J115" s="309"/>
      <c r="K115" s="309"/>
      <c r="L115" s="309"/>
      <c r="M115" s="309"/>
      <c r="N115" s="309"/>
      <c r="O115" s="309"/>
      <c r="Q115" s="309"/>
    </row>
    <row r="116" spans="3:22" s="307" customFormat="1" x14ac:dyDescent="0.45">
      <c r="C116" s="309"/>
      <c r="D116" s="309"/>
      <c r="E116" s="309"/>
      <c r="F116" s="309"/>
      <c r="G116" s="309"/>
      <c r="H116" s="309"/>
      <c r="I116" s="309"/>
      <c r="J116" s="309"/>
      <c r="K116" s="309"/>
      <c r="L116" s="309"/>
      <c r="M116" s="309"/>
      <c r="N116" s="309"/>
      <c r="O116" s="309"/>
      <c r="Q116" s="309"/>
    </row>
    <row r="117" spans="3:22" s="307" customFormat="1" x14ac:dyDescent="0.45">
      <c r="C117" s="309"/>
      <c r="D117" s="309"/>
      <c r="E117" s="309"/>
      <c r="F117" s="309"/>
      <c r="G117" s="309"/>
      <c r="H117" s="309"/>
      <c r="I117" s="309"/>
      <c r="J117" s="309"/>
      <c r="K117" s="309"/>
      <c r="L117" s="309"/>
      <c r="M117" s="309"/>
      <c r="N117" s="309"/>
      <c r="O117" s="309"/>
      <c r="Q117" s="309"/>
    </row>
    <row r="118" spans="3:22" s="307" customFormat="1" x14ac:dyDescent="0.45">
      <c r="C118" s="309"/>
      <c r="D118" s="309"/>
      <c r="E118" s="309"/>
      <c r="F118" s="309"/>
      <c r="G118" s="309"/>
      <c r="H118" s="309"/>
      <c r="I118" s="309"/>
      <c r="J118" s="309"/>
      <c r="K118" s="309"/>
      <c r="L118" s="309"/>
      <c r="M118" s="309"/>
      <c r="N118" s="309"/>
      <c r="O118" s="309"/>
      <c r="Q118" s="309"/>
    </row>
    <row r="119" spans="3:22" s="307" customFormat="1" x14ac:dyDescent="0.45">
      <c r="C119" s="309"/>
      <c r="D119" s="309"/>
      <c r="E119" s="309"/>
      <c r="F119" s="309"/>
      <c r="G119" s="309"/>
      <c r="H119" s="309"/>
      <c r="I119" s="309"/>
      <c r="J119" s="309"/>
      <c r="K119" s="309"/>
      <c r="L119" s="309"/>
      <c r="M119" s="309"/>
      <c r="N119" s="309"/>
      <c r="O119" s="309"/>
      <c r="Q119" s="309"/>
    </row>
    <row r="120" spans="3:22" s="307" customFormat="1" x14ac:dyDescent="0.45">
      <c r="C120" s="309"/>
      <c r="D120" s="309"/>
      <c r="E120" s="309"/>
      <c r="F120" s="309"/>
      <c r="G120" s="309"/>
      <c r="H120" s="309"/>
      <c r="I120" s="309"/>
      <c r="J120" s="309"/>
      <c r="K120" s="309"/>
      <c r="L120" s="309"/>
      <c r="M120" s="309"/>
      <c r="N120" s="309"/>
      <c r="O120" s="309"/>
      <c r="Q120" s="309"/>
    </row>
    <row r="121" spans="3:22" s="307" customFormat="1" x14ac:dyDescent="0.45">
      <c r="C121" s="309"/>
      <c r="D121" s="309"/>
      <c r="E121" s="309"/>
      <c r="F121" s="309"/>
      <c r="G121" s="309"/>
      <c r="H121" s="309"/>
      <c r="I121" s="309"/>
      <c r="J121" s="309"/>
      <c r="K121" s="309"/>
      <c r="L121" s="309"/>
      <c r="M121" s="309"/>
      <c r="N121" s="309"/>
      <c r="O121" s="309"/>
      <c r="Q121" s="309"/>
    </row>
    <row r="122" spans="3:22" s="307" customFormat="1" x14ac:dyDescent="0.45">
      <c r="C122" s="309"/>
      <c r="D122" s="309"/>
      <c r="E122" s="309"/>
      <c r="F122" s="309"/>
      <c r="G122" s="309"/>
      <c r="H122" s="309"/>
      <c r="I122" s="309"/>
      <c r="J122" s="309"/>
      <c r="K122" s="309"/>
      <c r="L122" s="309"/>
      <c r="M122" s="309"/>
      <c r="N122" s="309"/>
      <c r="O122" s="309"/>
      <c r="Q122" s="309"/>
    </row>
    <row r="123" spans="3:22" s="307" customFormat="1" x14ac:dyDescent="0.45">
      <c r="C123" s="309"/>
      <c r="D123" s="309"/>
      <c r="E123" s="309"/>
      <c r="F123" s="309"/>
      <c r="G123" s="309"/>
      <c r="H123" s="309"/>
      <c r="I123" s="309"/>
      <c r="J123" s="309"/>
      <c r="K123" s="309"/>
      <c r="L123" s="309"/>
      <c r="M123" s="309"/>
      <c r="N123" s="309"/>
      <c r="O123" s="309"/>
      <c r="Q123" s="309"/>
    </row>
    <row r="124" spans="3:22" s="307" customFormat="1" x14ac:dyDescent="0.45">
      <c r="C124" s="309"/>
      <c r="D124" s="309"/>
      <c r="E124" s="309"/>
      <c r="F124" s="309"/>
      <c r="G124" s="309"/>
      <c r="H124" s="309"/>
      <c r="I124" s="309"/>
      <c r="J124" s="309"/>
      <c r="K124" s="309"/>
      <c r="L124" s="309"/>
      <c r="M124" s="309"/>
      <c r="N124" s="309"/>
      <c r="O124" s="309"/>
      <c r="Q124" s="309"/>
    </row>
    <row r="125" spans="3:22" s="307" customFormat="1" x14ac:dyDescent="0.45">
      <c r="C125" s="309"/>
      <c r="D125" s="309"/>
      <c r="E125" s="309"/>
      <c r="F125" s="309"/>
      <c r="G125" s="309"/>
      <c r="H125" s="309"/>
      <c r="I125" s="309"/>
      <c r="J125" s="309"/>
      <c r="K125" s="309"/>
      <c r="L125" s="309"/>
      <c r="M125" s="309"/>
      <c r="N125" s="309"/>
      <c r="O125" s="309"/>
      <c r="Q125" s="309"/>
    </row>
    <row r="126" spans="3:22" s="307" customFormat="1" x14ac:dyDescent="0.45">
      <c r="C126" s="309"/>
      <c r="D126" s="309"/>
      <c r="E126" s="309"/>
      <c r="F126" s="309"/>
      <c r="G126" s="309"/>
      <c r="H126" s="309"/>
      <c r="I126" s="309"/>
      <c r="J126" s="309"/>
      <c r="K126" s="309"/>
      <c r="L126" s="309"/>
      <c r="M126" s="309"/>
      <c r="N126" s="309"/>
      <c r="O126" s="309"/>
      <c r="Q126" s="309"/>
    </row>
    <row r="127" spans="3:22" s="307" customFormat="1" x14ac:dyDescent="0.45">
      <c r="C127" s="309"/>
      <c r="D127" s="309"/>
      <c r="E127" s="309"/>
      <c r="F127" s="309"/>
      <c r="G127" s="309"/>
      <c r="H127" s="309"/>
      <c r="I127" s="309"/>
      <c r="J127" s="309"/>
      <c r="K127" s="309"/>
      <c r="L127" s="309"/>
      <c r="M127" s="309"/>
      <c r="N127" s="309"/>
      <c r="O127" s="309"/>
      <c r="Q127" s="309"/>
    </row>
    <row r="128" spans="3:22" s="307" customFormat="1" x14ac:dyDescent="0.45">
      <c r="C128" s="309"/>
      <c r="D128" s="309"/>
      <c r="E128" s="309"/>
      <c r="F128" s="309"/>
      <c r="G128" s="309"/>
      <c r="H128" s="309"/>
      <c r="I128" s="309"/>
      <c r="J128" s="309"/>
      <c r="K128" s="309"/>
      <c r="L128" s="309"/>
      <c r="M128" s="309"/>
      <c r="N128" s="309"/>
      <c r="O128" s="309"/>
      <c r="Q128" s="309"/>
    </row>
    <row r="129" spans="3:22" s="307" customFormat="1" x14ac:dyDescent="0.45">
      <c r="C129" s="309"/>
      <c r="D129" s="309"/>
      <c r="E129" s="309"/>
      <c r="F129" s="309"/>
      <c r="G129" s="309"/>
      <c r="H129" s="309"/>
      <c r="I129" s="309"/>
      <c r="J129" s="309"/>
      <c r="K129" s="309"/>
      <c r="L129" s="309"/>
      <c r="M129" s="309"/>
      <c r="N129" s="309"/>
      <c r="O129" s="309"/>
      <c r="Q129" s="309"/>
    </row>
    <row r="130" spans="3:22" s="307" customFormat="1" x14ac:dyDescent="0.45">
      <c r="C130" s="309"/>
      <c r="D130" s="309"/>
      <c r="E130" s="309"/>
      <c r="F130" s="309"/>
      <c r="G130" s="309"/>
      <c r="H130" s="309"/>
      <c r="I130" s="309"/>
      <c r="J130" s="309"/>
      <c r="K130" s="309"/>
      <c r="L130" s="309"/>
      <c r="M130" s="309"/>
      <c r="N130" s="309"/>
      <c r="O130" s="309"/>
      <c r="Q130" s="309"/>
    </row>
    <row r="131" spans="3:22" s="307" customFormat="1" x14ac:dyDescent="0.45">
      <c r="C131" s="309"/>
      <c r="D131" s="309"/>
      <c r="E131" s="309"/>
      <c r="F131" s="309"/>
      <c r="G131" s="309"/>
      <c r="H131" s="309"/>
      <c r="I131" s="309"/>
      <c r="J131" s="309"/>
      <c r="K131" s="309"/>
      <c r="L131" s="309"/>
      <c r="M131" s="309"/>
      <c r="N131" s="309"/>
      <c r="O131" s="309"/>
      <c r="Q131" s="309"/>
    </row>
    <row r="132" spans="3:22" s="307" customFormat="1" x14ac:dyDescent="0.45">
      <c r="C132" s="309"/>
      <c r="D132" s="309"/>
      <c r="E132" s="309"/>
      <c r="F132" s="309"/>
      <c r="G132" s="309"/>
      <c r="H132" s="309"/>
      <c r="I132" s="309"/>
      <c r="J132" s="309"/>
      <c r="K132" s="309"/>
      <c r="L132" s="309"/>
      <c r="M132" s="309"/>
      <c r="N132" s="309"/>
      <c r="O132" s="309"/>
      <c r="Q132" s="309"/>
    </row>
    <row r="133" spans="3:22" s="307" customFormat="1" x14ac:dyDescent="0.45">
      <c r="C133" s="309"/>
      <c r="D133" s="309"/>
      <c r="E133" s="309"/>
      <c r="F133" s="309"/>
      <c r="G133" s="309"/>
      <c r="H133" s="309"/>
      <c r="I133" s="309"/>
      <c r="J133" s="309"/>
      <c r="K133" s="309"/>
      <c r="L133" s="309"/>
      <c r="M133" s="309"/>
      <c r="N133" s="309"/>
      <c r="O133" s="309"/>
      <c r="Q133" s="309"/>
    </row>
    <row r="134" spans="3:22" s="307" customFormat="1" x14ac:dyDescent="0.45">
      <c r="C134" s="309"/>
      <c r="D134" s="309"/>
      <c r="E134" s="309"/>
      <c r="F134" s="309"/>
      <c r="G134" s="309"/>
      <c r="H134" s="309"/>
      <c r="I134" s="309"/>
      <c r="J134" s="309"/>
      <c r="K134" s="309"/>
      <c r="L134" s="309"/>
      <c r="M134" s="309"/>
      <c r="N134" s="309"/>
      <c r="O134" s="309"/>
      <c r="Q134" s="309"/>
    </row>
    <row r="135" spans="3:22" s="307" customFormat="1" x14ac:dyDescent="0.45">
      <c r="C135" s="309"/>
      <c r="D135" s="309"/>
      <c r="E135" s="309"/>
      <c r="F135" s="309"/>
      <c r="G135" s="309"/>
      <c r="H135" s="309"/>
      <c r="I135" s="309"/>
      <c r="J135" s="309"/>
      <c r="K135" s="309"/>
      <c r="L135" s="309"/>
      <c r="M135" s="309"/>
      <c r="N135" s="309"/>
      <c r="O135" s="309"/>
      <c r="Q135" s="309"/>
    </row>
    <row r="136" spans="3:22" s="307" customFormat="1" x14ac:dyDescent="0.45">
      <c r="C136" s="309"/>
      <c r="D136" s="309"/>
      <c r="E136" s="309"/>
      <c r="F136" s="309"/>
      <c r="G136" s="309"/>
      <c r="H136" s="309"/>
      <c r="I136" s="309"/>
      <c r="J136" s="309"/>
      <c r="K136" s="309"/>
      <c r="L136" s="309"/>
      <c r="M136" s="309"/>
      <c r="N136" s="309"/>
      <c r="O136" s="309"/>
      <c r="Q136" s="309"/>
      <c r="S136" s="309"/>
      <c r="T136" s="309"/>
      <c r="U136" s="309"/>
      <c r="V136" s="309"/>
    </row>
  </sheetData>
  <sheetProtection selectLockedCells="1" selectUnlockedCells="1"/>
  <mergeCells count="12">
    <mergeCell ref="J73:O73"/>
    <mergeCell ref="B76:B80"/>
    <mergeCell ref="I76:I80"/>
    <mergeCell ref="B86:B90"/>
    <mergeCell ref="E86:E90"/>
    <mergeCell ref="S33:V33"/>
    <mergeCell ref="G33:J33"/>
    <mergeCell ref="B49:B53"/>
    <mergeCell ref="I49:I53"/>
    <mergeCell ref="B66:B70"/>
    <mergeCell ref="I66:I70"/>
    <mergeCell ref="L33:O33"/>
  </mergeCells>
  <hyperlinks>
    <hyperlink ref="AE37" r:id="rId1" xr:uid="{4F445023-D945-4AD1-A46F-29D642824311}"/>
  </hyperlinks>
  <pageMargins left="0.75" right="0.75" top="1" bottom="1" header="0.5" footer="0.5"/>
  <pageSetup scale="64" orientation="landscape" r:id="rId2"/>
  <headerFooter alignWithMargins="0"/>
  <ignoredErrors>
    <ignoredError sqref="I10:I19" formula="1"/>
  </ignoredError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EE9B4F92-2154-468B-AD53-CA9AEA9C22BF}">
          <x14:formula1>
            <xm:f>Scenarios!$Q$1:$Q$5</xm:f>
          </x14:formula1>
          <xm:sqref>D4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2493-BE10-44AE-AE27-D3DB36F681C6}">
  <dimension ref="A1"/>
  <sheetViews>
    <sheetView showGridLines="0"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3D778-AA36-434D-882B-714991F88FE6}">
  <dimension ref="A2:AO127"/>
  <sheetViews>
    <sheetView showGridLines="0" zoomScale="64" zoomScaleNormal="85" workbookViewId="0">
      <pane xSplit="2" ySplit="4" topLeftCell="C55" activePane="bottomRight" state="frozen"/>
      <selection pane="topRight" activeCell="C1" sqref="C1"/>
      <selection pane="bottomLeft" activeCell="A20" sqref="A20"/>
      <selection pane="bottomRight"/>
    </sheetView>
  </sheetViews>
  <sheetFormatPr defaultColWidth="9.59765625" defaultRowHeight="15" customHeight="1" x14ac:dyDescent="0.55000000000000004"/>
  <cols>
    <col min="1" max="1" width="3.59765625" style="3" customWidth="1"/>
    <col min="2" max="2" width="33.1328125" style="3" bestFit="1" customWidth="1"/>
    <col min="3" max="3" width="11.9296875" style="3" bestFit="1" customWidth="1"/>
    <col min="4" max="4" width="9.6640625" style="3" customWidth="1"/>
    <col min="5" max="11" width="9.6640625" style="3" bestFit="1" customWidth="1"/>
    <col min="12" max="18" width="9.6640625" style="3" customWidth="1"/>
    <col min="19" max="20" width="9.6640625" style="3" bestFit="1" customWidth="1"/>
    <col min="21" max="22" width="9.6640625" style="3" customWidth="1"/>
    <col min="23" max="23" width="20.1328125" style="3" bestFit="1" customWidth="1"/>
    <col min="24" max="25" width="9.6640625" style="3" bestFit="1" customWidth="1"/>
    <col min="26" max="26" width="9.59765625" style="3"/>
    <col min="27" max="28" width="9.6640625" style="3" bestFit="1" customWidth="1"/>
    <col min="29" max="29" width="12" style="3" bestFit="1" customWidth="1"/>
    <col min="30" max="31" width="9.59765625" style="3"/>
    <col min="32" max="32" width="9.6640625" style="3" bestFit="1" customWidth="1"/>
    <col min="33" max="33" width="10.33203125" style="3" bestFit="1" customWidth="1"/>
    <col min="34" max="36" width="9.59765625" style="3"/>
    <col min="37" max="37" width="10.46484375" bestFit="1" customWidth="1"/>
    <col min="38" max="16384" width="9.59765625" style="3"/>
  </cols>
  <sheetData>
    <row r="2" spans="2:41" s="4" customFormat="1" ht="15" customHeight="1" x14ac:dyDescent="0.55000000000000004">
      <c r="B2" s="5" t="s">
        <v>178</v>
      </c>
      <c r="C2" s="5"/>
      <c r="L2" s="3"/>
      <c r="N2" s="3"/>
      <c r="AJ2" s="3"/>
      <c r="AK2"/>
      <c r="AO2" s="3"/>
    </row>
    <row r="3" spans="2:41" ht="15" customHeight="1" x14ac:dyDescent="0.55000000000000004">
      <c r="B3" s="73" t="s">
        <v>139</v>
      </c>
      <c r="C3" s="73"/>
      <c r="D3" s="73" t="s">
        <v>113</v>
      </c>
    </row>
    <row r="5" spans="2:41" ht="15" customHeight="1" x14ac:dyDescent="0.55000000000000004">
      <c r="B5" s="6" t="s">
        <v>229</v>
      </c>
      <c r="C5" s="124" t="s">
        <v>239</v>
      </c>
      <c r="D5" s="124"/>
      <c r="E5" s="124"/>
      <c r="F5" s="124"/>
      <c r="G5" s="124"/>
      <c r="H5" s="124"/>
    </row>
    <row r="6" spans="2:41" ht="15" customHeight="1" x14ac:dyDescent="0.55000000000000004">
      <c r="B6" s="130" t="s">
        <v>238</v>
      </c>
      <c r="C6" s="129" t="s">
        <v>66</v>
      </c>
      <c r="D6" s="129" t="s">
        <v>67</v>
      </c>
      <c r="E6" s="129" t="s">
        <v>88</v>
      </c>
      <c r="F6" s="129" t="s">
        <v>237</v>
      </c>
      <c r="G6" s="129" t="s">
        <v>109</v>
      </c>
      <c r="H6" s="129" t="s">
        <v>230</v>
      </c>
    </row>
    <row r="7" spans="2:41" ht="15" customHeight="1" x14ac:dyDescent="0.55000000000000004">
      <c r="B7" s="21" t="s">
        <v>232</v>
      </c>
      <c r="C7" s="126">
        <v>121</v>
      </c>
      <c r="D7" s="126">
        <v>126</v>
      </c>
      <c r="E7" s="127">
        <f>AVERAGE(C7:D7)</f>
        <v>123.5</v>
      </c>
      <c r="F7" s="125" t="s">
        <v>231</v>
      </c>
      <c r="G7" s="133">
        <f>M63/10^3</f>
        <v>127.358</v>
      </c>
      <c r="H7" s="128">
        <f>G7/D7-1</f>
        <v>1.0777777777777775E-2</v>
      </c>
    </row>
    <row r="8" spans="2:41" ht="15" customHeight="1" x14ac:dyDescent="0.55000000000000004">
      <c r="B8" s="3" t="s">
        <v>233</v>
      </c>
      <c r="C8" s="3">
        <v>0</v>
      </c>
      <c r="D8" s="3">
        <v>4</v>
      </c>
      <c r="E8" s="127">
        <f>AVERAGE(C8:D8)</f>
        <v>2</v>
      </c>
      <c r="G8" s="133">
        <f>M35/10^3</f>
        <v>4.774</v>
      </c>
      <c r="H8" s="128">
        <f>G8/D8-1</f>
        <v>0.19350000000000001</v>
      </c>
    </row>
    <row r="9" spans="2:41" ht="15" customHeight="1" x14ac:dyDescent="0.55000000000000004">
      <c r="C9" s="2">
        <f>C8/C7</f>
        <v>0</v>
      </c>
      <c r="D9" s="2">
        <f>D8/D7</f>
        <v>3.1746031746031744E-2</v>
      </c>
      <c r="E9" s="2">
        <f>E8/E7</f>
        <v>1.6194331983805668E-2</v>
      </c>
      <c r="G9" s="2">
        <f>G8/G7</f>
        <v>3.7484885126964934E-2</v>
      </c>
    </row>
    <row r="10" spans="2:41" ht="15" customHeight="1" x14ac:dyDescent="0.55000000000000004">
      <c r="C10" s="1"/>
      <c r="D10" s="1"/>
      <c r="E10" s="1"/>
      <c r="G10" s="1"/>
    </row>
    <row r="11" spans="2:41" ht="15" customHeight="1" x14ac:dyDescent="0.55000000000000004">
      <c r="B11" s="130" t="s">
        <v>240</v>
      </c>
      <c r="C11" s="129" t="s">
        <v>66</v>
      </c>
      <c r="D11" s="129" t="s">
        <v>67</v>
      </c>
      <c r="E11" s="129" t="s">
        <v>88</v>
      </c>
      <c r="F11" s="129" t="s">
        <v>237</v>
      </c>
      <c r="G11" s="129" t="s">
        <v>249</v>
      </c>
      <c r="H11" s="129" t="s">
        <v>230</v>
      </c>
    </row>
    <row r="12" spans="2:41" ht="15" customHeight="1" x14ac:dyDescent="0.55000000000000004">
      <c r="B12" s="21" t="s">
        <v>234</v>
      </c>
      <c r="C12" s="126">
        <v>127</v>
      </c>
      <c r="D12" s="126">
        <v>133</v>
      </c>
      <c r="E12" s="127">
        <f>AVERAGE(C12:D12)</f>
        <v>130</v>
      </c>
      <c r="F12" s="125" t="s">
        <v>236</v>
      </c>
      <c r="G12" s="133">
        <f>H63*(1+10%)/10^3</f>
        <v>128.08840000000001</v>
      </c>
      <c r="H12" s="128">
        <v>0</v>
      </c>
    </row>
    <row r="13" spans="2:41" ht="15" customHeight="1" x14ac:dyDescent="0.55000000000000004">
      <c r="B13" s="3" t="s">
        <v>235</v>
      </c>
      <c r="C13" s="3">
        <v>2</v>
      </c>
      <c r="D13" s="3">
        <v>5.5</v>
      </c>
      <c r="E13" s="127">
        <f>AVERAGE(C13:D13)</f>
        <v>3.75</v>
      </c>
      <c r="G13" s="133">
        <f>D13*(1+H13)</f>
        <v>6.3249999999999993</v>
      </c>
      <c r="H13" s="128">
        <v>0.15</v>
      </c>
    </row>
    <row r="14" spans="2:41" ht="15" customHeight="1" x14ac:dyDescent="0.55000000000000004">
      <c r="C14" s="2">
        <f>C13/C12</f>
        <v>1.5748031496062992E-2</v>
      </c>
      <c r="D14" s="2">
        <f>D13/D12</f>
        <v>4.1353383458646614E-2</v>
      </c>
      <c r="E14" s="2">
        <f>E13/E12</f>
        <v>2.8846153846153848E-2</v>
      </c>
      <c r="G14" s="2">
        <f>G13/G12</f>
        <v>4.9379959465494137E-2</v>
      </c>
    </row>
    <row r="15" spans="2:41" ht="15" customHeight="1" x14ac:dyDescent="0.55000000000000004">
      <c r="I15" s="125"/>
    </row>
    <row r="16" spans="2:41" ht="15" customHeight="1" x14ac:dyDescent="0.55000000000000004">
      <c r="B16" s="100" t="s">
        <v>241</v>
      </c>
      <c r="C16" s="100"/>
    </row>
    <row r="17" spans="1:22" ht="15" customHeight="1" x14ac:dyDescent="0.55000000000000004">
      <c r="A17" s="3" t="s">
        <v>9</v>
      </c>
      <c r="B17" s="6" t="str">
        <f>"Growth (y-o-Y): " &amp;$D$3</f>
        <v>Growth (y-o-Y): Street Case</v>
      </c>
      <c r="C17" s="121" t="s">
        <v>252</v>
      </c>
      <c r="D17" s="121" t="s">
        <v>251</v>
      </c>
      <c r="E17" s="121" t="s">
        <v>250</v>
      </c>
      <c r="F17" s="121" t="s">
        <v>223</v>
      </c>
      <c r="G17" s="140">
        <v>2021</v>
      </c>
      <c r="H17" s="121" t="s">
        <v>224</v>
      </c>
      <c r="I17" s="121" t="s">
        <v>225</v>
      </c>
      <c r="J17" s="121" t="s">
        <v>226</v>
      </c>
      <c r="K17" s="121" t="s">
        <v>227</v>
      </c>
      <c r="L17" s="140">
        <v>2022</v>
      </c>
      <c r="M17" s="121" t="s">
        <v>228</v>
      </c>
      <c r="N17" s="121" t="s">
        <v>248</v>
      </c>
      <c r="O17" s="121" t="s">
        <v>260</v>
      </c>
      <c r="P17" s="121" t="s">
        <v>261</v>
      </c>
      <c r="Q17" s="147">
        <v>2023</v>
      </c>
      <c r="R17" s="121" t="s">
        <v>262</v>
      </c>
      <c r="S17" s="121" t="s">
        <v>263</v>
      </c>
      <c r="T17" s="121" t="s">
        <v>264</v>
      </c>
      <c r="U17" s="121" t="s">
        <v>265</v>
      </c>
      <c r="V17" s="147">
        <v>2024</v>
      </c>
    </row>
    <row r="18" spans="1:22" ht="15" customHeight="1" x14ac:dyDescent="0.55000000000000004">
      <c r="B18" s="21" t="s">
        <v>103</v>
      </c>
      <c r="G18" s="141"/>
      <c r="L18" s="141"/>
      <c r="Q18" s="141"/>
      <c r="V18" s="141"/>
    </row>
    <row r="19" spans="1:22" ht="15" customHeight="1" x14ac:dyDescent="0.55000000000000004">
      <c r="B19" s="82" t="s">
        <v>244</v>
      </c>
      <c r="C19" s="76">
        <v>64366</v>
      </c>
      <c r="D19" s="76">
        <v>67550</v>
      </c>
      <c r="E19" s="76">
        <v>65557</v>
      </c>
      <c r="F19" s="76">
        <v>82360</v>
      </c>
      <c r="G19" s="142">
        <f>SUM(C19:F19)</f>
        <v>279833</v>
      </c>
      <c r="H19" s="76">
        <v>69244</v>
      </c>
      <c r="I19" s="76">
        <v>74430</v>
      </c>
      <c r="J19" s="76">
        <v>78843</v>
      </c>
      <c r="K19" s="76">
        <v>93363</v>
      </c>
      <c r="L19" s="142">
        <f>SUM(H19:K19)</f>
        <v>315880</v>
      </c>
      <c r="M19" s="76">
        <v>76881</v>
      </c>
      <c r="N19" s="76">
        <f>I19*(1+N41)</f>
        <v>82693.771583097448</v>
      </c>
      <c r="O19" s="76">
        <f t="shared" ref="O19:P19" si="0">J19*(1+O41)</f>
        <v>87654.786564900918</v>
      </c>
      <c r="P19" s="76">
        <f t="shared" si="0"/>
        <v>103866.33750000001</v>
      </c>
      <c r="Q19" s="142">
        <f>SUM(M19:P19)</f>
        <v>351095.89564799838</v>
      </c>
      <c r="R19" s="76">
        <f t="shared" ref="R19:U19" si="1">M19*(1+R41)</f>
        <v>85530.112500000003</v>
      </c>
      <c r="S19" s="76">
        <f t="shared" si="1"/>
        <v>91652.263504599672</v>
      </c>
      <c r="T19" s="76">
        <f t="shared" si="1"/>
        <v>96785.493498744763</v>
      </c>
      <c r="U19" s="76">
        <f t="shared" si="1"/>
        <v>114252.97125000002</v>
      </c>
      <c r="V19" s="142">
        <f>SUM(R19:U19)</f>
        <v>388220.84075334441</v>
      </c>
    </row>
    <row r="20" spans="1:22" ht="15" customHeight="1" x14ac:dyDescent="0.55000000000000004">
      <c r="B20" s="82" t="s">
        <v>243</v>
      </c>
      <c r="C20" s="15">
        <f>C19-C21</f>
        <v>60916</v>
      </c>
      <c r="D20" s="15">
        <f>D19-D21</f>
        <v>64403</v>
      </c>
      <c r="E20" s="15">
        <f>E19-E21</f>
        <v>64677</v>
      </c>
      <c r="F20" s="15">
        <f>F19-F21</f>
        <v>82566</v>
      </c>
      <c r="G20" s="142">
        <f>SUM(C20:F20)</f>
        <v>272562</v>
      </c>
      <c r="H20" s="15">
        <f>H19-H21</f>
        <v>70812</v>
      </c>
      <c r="I20" s="15">
        <f>I19-I21</f>
        <v>75057</v>
      </c>
      <c r="J20" s="15">
        <f>J19-J21</f>
        <v>79255</v>
      </c>
      <c r="K20" s="15">
        <f>K19-K21</f>
        <v>93603</v>
      </c>
      <c r="L20" s="142">
        <f>SUM(H20:K20)</f>
        <v>318727</v>
      </c>
      <c r="M20" s="15">
        <f>M19-M21</f>
        <v>75983</v>
      </c>
      <c r="N20" s="15">
        <f>N19-N21</f>
        <v>81498.549483034381</v>
      </c>
      <c r="O20" s="15">
        <f t="shared" ref="O20:P20" si="2">O19-O21</f>
        <v>86144.77540405438</v>
      </c>
      <c r="P20" s="15">
        <f t="shared" si="2"/>
        <v>101789.01075000002</v>
      </c>
      <c r="Q20" s="142">
        <f>SUM(M20:P20)</f>
        <v>345415.33563708875</v>
      </c>
      <c r="R20" s="15">
        <f>R19-R21</f>
        <v>83605.684968750007</v>
      </c>
      <c r="S20" s="15">
        <f>S19-S21</f>
        <v>89437.333803238507</v>
      </c>
      <c r="T20" s="15">
        <f>T19-T21</f>
        <v>94285.201583360526</v>
      </c>
      <c r="U20" s="15">
        <f>U19-U21</f>
        <v>111111.01454062502</v>
      </c>
      <c r="V20" s="142">
        <f>SUM(R20:U20)</f>
        <v>378439.23489597405</v>
      </c>
    </row>
    <row r="21" spans="1:22" ht="15" customHeight="1" x14ac:dyDescent="0.55000000000000004">
      <c r="B21" s="131" t="s">
        <v>245</v>
      </c>
      <c r="C21" s="132">
        <v>3450</v>
      </c>
      <c r="D21" s="132">
        <v>3147</v>
      </c>
      <c r="E21" s="132">
        <v>880</v>
      </c>
      <c r="F21" s="132">
        <v>-206</v>
      </c>
      <c r="G21" s="143">
        <f>SUM(C21:F21)</f>
        <v>7271</v>
      </c>
      <c r="H21" s="132">
        <v>-1568</v>
      </c>
      <c r="I21" s="132">
        <v>-627</v>
      </c>
      <c r="J21" s="132">
        <v>-412</v>
      </c>
      <c r="K21" s="132">
        <v>-240</v>
      </c>
      <c r="L21" s="143">
        <f>SUM(H21:K21)</f>
        <v>-2847</v>
      </c>
      <c r="M21" s="132">
        <v>898</v>
      </c>
      <c r="N21" s="139">
        <f>N22*N19</f>
        <v>1195.2221000630643</v>
      </c>
      <c r="O21" s="139">
        <f t="shared" ref="O21:P21" si="3">O22*O19</f>
        <v>1510.0111608465331</v>
      </c>
      <c r="P21" s="139">
        <f t="shared" si="3"/>
        <v>2077.3267500000002</v>
      </c>
      <c r="Q21" s="143">
        <f>SUM(M21:P21)</f>
        <v>5680.5600109095976</v>
      </c>
      <c r="R21" s="139">
        <f>R22*R19</f>
        <v>1924.4275312499999</v>
      </c>
      <c r="S21" s="139">
        <f t="shared" ref="S21" si="4">S22*S19</f>
        <v>2214.9297013611585</v>
      </c>
      <c r="T21" s="139">
        <f t="shared" ref="T21:U21" si="5">T22*T19</f>
        <v>2500.2919153842395</v>
      </c>
      <c r="U21" s="139">
        <f t="shared" si="5"/>
        <v>3141.9567093750006</v>
      </c>
      <c r="V21" s="143">
        <f>SUM(R21:U21)</f>
        <v>9781.6058573703995</v>
      </c>
    </row>
    <row r="22" spans="1:22" ht="15" customHeight="1" x14ac:dyDescent="0.55000000000000004">
      <c r="B22" s="21"/>
      <c r="C22" s="31">
        <f t="shared" ref="C22:M22" si="6">C21/C19</f>
        <v>5.3599726563713763E-2</v>
      </c>
      <c r="D22" s="31">
        <f t="shared" si="6"/>
        <v>4.6587712805329383E-2</v>
      </c>
      <c r="E22" s="31">
        <f t="shared" si="6"/>
        <v>1.3423433043000747E-2</v>
      </c>
      <c r="F22" s="31">
        <f t="shared" si="6"/>
        <v>-2.5012141816415736E-3</v>
      </c>
      <c r="G22" s="144">
        <f t="shared" si="6"/>
        <v>2.5983354357777676E-2</v>
      </c>
      <c r="H22" s="31">
        <f t="shared" si="6"/>
        <v>-2.2644561261625555E-2</v>
      </c>
      <c r="I22" s="31">
        <f t="shared" si="6"/>
        <v>-8.4240225715437322E-3</v>
      </c>
      <c r="J22" s="31">
        <f t="shared" si="6"/>
        <v>-5.2255748766536023E-3</v>
      </c>
      <c r="K22" s="31">
        <f t="shared" si="6"/>
        <v>-2.5706114842068057E-3</v>
      </c>
      <c r="L22" s="144">
        <f t="shared" si="6"/>
        <v>-9.0129162973280989E-3</v>
      </c>
      <c r="M22" s="31">
        <f t="shared" si="6"/>
        <v>1.1680389172877564E-2</v>
      </c>
      <c r="N22" s="45">
        <f>$M22+1*($P22-$M22)/3</f>
        <v>1.4453592781918377E-2</v>
      </c>
      <c r="O22" s="45">
        <f>$M22+2*($P22-$M22)/3</f>
        <v>1.7226796390959188E-2</v>
      </c>
      <c r="P22" s="45">
        <v>0.02</v>
      </c>
      <c r="Q22" s="144">
        <f>Q21/Q19</f>
        <v>1.6179511299684379E-2</v>
      </c>
      <c r="R22" s="45">
        <v>2.2499999999999999E-2</v>
      </c>
      <c r="S22" s="45">
        <f>$R22+1*($U22-$R22)/3</f>
        <v>2.4166666666666666E-2</v>
      </c>
      <c r="T22" s="45">
        <f>$R22+2*($U22-$R22)/3</f>
        <v>2.5833333333333333E-2</v>
      </c>
      <c r="U22" s="45">
        <v>2.75E-2</v>
      </c>
      <c r="V22" s="144">
        <f>V21/V19</f>
        <v>2.5195983395402334E-2</v>
      </c>
    </row>
    <row r="23" spans="1:22" ht="15" customHeight="1" x14ac:dyDescent="0.55000000000000004">
      <c r="B23" s="21" t="s">
        <v>64</v>
      </c>
      <c r="C23" s="15"/>
      <c r="D23" s="15"/>
      <c r="E23" s="15"/>
      <c r="F23" s="15"/>
      <c r="G23" s="142"/>
      <c r="H23" s="15"/>
      <c r="I23" s="15"/>
      <c r="J23" s="15"/>
      <c r="K23" s="15"/>
      <c r="L23" s="142"/>
      <c r="M23" s="15"/>
      <c r="N23" s="15"/>
      <c r="O23" s="15"/>
      <c r="P23" s="15"/>
      <c r="Q23" s="142"/>
      <c r="R23" s="15"/>
      <c r="S23" s="15"/>
      <c r="T23" s="15"/>
      <c r="U23" s="15"/>
      <c r="V23" s="142"/>
    </row>
    <row r="24" spans="1:22" ht="15" customHeight="1" x14ac:dyDescent="0.55000000000000004">
      <c r="B24" s="82" t="s">
        <v>244</v>
      </c>
      <c r="C24" s="76">
        <v>30649</v>
      </c>
      <c r="D24" s="76">
        <v>30721</v>
      </c>
      <c r="E24" s="76">
        <v>29145</v>
      </c>
      <c r="F24" s="76">
        <v>37272</v>
      </c>
      <c r="G24" s="142">
        <f>SUM(C24:F24)</f>
        <v>127787</v>
      </c>
      <c r="H24" s="76">
        <v>28759</v>
      </c>
      <c r="I24" s="76">
        <v>27065</v>
      </c>
      <c r="J24" s="76">
        <v>27720</v>
      </c>
      <c r="K24" s="76">
        <v>34463</v>
      </c>
      <c r="L24" s="142">
        <f>SUM(H24:K24)</f>
        <v>118007</v>
      </c>
      <c r="M24" s="76">
        <v>29123</v>
      </c>
      <c r="N24" s="14">
        <f t="shared" ref="N24:U24" si="7">N34-N29-N19</f>
        <v>26909.520416902524</v>
      </c>
      <c r="O24" s="14">
        <f t="shared" si="7"/>
        <v>27968.804435099068</v>
      </c>
      <c r="P24" s="14">
        <f t="shared" si="7"/>
        <v>33536.016499999983</v>
      </c>
      <c r="Q24" s="142">
        <f>Q34-Q29-Q19</f>
        <v>117537.34135200159</v>
      </c>
      <c r="R24" s="14">
        <f t="shared" si="7"/>
        <v>30037.499819211473</v>
      </c>
      <c r="S24" s="14">
        <f t="shared" si="7"/>
        <v>28646.09624458068</v>
      </c>
      <c r="T24" s="14">
        <f t="shared" si="7"/>
        <v>30573.344006283325</v>
      </c>
      <c r="U24" s="14">
        <f t="shared" si="7"/>
        <v>37317.258284624186</v>
      </c>
      <c r="V24" s="142">
        <f>SUM(R24:U24)</f>
        <v>126574.19835469966</v>
      </c>
    </row>
    <row r="25" spans="1:22" ht="15" customHeight="1" x14ac:dyDescent="0.55000000000000004">
      <c r="B25" s="82" t="s">
        <v>243</v>
      </c>
      <c r="C25" s="15">
        <f>C24-C26</f>
        <v>29397</v>
      </c>
      <c r="D25" s="15">
        <f>D24-D26</f>
        <v>30359</v>
      </c>
      <c r="E25" s="15">
        <f>E24-E26</f>
        <v>30056</v>
      </c>
      <c r="F25" s="15">
        <f>F24-F26</f>
        <v>38899</v>
      </c>
      <c r="G25" s="142">
        <f>SUM(C25:F25)</f>
        <v>128711</v>
      </c>
      <c r="H25" s="15">
        <f>H24-H26</f>
        <v>30040</v>
      </c>
      <c r="I25" s="15">
        <f>I24-I26</f>
        <v>28836</v>
      </c>
      <c r="J25" s="15">
        <f>J24-J26</f>
        <v>30186</v>
      </c>
      <c r="K25" s="15">
        <f>K24-K26</f>
        <v>36691</v>
      </c>
      <c r="L25" s="142">
        <f>SUM(H25:K25)</f>
        <v>125753</v>
      </c>
      <c r="M25" s="15">
        <f>M24-M26</f>
        <v>30370</v>
      </c>
      <c r="N25" s="15">
        <f t="shared" ref="N25:P25" si="8">N24-N26</f>
        <v>27425.408579202922</v>
      </c>
      <c r="O25" s="15">
        <f t="shared" si="8"/>
        <v>28764.345606803945</v>
      </c>
      <c r="P25" s="15">
        <f t="shared" si="8"/>
        <v>33323.752979999983</v>
      </c>
      <c r="Q25" s="142">
        <f>SUM(M25:P25)</f>
        <v>119883.50716600686</v>
      </c>
      <c r="R25" s="15">
        <f t="shared" ref="R25" si="9">R24-R26</f>
        <v>30719.351642106813</v>
      </c>
      <c r="S25" s="15">
        <f t="shared" ref="S25" si="10">S24-S26</f>
        <v>29811.274019239652</v>
      </c>
      <c r="T25" s="15">
        <f t="shared" ref="T25:U25" si="11">T24-T26</f>
        <v>31982.309375953402</v>
      </c>
      <c r="U25" s="15">
        <f t="shared" si="11"/>
        <v>38260.688901921734</v>
      </c>
      <c r="V25" s="142">
        <f>SUM(R25:U25)</f>
        <v>130773.62393922161</v>
      </c>
    </row>
    <row r="26" spans="1:22" ht="15" customHeight="1" x14ac:dyDescent="0.55000000000000004">
      <c r="B26" s="131" t="s">
        <v>245</v>
      </c>
      <c r="C26" s="132">
        <v>1252</v>
      </c>
      <c r="D26" s="132">
        <v>362</v>
      </c>
      <c r="E26" s="132">
        <v>-911</v>
      </c>
      <c r="F26" s="132">
        <v>-1627</v>
      </c>
      <c r="G26" s="143">
        <f>SUM(C26:F26)</f>
        <v>-924</v>
      </c>
      <c r="H26" s="132">
        <v>-1281</v>
      </c>
      <c r="I26" s="132">
        <v>-1771</v>
      </c>
      <c r="J26" s="132">
        <v>-2466</v>
      </c>
      <c r="K26" s="132">
        <v>-2228</v>
      </c>
      <c r="L26" s="143">
        <f>SUM(H26:K26)</f>
        <v>-7746</v>
      </c>
      <c r="M26" s="132">
        <v>-1247</v>
      </c>
      <c r="N26" s="139">
        <f>N35-N31-N21</f>
        <v>-515.88816230039902</v>
      </c>
      <c r="O26" s="139">
        <f>O35-O31-O21</f>
        <v>-795.54117170487825</v>
      </c>
      <c r="P26" s="139">
        <f>P35-P31-P21</f>
        <v>212.26351999999861</v>
      </c>
      <c r="Q26" s="143">
        <f>SUM(M26:P26)</f>
        <v>-2346.1658140052787</v>
      </c>
      <c r="R26" s="139">
        <f>R35-R31-R21</f>
        <v>-681.85182289533941</v>
      </c>
      <c r="S26" s="139">
        <f>S35-S31-S21</f>
        <v>-1165.1777746589723</v>
      </c>
      <c r="T26" s="139">
        <f>T35-T31-T21</f>
        <v>-1408.9653696700761</v>
      </c>
      <c r="U26" s="139">
        <f>U35-U31-U21</f>
        <v>-943.430617297548</v>
      </c>
      <c r="V26" s="143">
        <f>SUM(R26:U26)</f>
        <v>-4199.4255845219359</v>
      </c>
    </row>
    <row r="27" spans="1:22" ht="15" customHeight="1" x14ac:dyDescent="0.55000000000000004">
      <c r="B27" s="21"/>
      <c r="C27" s="31">
        <f t="shared" ref="C27:M27" si="12">C26/C24</f>
        <v>4.084961988971908E-2</v>
      </c>
      <c r="D27" s="31">
        <f t="shared" si="12"/>
        <v>1.178347059015006E-2</v>
      </c>
      <c r="E27" s="31">
        <f t="shared" si="12"/>
        <v>-3.1257505575570423E-2</v>
      </c>
      <c r="F27" s="31">
        <f t="shared" si="12"/>
        <v>-4.3652071259927025E-2</v>
      </c>
      <c r="G27" s="144">
        <f t="shared" si="12"/>
        <v>-7.2307824739605746E-3</v>
      </c>
      <c r="H27" s="31">
        <f t="shared" si="12"/>
        <v>-4.4542577975590247E-2</v>
      </c>
      <c r="I27" s="31">
        <f t="shared" si="12"/>
        <v>-6.5435063735451687E-2</v>
      </c>
      <c r="J27" s="31">
        <f t="shared" si="12"/>
        <v>-8.8961038961038963E-2</v>
      </c>
      <c r="K27" s="31">
        <f t="shared" si="12"/>
        <v>-6.4649043902155937E-2</v>
      </c>
      <c r="L27" s="144">
        <f t="shared" si="12"/>
        <v>-6.5640173887989692E-2</v>
      </c>
      <c r="M27" s="31">
        <f t="shared" si="12"/>
        <v>-4.2818390962469526E-2</v>
      </c>
      <c r="N27" s="31">
        <f t="shared" ref="N27:P27" si="13">N26/N24</f>
        <v>-1.9171213544792762E-2</v>
      </c>
      <c r="O27" s="31">
        <f t="shared" si="13"/>
        <v>-2.8443874801688869E-2</v>
      </c>
      <c r="P27" s="31">
        <f t="shared" si="13"/>
        <v>6.3294195957948286E-3</v>
      </c>
      <c r="Q27" s="144">
        <f>Q26/Q24</f>
        <v>-1.9961025041216187E-2</v>
      </c>
      <c r="R27" s="31">
        <f t="shared" ref="R27" si="14">R26/R24</f>
        <v>-2.270001920929646E-2</v>
      </c>
      <c r="S27" s="31">
        <f t="shared" ref="S27" si="15">S26/S24</f>
        <v>-4.0674923546673583E-2</v>
      </c>
      <c r="T27" s="31">
        <f t="shared" ref="T27" si="16">T26/T24</f>
        <v>-4.6084764865122724E-2</v>
      </c>
      <c r="U27" s="31">
        <f t="shared" ref="U27" si="17">U26/U24</f>
        <v>-2.528134864844209E-2</v>
      </c>
      <c r="V27" s="144">
        <f>V26/V24</f>
        <v>-3.3177579942113157E-2</v>
      </c>
    </row>
    <row r="28" spans="1:22" ht="15" customHeight="1" x14ac:dyDescent="0.55000000000000004">
      <c r="B28" s="21" t="s">
        <v>89</v>
      </c>
      <c r="C28" s="15"/>
      <c r="D28" s="15"/>
      <c r="E28" s="15"/>
      <c r="F28" s="15"/>
      <c r="G28" s="142"/>
      <c r="H28" s="15"/>
      <c r="I28" s="15"/>
      <c r="J28" s="15"/>
      <c r="K28" s="15"/>
      <c r="L28" s="142"/>
      <c r="M28" s="15"/>
      <c r="N28" s="15"/>
      <c r="O28" s="15"/>
      <c r="P28" s="15"/>
      <c r="Q28" s="142"/>
      <c r="R28" s="15"/>
      <c r="S28" s="15"/>
      <c r="T28" s="15"/>
      <c r="U28" s="15"/>
      <c r="V28" s="142"/>
    </row>
    <row r="29" spans="1:22" ht="15" customHeight="1" x14ac:dyDescent="0.55000000000000004">
      <c r="B29" s="82" t="s">
        <v>244</v>
      </c>
      <c r="C29" s="76">
        <v>13503</v>
      </c>
      <c r="D29" s="76">
        <v>14809</v>
      </c>
      <c r="E29" s="76">
        <v>16110</v>
      </c>
      <c r="F29" s="76">
        <v>17780</v>
      </c>
      <c r="G29" s="142">
        <f>SUM(C29:F29)</f>
        <v>62202</v>
      </c>
      <c r="H29" s="76">
        <v>18441</v>
      </c>
      <c r="I29" s="76">
        <v>19739</v>
      </c>
      <c r="J29" s="76">
        <v>20538</v>
      </c>
      <c r="K29" s="76">
        <v>21378</v>
      </c>
      <c r="L29" s="142">
        <f>SUM(H29:K29)</f>
        <v>80096</v>
      </c>
      <c r="M29" s="76">
        <v>21354</v>
      </c>
      <c r="N29" s="13">
        <f>N61</f>
        <v>22502.460000000003</v>
      </c>
      <c r="O29" s="13">
        <f t="shared" ref="O29:P29" si="18">O61</f>
        <v>23207.94</v>
      </c>
      <c r="P29" s="13">
        <f t="shared" si="18"/>
        <v>23943.360000000001</v>
      </c>
      <c r="Q29" s="142">
        <f>SUM(M29:P29)</f>
        <v>91007.760000000009</v>
      </c>
      <c r="R29" s="13">
        <f t="shared" ref="R29:U29" si="19">R61</f>
        <v>24557.1</v>
      </c>
      <c r="S29" s="13">
        <f t="shared" si="19"/>
        <v>26327.878200000003</v>
      </c>
      <c r="T29" s="13">
        <f t="shared" si="19"/>
        <v>27617.448599999996</v>
      </c>
      <c r="U29" s="13">
        <f t="shared" si="19"/>
        <v>28732.031999999999</v>
      </c>
      <c r="V29" s="142">
        <f>SUM(R29:U29)</f>
        <v>107234.45879999999</v>
      </c>
    </row>
    <row r="30" spans="1:22" ht="15" customHeight="1" x14ac:dyDescent="0.55000000000000004">
      <c r="B30" s="82" t="s">
        <v>243</v>
      </c>
      <c r="C30" s="15">
        <f>C29-C31</f>
        <v>9340</v>
      </c>
      <c r="D30" s="15">
        <f>D29-D31</f>
        <v>10616</v>
      </c>
      <c r="E30" s="15">
        <f>E29-E31</f>
        <v>11227</v>
      </c>
      <c r="F30" s="15">
        <f>F29-F31</f>
        <v>12487</v>
      </c>
      <c r="G30" s="142">
        <f>SUM(C30:F30)</f>
        <v>43670</v>
      </c>
      <c r="H30" s="15">
        <f>H29-H31</f>
        <v>11923</v>
      </c>
      <c r="I30" s="15">
        <f>I29-I31</f>
        <v>14024</v>
      </c>
      <c r="J30" s="15">
        <f>J29-J31</f>
        <v>15135</v>
      </c>
      <c r="K30" s="15">
        <f>K29-K31</f>
        <v>16173</v>
      </c>
      <c r="L30" s="142">
        <f>SUM(H30:K30)</f>
        <v>57255</v>
      </c>
      <c r="M30" s="15">
        <f>M29-M31</f>
        <v>16231</v>
      </c>
      <c r="N30" s="15">
        <f t="shared" ref="N30:P30" si="20">N29-N31</f>
        <v>16840.717841762671</v>
      </c>
      <c r="O30" s="15">
        <f t="shared" si="20"/>
        <v>17097.22585529643</v>
      </c>
      <c r="P30" s="15">
        <f t="shared" si="20"/>
        <v>17358.936000000002</v>
      </c>
      <c r="Q30" s="142">
        <f>SUM(M30:P30)</f>
        <v>67527.879697059107</v>
      </c>
      <c r="R30" s="15">
        <f t="shared" ref="R30" si="21">R29-R31</f>
        <v>17742.50475</v>
      </c>
      <c r="S30" s="15">
        <f t="shared" ref="S30" si="22">S29-S31</f>
        <v>18824.432913000001</v>
      </c>
      <c r="T30" s="15">
        <f t="shared" ref="T30" si="23">T29-T31</f>
        <v>19539.344884499998</v>
      </c>
      <c r="U30" s="15">
        <f t="shared" ref="U30" si="24">U29-U31</f>
        <v>20112.422399999999</v>
      </c>
      <c r="V30" s="142">
        <f>SUM(R30:U30)</f>
        <v>76218.704947499995</v>
      </c>
    </row>
    <row r="31" spans="1:22" ht="15" customHeight="1" x14ac:dyDescent="0.55000000000000004">
      <c r="B31" s="131" t="s">
        <v>245</v>
      </c>
      <c r="C31" s="132">
        <v>4163</v>
      </c>
      <c r="D31" s="132">
        <v>4193</v>
      </c>
      <c r="E31" s="132">
        <v>4883</v>
      </c>
      <c r="F31" s="132">
        <v>5293</v>
      </c>
      <c r="G31" s="143">
        <f>SUM(C31:F31)</f>
        <v>18532</v>
      </c>
      <c r="H31" s="132">
        <v>6518</v>
      </c>
      <c r="I31" s="132">
        <v>5715</v>
      </c>
      <c r="J31" s="132">
        <v>5403</v>
      </c>
      <c r="K31" s="132">
        <v>5205</v>
      </c>
      <c r="L31" s="143">
        <f>SUM(H31:K31)</f>
        <v>22841</v>
      </c>
      <c r="M31" s="132">
        <v>5123</v>
      </c>
      <c r="N31" s="139">
        <f>N32*N29</f>
        <v>5661.7421582373336</v>
      </c>
      <c r="O31" s="139">
        <f>O32*O29</f>
        <v>6110.7141447035683</v>
      </c>
      <c r="P31" s="139">
        <f>P32*P29</f>
        <v>6584.4240000000009</v>
      </c>
      <c r="Q31" s="143">
        <f>SUM(M31:P31)</f>
        <v>23479.880302940903</v>
      </c>
      <c r="R31" s="139">
        <f>R32*R29</f>
        <v>6814.5952500000003</v>
      </c>
      <c r="S31" s="139">
        <f>S32*S29</f>
        <v>7503.4452870000014</v>
      </c>
      <c r="T31" s="139">
        <f>T32*T29</f>
        <v>8078.1037154999985</v>
      </c>
      <c r="U31" s="139">
        <f>U32*U29</f>
        <v>8619.6095999999998</v>
      </c>
      <c r="V31" s="143">
        <f>SUM(R31:U31)</f>
        <v>31015.753852499998</v>
      </c>
    </row>
    <row r="32" spans="1:22" ht="15" customHeight="1" x14ac:dyDescent="0.55000000000000004">
      <c r="B32" s="21"/>
      <c r="C32" s="31">
        <f t="shared" ref="C32:M32" si="25">C31/C29</f>
        <v>0.30830185884618233</v>
      </c>
      <c r="D32" s="31">
        <f t="shared" si="25"/>
        <v>0.28313863191302585</v>
      </c>
      <c r="E32" s="31">
        <f t="shared" si="25"/>
        <v>0.3031036623215394</v>
      </c>
      <c r="F32" s="31">
        <f t="shared" si="25"/>
        <v>0.29769403824521934</v>
      </c>
      <c r="G32" s="144">
        <f t="shared" si="25"/>
        <v>0.29793254236198191</v>
      </c>
      <c r="H32" s="31">
        <f t="shared" si="25"/>
        <v>0.35345154818068436</v>
      </c>
      <c r="I32" s="31">
        <f t="shared" si="25"/>
        <v>0.28952834490095747</v>
      </c>
      <c r="J32" s="31">
        <f t="shared" si="25"/>
        <v>0.26307332749050538</v>
      </c>
      <c r="K32" s="31">
        <f t="shared" si="25"/>
        <v>0.24347460005613247</v>
      </c>
      <c r="L32" s="144">
        <f t="shared" si="25"/>
        <v>0.28517029564522572</v>
      </c>
      <c r="M32" s="31">
        <f t="shared" si="25"/>
        <v>0.23990821391776718</v>
      </c>
      <c r="N32" s="45">
        <f>$M32+1*($P32-$M32)/3</f>
        <v>0.25160547594517813</v>
      </c>
      <c r="O32" s="45">
        <f>$M32+2*($P32-$M32)/3</f>
        <v>0.26330273797258907</v>
      </c>
      <c r="P32" s="45">
        <v>0.27500000000000002</v>
      </c>
      <c r="Q32" s="144">
        <f>Q31/Q29</f>
        <v>0.25799866190466508</v>
      </c>
      <c r="R32" s="45">
        <v>0.27750000000000002</v>
      </c>
      <c r="S32" s="45">
        <f>$R32+1*($U32-$R32)/3</f>
        <v>0.28500000000000003</v>
      </c>
      <c r="T32" s="45">
        <f>$R32+2*($U32-$R32)/3</f>
        <v>0.29249999999999998</v>
      </c>
      <c r="U32" s="45">
        <v>0.3</v>
      </c>
      <c r="V32" s="144">
        <f>V31/V29</f>
        <v>0.28923308980694928</v>
      </c>
    </row>
    <row r="33" spans="2:25" ht="15" customHeight="1" x14ac:dyDescent="0.55000000000000004">
      <c r="B33" s="21"/>
      <c r="C33" s="134"/>
      <c r="D33" s="134"/>
      <c r="E33" s="134"/>
      <c r="F33" s="134"/>
      <c r="G33" s="145"/>
      <c r="H33" s="134"/>
      <c r="I33" s="134"/>
      <c r="J33" s="134"/>
      <c r="K33" s="134"/>
      <c r="L33" s="145"/>
      <c r="M33" s="134"/>
      <c r="N33" s="134"/>
      <c r="O33" s="134"/>
      <c r="P33" s="134"/>
      <c r="Q33" s="145"/>
      <c r="R33" s="134"/>
      <c r="S33" s="134"/>
      <c r="T33" s="134"/>
      <c r="U33" s="134"/>
      <c r="V33" s="145"/>
      <c r="W33" s="31"/>
    </row>
    <row r="34" spans="2:25" ht="15" customHeight="1" x14ac:dyDescent="0.55000000000000004">
      <c r="B34" s="18" t="s">
        <v>246</v>
      </c>
      <c r="C34" s="19">
        <f>C19+C24+C29</f>
        <v>108518</v>
      </c>
      <c r="D34" s="19">
        <f>D19+D24+D29</f>
        <v>113080</v>
      </c>
      <c r="E34" s="19">
        <f>E19+E24+E29</f>
        <v>110812</v>
      </c>
      <c r="F34" s="19">
        <f>F19+F24+F29</f>
        <v>137412</v>
      </c>
      <c r="G34" s="146">
        <f>SUM(C34:F34)</f>
        <v>469822</v>
      </c>
      <c r="H34" s="19">
        <f>H19+H24+H29</f>
        <v>116444</v>
      </c>
      <c r="I34" s="19">
        <f>I19+I24+I29</f>
        <v>121234</v>
      </c>
      <c r="J34" s="19">
        <f>J19+J24+J29</f>
        <v>127101</v>
      </c>
      <c r="K34" s="19">
        <f>K19+K24+K29</f>
        <v>149204</v>
      </c>
      <c r="L34" s="146">
        <f>SUM(H34:K34)</f>
        <v>513983</v>
      </c>
      <c r="M34" s="19">
        <f>M19+M24+M29</f>
        <v>127358</v>
      </c>
      <c r="N34" s="138">
        <f>N63</f>
        <v>132105.75199999998</v>
      </c>
      <c r="O34" s="138">
        <f t="shared" ref="O34:V34" si="26">O63</f>
        <v>138831.53099999999</v>
      </c>
      <c r="P34" s="138">
        <f t="shared" si="26"/>
        <v>161345.71400000001</v>
      </c>
      <c r="Q34" s="150">
        <f t="shared" si="26"/>
        <v>559640.99699999997</v>
      </c>
      <c r="R34" s="138">
        <f t="shared" si="26"/>
        <v>140124.71231921148</v>
      </c>
      <c r="S34" s="138">
        <f t="shared" si="26"/>
        <v>146626.23794918036</v>
      </c>
      <c r="T34" s="138">
        <f t="shared" si="26"/>
        <v>154976.28610502809</v>
      </c>
      <c r="U34" s="138">
        <f t="shared" si="26"/>
        <v>180302.26153462421</v>
      </c>
      <c r="V34" s="150">
        <f t="shared" si="26"/>
        <v>622029.49790804414</v>
      </c>
      <c r="W34"/>
    </row>
    <row r="35" spans="2:25" ht="15" customHeight="1" x14ac:dyDescent="0.55000000000000004">
      <c r="B35" s="18" t="s">
        <v>242</v>
      </c>
      <c r="C35" s="19">
        <f>C21+C26+C31</f>
        <v>8865</v>
      </c>
      <c r="D35" s="19">
        <f>D21+D26+D31</f>
        <v>7702</v>
      </c>
      <c r="E35" s="19">
        <f>E21+E26+E31</f>
        <v>4852</v>
      </c>
      <c r="F35" s="19">
        <f>F21+F26+F31</f>
        <v>3460</v>
      </c>
      <c r="G35" s="146">
        <f>SUM(C35:F35)</f>
        <v>24879</v>
      </c>
      <c r="H35" s="19">
        <f>H21+H26+H31</f>
        <v>3669</v>
      </c>
      <c r="I35" s="19">
        <f>I21+I26+I31</f>
        <v>3317</v>
      </c>
      <c r="J35" s="19">
        <f>J21+J26+J31</f>
        <v>2525</v>
      </c>
      <c r="K35" s="19">
        <f>K21+K26+K31</f>
        <v>2737</v>
      </c>
      <c r="L35" s="146">
        <f>SUM(H35:K35)</f>
        <v>12248</v>
      </c>
      <c r="M35" s="19">
        <f>M21+M26+M31</f>
        <v>4774</v>
      </c>
      <c r="N35" s="19">
        <f>N34*N36</f>
        <v>6341.0760959999989</v>
      </c>
      <c r="O35" s="19">
        <f>O34*O36</f>
        <v>6825.1841338452232</v>
      </c>
      <c r="P35" s="19">
        <f>P34*P36</f>
        <v>8874.0142699999997</v>
      </c>
      <c r="Q35" s="146">
        <f>SUM(M35:P35)</f>
        <v>26814.274499845222</v>
      </c>
      <c r="R35" s="19">
        <f t="shared" ref="R35:U35" si="27">R34*R36</f>
        <v>8057.1709583546608</v>
      </c>
      <c r="S35" s="19">
        <f t="shared" si="27"/>
        <v>8553.1972137021876</v>
      </c>
      <c r="T35" s="19">
        <f t="shared" si="27"/>
        <v>9169.4302612141619</v>
      </c>
      <c r="U35" s="19">
        <f t="shared" si="27"/>
        <v>10818.135692077452</v>
      </c>
      <c r="V35" s="146">
        <f>SUM(R35:U35)</f>
        <v>36597.93412534846</v>
      </c>
      <c r="W35"/>
    </row>
    <row r="36" spans="2:25" ht="15" customHeight="1" x14ac:dyDescent="0.55000000000000004">
      <c r="B36" s="103" t="s">
        <v>268</v>
      </c>
      <c r="C36" s="151">
        <f>C35/C34</f>
        <v>8.1691516614755155E-2</v>
      </c>
      <c r="D36" s="151">
        <f t="shared" ref="D36:V36" si="28">D35/D34</f>
        <v>6.8111071807569867E-2</v>
      </c>
      <c r="E36" s="151">
        <f t="shared" si="28"/>
        <v>4.3785871566256365E-2</v>
      </c>
      <c r="F36" s="151">
        <f t="shared" si="28"/>
        <v>2.5179751404535267E-2</v>
      </c>
      <c r="G36" s="152">
        <f t="shared" si="28"/>
        <v>5.2954097509269465E-2</v>
      </c>
      <c r="H36" s="151">
        <f t="shared" si="28"/>
        <v>3.1508708048504003E-2</v>
      </c>
      <c r="I36" s="151">
        <f t="shared" si="28"/>
        <v>2.7360311463780786E-2</v>
      </c>
      <c r="J36" s="151">
        <f t="shared" si="28"/>
        <v>1.986609074672898E-2</v>
      </c>
      <c r="K36" s="151">
        <f t="shared" si="28"/>
        <v>1.8344012224873328E-2</v>
      </c>
      <c r="L36" s="152">
        <f t="shared" si="28"/>
        <v>2.3829581912242232E-2</v>
      </c>
      <c r="M36" s="151">
        <f t="shared" si="28"/>
        <v>3.7484885126964934E-2</v>
      </c>
      <c r="N36" s="153">
        <v>4.8000000000000001E-2</v>
      </c>
      <c r="O36" s="153">
        <f>$M36+2*($P36-$M36)/3</f>
        <v>4.9161628375654978E-2</v>
      </c>
      <c r="P36" s="153">
        <v>5.5E-2</v>
      </c>
      <c r="Q36" s="152">
        <f t="shared" si="28"/>
        <v>4.7913349171317454E-2</v>
      </c>
      <c r="R36" s="153">
        <v>5.7500000000000002E-2</v>
      </c>
      <c r="S36" s="153">
        <f>$R36+1*($U36-$R36)/3</f>
        <v>5.8333333333333334E-2</v>
      </c>
      <c r="T36" s="153">
        <f>$R36+2*($U36-$R36)/3</f>
        <v>5.9166666666666666E-2</v>
      </c>
      <c r="U36" s="153">
        <v>0.06</v>
      </c>
      <c r="V36" s="152">
        <f t="shared" si="28"/>
        <v>5.8836332116774963E-2</v>
      </c>
      <c r="W36"/>
    </row>
    <row r="37" spans="2:25" ht="15" customHeight="1" x14ac:dyDescent="0.55000000000000004">
      <c r="B37" s="7" t="s">
        <v>269</v>
      </c>
      <c r="C37" s="154"/>
      <c r="D37" s="154"/>
      <c r="E37" s="154"/>
      <c r="F37" s="154"/>
      <c r="G37" s="154"/>
      <c r="H37" s="154"/>
      <c r="I37" s="154"/>
      <c r="J37" s="154"/>
      <c r="K37" s="154"/>
      <c r="L37" s="154"/>
      <c r="M37" s="156">
        <f>M36-D9</f>
        <v>5.7388533809331899E-3</v>
      </c>
      <c r="N37" s="156">
        <f>N36-D14</f>
        <v>6.6466165413533868E-3</v>
      </c>
      <c r="O37" s="155"/>
      <c r="P37" s="155"/>
      <c r="Q37" s="154"/>
      <c r="R37" s="155"/>
      <c r="S37" s="155"/>
      <c r="T37" s="155"/>
      <c r="U37" s="155"/>
      <c r="V37" s="154"/>
      <c r="W37"/>
    </row>
    <row r="38" spans="2:25" customFormat="1" ht="15" customHeight="1" x14ac:dyDescent="0.55000000000000004">
      <c r="C38" s="3"/>
      <c r="D38" s="3"/>
      <c r="E38" s="3"/>
      <c r="N38" s="157"/>
      <c r="T38" s="3"/>
      <c r="X38" s="3"/>
      <c r="Y38" s="3"/>
    </row>
    <row r="39" spans="2:25" customFormat="1" ht="15" customHeight="1" x14ac:dyDescent="0.55000000000000004">
      <c r="B39" s="136" t="s">
        <v>7</v>
      </c>
      <c r="C39" s="121"/>
      <c r="D39" s="121"/>
      <c r="E39" s="121"/>
      <c r="F39" s="121"/>
      <c r="G39" s="121"/>
      <c r="H39" s="121" t="s">
        <v>224</v>
      </c>
      <c r="I39" s="121" t="s">
        <v>225</v>
      </c>
      <c r="J39" s="121" t="s">
        <v>226</v>
      </c>
      <c r="K39" s="121" t="s">
        <v>227</v>
      </c>
      <c r="L39" s="140">
        <v>2022</v>
      </c>
      <c r="M39" s="121" t="s">
        <v>228</v>
      </c>
      <c r="N39" s="121" t="s">
        <v>247</v>
      </c>
      <c r="O39" s="121" t="s">
        <v>253</v>
      </c>
      <c r="P39" s="121" t="s">
        <v>254</v>
      </c>
      <c r="Q39" s="147">
        <v>2023</v>
      </c>
      <c r="R39" s="121" t="s">
        <v>255</v>
      </c>
      <c r="S39" s="121" t="s">
        <v>256</v>
      </c>
      <c r="T39" s="121" t="s">
        <v>257</v>
      </c>
      <c r="U39" s="121" t="s">
        <v>258</v>
      </c>
      <c r="V39" s="147">
        <v>2024</v>
      </c>
    </row>
    <row r="40" spans="2:25" customFormat="1" ht="15" customHeight="1" x14ac:dyDescent="0.55000000000000004">
      <c r="B40" s="21" t="s">
        <v>103</v>
      </c>
      <c r="C40" s="3"/>
      <c r="D40" s="3"/>
      <c r="E40" s="3"/>
      <c r="F40" s="3"/>
      <c r="G40" s="3"/>
      <c r="H40" s="3"/>
      <c r="I40" s="3"/>
      <c r="J40" s="3"/>
      <c r="K40" s="3"/>
      <c r="L40" s="141"/>
      <c r="M40" s="3"/>
      <c r="N40" s="3"/>
      <c r="O40" s="3"/>
      <c r="P40" s="3"/>
      <c r="Q40" s="141"/>
      <c r="R40" s="3"/>
      <c r="S40" s="3"/>
      <c r="T40" s="3"/>
      <c r="U40" s="3"/>
      <c r="V40" s="141"/>
    </row>
    <row r="41" spans="2:25" customFormat="1" ht="15" customHeight="1" x14ac:dyDescent="0.55000000000000004">
      <c r="B41" s="82" t="s">
        <v>244</v>
      </c>
      <c r="C41" s="31"/>
      <c r="D41" s="31"/>
      <c r="E41" s="31"/>
      <c r="F41" s="31"/>
      <c r="G41" s="31"/>
      <c r="H41" s="31">
        <f>H19/C19-1</f>
        <v>7.5785352515303162E-2</v>
      </c>
      <c r="I41" s="31">
        <f t="shared" ref="I41:M41" si="29">I19/D19-1</f>
        <v>0.10185048112509243</v>
      </c>
      <c r="J41" s="31">
        <f t="shared" si="29"/>
        <v>0.20266333114694079</v>
      </c>
      <c r="K41" s="31">
        <f t="shared" si="29"/>
        <v>0.13359640602234091</v>
      </c>
      <c r="L41" s="144">
        <f t="shared" si="29"/>
        <v>0.12881611532592663</v>
      </c>
      <c r="M41" s="31">
        <f t="shared" si="29"/>
        <v>0.11029114435907794</v>
      </c>
      <c r="N41" s="45">
        <f>$M41+1*($P41-$M41)/3</f>
        <v>0.11102742957271863</v>
      </c>
      <c r="O41" s="45">
        <f>$M41+2*($P41-$M41)/3</f>
        <v>0.11176371478635931</v>
      </c>
      <c r="P41" s="45">
        <v>0.1125</v>
      </c>
      <c r="Q41" s="144">
        <f>Q19/L19-1</f>
        <v>0.11148504383942748</v>
      </c>
      <c r="R41" s="45">
        <v>0.1125</v>
      </c>
      <c r="S41" s="45">
        <f>$R41+1*($U41-$R41)/3</f>
        <v>0.10833333333333334</v>
      </c>
      <c r="T41" s="45">
        <f>$R41+2*($U41-$R41)/3</f>
        <v>0.10416666666666667</v>
      </c>
      <c r="U41" s="45">
        <v>0.1</v>
      </c>
      <c r="V41" s="144">
        <f>V19/Q19-1</f>
        <v>0.1057401854180795</v>
      </c>
    </row>
    <row r="42" spans="2:25" customFormat="1" ht="15" customHeight="1" x14ac:dyDescent="0.55000000000000004">
      <c r="B42" s="82" t="s">
        <v>243</v>
      </c>
      <c r="C42" s="89"/>
      <c r="D42" s="89"/>
      <c r="E42" s="89"/>
      <c r="F42" s="89"/>
      <c r="G42" s="89"/>
      <c r="H42" s="89">
        <f t="shared" ref="H42:M42" si="30">H20/C20-1</f>
        <v>0.16245321426226278</v>
      </c>
      <c r="I42" s="89">
        <f t="shared" si="30"/>
        <v>0.16542707637842957</v>
      </c>
      <c r="J42" s="89">
        <f t="shared" si="30"/>
        <v>0.2253969726487004</v>
      </c>
      <c r="K42" s="89">
        <f t="shared" si="30"/>
        <v>0.13367487827919478</v>
      </c>
      <c r="L42" s="158">
        <f t="shared" si="30"/>
        <v>0.16937430749700977</v>
      </c>
      <c r="M42" s="89">
        <f t="shared" si="30"/>
        <v>7.3024346156018716E-2</v>
      </c>
      <c r="N42" s="89">
        <f t="shared" ref="N42:P43" si="31">N20/I20-1</f>
        <v>8.582210164320947E-2</v>
      </c>
      <c r="O42" s="89">
        <f t="shared" si="31"/>
        <v>8.6931744420596591E-2</v>
      </c>
      <c r="P42" s="89">
        <f t="shared" si="31"/>
        <v>8.7454576776385462E-2</v>
      </c>
      <c r="Q42" s="158">
        <f>Q20/L20-1</f>
        <v>8.3734153796473976E-2</v>
      </c>
      <c r="R42" s="89">
        <f t="shared" ref="R42:U43" si="32">R20/M20-1</f>
        <v>0.10032092663819547</v>
      </c>
      <c r="S42" s="89">
        <f t="shared" si="32"/>
        <v>9.7410130248474447E-2</v>
      </c>
      <c r="T42" s="89">
        <f t="shared" si="32"/>
        <v>9.4497038748132978E-2</v>
      </c>
      <c r="U42" s="89">
        <f t="shared" si="32"/>
        <v>9.1581632653061185E-2</v>
      </c>
      <c r="V42" s="158">
        <f>V20/Q20-1</f>
        <v>9.5606349376398114E-2</v>
      </c>
    </row>
    <row r="43" spans="2:25" customFormat="1" ht="15" customHeight="1" x14ac:dyDescent="0.55000000000000004">
      <c r="B43" s="131" t="s">
        <v>245</v>
      </c>
      <c r="C43" s="148"/>
      <c r="D43" s="148"/>
      <c r="E43" s="148"/>
      <c r="F43" s="148"/>
      <c r="G43" s="148"/>
      <c r="H43" s="148">
        <f t="shared" ref="H43:M43" si="33">H21/C21-1</f>
        <v>-1.4544927536231884</v>
      </c>
      <c r="I43" s="148">
        <f t="shared" si="33"/>
        <v>-1.1992373689227835</v>
      </c>
      <c r="J43" s="148">
        <f t="shared" si="33"/>
        <v>-1.4681818181818183</v>
      </c>
      <c r="K43" s="148">
        <f t="shared" si="33"/>
        <v>0.16504854368932032</v>
      </c>
      <c r="L43" s="159">
        <f t="shared" si="33"/>
        <v>-1.3915554944299271</v>
      </c>
      <c r="M43" s="148">
        <f t="shared" si="33"/>
        <v>-1.572704081632653</v>
      </c>
      <c r="N43" s="148">
        <f t="shared" si="31"/>
        <v>-2.9062553430032922</v>
      </c>
      <c r="O43" s="148">
        <f t="shared" si="31"/>
        <v>-4.6650756331226528</v>
      </c>
      <c r="P43" s="148">
        <f t="shared" si="31"/>
        <v>-9.655528125</v>
      </c>
      <c r="Q43" s="159">
        <f>Q21/L21-1</f>
        <v>-2.995279245138601</v>
      </c>
      <c r="R43" s="148">
        <f t="shared" si="32"/>
        <v>1.1430150682071267</v>
      </c>
      <c r="S43" s="148">
        <f t="shared" si="32"/>
        <v>0.85315323507178342</v>
      </c>
      <c r="T43" s="148">
        <f t="shared" si="32"/>
        <v>0.65581022194732741</v>
      </c>
      <c r="U43" s="148">
        <f t="shared" si="32"/>
        <v>0.51250000000000018</v>
      </c>
      <c r="V43" s="159">
        <f>V21/Q21-1</f>
        <v>0.72194393485583896</v>
      </c>
    </row>
    <row r="44" spans="2:25" customFormat="1" ht="15" customHeight="1" x14ac:dyDescent="0.55000000000000004">
      <c r="B44" s="21"/>
      <c r="C44" s="31"/>
      <c r="D44" s="31"/>
      <c r="E44" s="31"/>
      <c r="F44" s="31"/>
      <c r="G44" s="31"/>
      <c r="H44" s="31"/>
      <c r="I44" s="31"/>
      <c r="J44" s="31"/>
      <c r="K44" s="31"/>
      <c r="L44" s="144"/>
      <c r="M44" s="31"/>
      <c r="N44" s="31"/>
      <c r="O44" s="31"/>
      <c r="P44" s="31"/>
      <c r="Q44" s="144"/>
      <c r="R44" s="31"/>
      <c r="S44" s="31"/>
      <c r="T44" s="31"/>
      <c r="U44" s="31"/>
      <c r="V44" s="144"/>
    </row>
    <row r="45" spans="2:25" customFormat="1" ht="15" customHeight="1" x14ac:dyDescent="0.55000000000000004">
      <c r="B45" s="21" t="s">
        <v>64</v>
      </c>
      <c r="C45" s="107"/>
      <c r="D45" s="107"/>
      <c r="E45" s="107"/>
      <c r="F45" s="107"/>
      <c r="G45" s="107"/>
      <c r="H45" s="107"/>
      <c r="I45" s="107"/>
      <c r="J45" s="107"/>
      <c r="K45" s="107"/>
      <c r="L45" s="160"/>
      <c r="M45" s="107"/>
      <c r="N45" s="107"/>
      <c r="O45" s="107"/>
      <c r="P45" s="107"/>
      <c r="Q45" s="160"/>
      <c r="R45" s="107"/>
      <c r="S45" s="107"/>
      <c r="T45" s="107"/>
      <c r="U45" s="107"/>
      <c r="V45" s="160"/>
    </row>
    <row r="46" spans="2:25" customFormat="1" ht="15" customHeight="1" x14ac:dyDescent="0.55000000000000004">
      <c r="B46" s="82" t="s">
        <v>244</v>
      </c>
      <c r="C46" s="31"/>
      <c r="D46" s="31"/>
      <c r="E46" s="31"/>
      <c r="F46" s="31"/>
      <c r="G46" s="31"/>
      <c r="H46" s="31">
        <f t="shared" ref="H46:M46" si="34">H24/C24-1</f>
        <v>-6.1665959737674969E-2</v>
      </c>
      <c r="I46" s="31">
        <f t="shared" si="34"/>
        <v>-0.11900654275576972</v>
      </c>
      <c r="J46" s="31">
        <f t="shared" si="34"/>
        <v>-4.8893463715903196E-2</v>
      </c>
      <c r="K46" s="31">
        <f t="shared" si="34"/>
        <v>-7.5364885168491047E-2</v>
      </c>
      <c r="L46" s="144">
        <f t="shared" si="34"/>
        <v>-7.6533606704907386E-2</v>
      </c>
      <c r="M46" s="31">
        <f t="shared" si="34"/>
        <v>1.2656907402899931E-2</v>
      </c>
      <c r="N46" s="31">
        <f t="shared" ref="N46" si="35">N24/I24-1</f>
        <v>-5.7446733086080615E-3</v>
      </c>
      <c r="O46" s="31">
        <f t="shared" ref="O46" si="36">O24/J24-1</f>
        <v>8.9756289718279092E-3</v>
      </c>
      <c r="P46" s="31">
        <f t="shared" ref="P46" si="37">P24/K24-1</f>
        <v>-2.6897934016191782E-2</v>
      </c>
      <c r="Q46" s="144">
        <f t="shared" ref="Q46" si="38">Q24/L24-1</f>
        <v>-3.9799219368208405E-3</v>
      </c>
      <c r="R46" s="31">
        <f t="shared" ref="R46" si="39">R24/M24-1</f>
        <v>3.14012917354487E-2</v>
      </c>
      <c r="S46" s="31">
        <f t="shared" ref="S46" si="40">S24/N24-1</f>
        <v>6.4533882461441872E-2</v>
      </c>
      <c r="T46" s="31">
        <f t="shared" ref="T46" si="41">T24/O24-1</f>
        <v>9.3123021301394049E-2</v>
      </c>
      <c r="U46" s="31">
        <f t="shared" ref="U46" si="42">U24/P24-1</f>
        <v>0.11275166758771737</v>
      </c>
      <c r="V46" s="144">
        <f t="shared" ref="V46" si="43">V24/Q24-1</f>
        <v>7.6884987347420441E-2</v>
      </c>
    </row>
    <row r="47" spans="2:25" customFormat="1" ht="15" customHeight="1" x14ac:dyDescent="0.55000000000000004">
      <c r="B47" s="82" t="s">
        <v>243</v>
      </c>
      <c r="C47" s="89"/>
      <c r="D47" s="89"/>
      <c r="E47" s="89"/>
      <c r="F47" s="89"/>
      <c r="G47" s="89"/>
      <c r="H47" s="89">
        <f t="shared" ref="H47:M47" si="44">H25/C25-1</f>
        <v>2.1872980236078421E-2</v>
      </c>
      <c r="I47" s="89">
        <f t="shared" si="44"/>
        <v>-5.0166342764913163E-2</v>
      </c>
      <c r="J47" s="89">
        <f t="shared" si="44"/>
        <v>4.325259515570945E-3</v>
      </c>
      <c r="K47" s="89">
        <f t="shared" si="44"/>
        <v>-5.6762384637137231E-2</v>
      </c>
      <c r="L47" s="158">
        <f t="shared" si="44"/>
        <v>-2.2981718734218504E-2</v>
      </c>
      <c r="M47" s="89">
        <f t="shared" si="44"/>
        <v>1.0985352862849629E-2</v>
      </c>
      <c r="N47" s="89">
        <f t="shared" ref="N47:V48" si="45">N25/I25-1</f>
        <v>-4.8917721625644228E-2</v>
      </c>
      <c r="O47" s="89">
        <f t="shared" si="45"/>
        <v>-4.7096481587360239E-2</v>
      </c>
      <c r="P47" s="89">
        <f t="shared" si="45"/>
        <v>-9.1773105666240196E-2</v>
      </c>
      <c r="Q47" s="158">
        <f t="shared" si="45"/>
        <v>-4.6674773834366912E-2</v>
      </c>
      <c r="R47" s="89">
        <f t="shared" si="45"/>
        <v>1.1503182156958003E-2</v>
      </c>
      <c r="S47" s="89">
        <f t="shared" si="45"/>
        <v>8.6994709054069252E-2</v>
      </c>
      <c r="T47" s="89">
        <f t="shared" si="45"/>
        <v>0.11187335227915907</v>
      </c>
      <c r="U47" s="89">
        <f t="shared" si="45"/>
        <v>0.14815065772708036</v>
      </c>
      <c r="V47" s="158">
        <f t="shared" si="45"/>
        <v>9.0839157367450296E-2</v>
      </c>
    </row>
    <row r="48" spans="2:25" customFormat="1" ht="15" customHeight="1" x14ac:dyDescent="0.55000000000000004">
      <c r="B48" s="131" t="s">
        <v>245</v>
      </c>
      <c r="C48" s="148"/>
      <c r="D48" s="148"/>
      <c r="E48" s="148"/>
      <c r="F48" s="148"/>
      <c r="G48" s="148"/>
      <c r="H48" s="148">
        <f t="shared" ref="H48:M48" si="46">H26/C26-1</f>
        <v>-2.0231629392971247</v>
      </c>
      <c r="I48" s="148">
        <f t="shared" si="46"/>
        <v>-5.8922651933701662</v>
      </c>
      <c r="J48" s="148">
        <f t="shared" si="46"/>
        <v>1.7069154774972559</v>
      </c>
      <c r="K48" s="148">
        <f t="shared" si="46"/>
        <v>0.36939151813153037</v>
      </c>
      <c r="L48" s="159">
        <f t="shared" si="46"/>
        <v>7.3831168831168839</v>
      </c>
      <c r="M48" s="148">
        <f t="shared" si="46"/>
        <v>-2.6541764246682309E-2</v>
      </c>
      <c r="N48" s="148">
        <f t="shared" si="45"/>
        <v>-0.70870233636341107</v>
      </c>
      <c r="O48" s="148">
        <f t="shared" si="45"/>
        <v>-0.67739611853005743</v>
      </c>
      <c r="P48" s="148">
        <f t="shared" si="45"/>
        <v>-1.0952708797127462</v>
      </c>
      <c r="Q48" s="159">
        <f t="shared" si="45"/>
        <v>-0.69711259824357363</v>
      </c>
      <c r="R48" s="148">
        <f t="shared" si="45"/>
        <v>-0.45320623665169257</v>
      </c>
      <c r="S48" s="148">
        <f t="shared" si="45"/>
        <v>1.2585859878298491</v>
      </c>
      <c r="T48" s="148">
        <f t="shared" si="45"/>
        <v>0.77107787727768251</v>
      </c>
      <c r="U48" s="148">
        <f t="shared" si="45"/>
        <v>-5.4446196750979832</v>
      </c>
      <c r="V48" s="159">
        <f t="shared" si="45"/>
        <v>0.78990997117669526</v>
      </c>
    </row>
    <row r="49" spans="1:22" customFormat="1" ht="15" customHeight="1" x14ac:dyDescent="0.55000000000000004">
      <c r="B49" s="21"/>
      <c r="C49" s="31"/>
      <c r="D49" s="31"/>
      <c r="E49" s="31"/>
      <c r="F49" s="31"/>
      <c r="G49" s="31"/>
      <c r="H49" s="31"/>
      <c r="I49" s="31"/>
      <c r="J49" s="31"/>
      <c r="K49" s="31"/>
      <c r="L49" s="144"/>
      <c r="M49" s="31"/>
      <c r="N49" s="31"/>
      <c r="O49" s="31"/>
      <c r="P49" s="31"/>
      <c r="Q49" s="144"/>
      <c r="R49" s="31"/>
      <c r="S49" s="31"/>
      <c r="T49" s="31"/>
      <c r="U49" s="31"/>
      <c r="V49" s="144"/>
    </row>
    <row r="50" spans="1:22" customFormat="1" ht="15" customHeight="1" x14ac:dyDescent="0.55000000000000004">
      <c r="B50" s="21" t="s">
        <v>89</v>
      </c>
      <c r="C50" s="107"/>
      <c r="D50" s="107"/>
      <c r="E50" s="107"/>
      <c r="F50" s="107"/>
      <c r="G50" s="107"/>
      <c r="H50" s="107"/>
      <c r="I50" s="107"/>
      <c r="J50" s="107"/>
      <c r="K50" s="107"/>
      <c r="L50" s="160"/>
      <c r="M50" s="107"/>
      <c r="N50" s="107"/>
      <c r="O50" s="107"/>
      <c r="P50" s="107"/>
      <c r="Q50" s="160"/>
      <c r="R50" s="107"/>
      <c r="S50" s="107"/>
      <c r="T50" s="107"/>
      <c r="U50" s="107"/>
      <c r="V50" s="160"/>
    </row>
    <row r="51" spans="1:22" customFormat="1" ht="15" customHeight="1" x14ac:dyDescent="0.55000000000000004">
      <c r="B51" s="82" t="s">
        <v>244</v>
      </c>
      <c r="C51" s="31"/>
      <c r="D51" s="31"/>
      <c r="E51" s="31"/>
      <c r="F51" s="31"/>
      <c r="G51" s="31"/>
      <c r="H51" s="31">
        <f t="shared" ref="H51:M51" si="47">H29/C29-1</f>
        <v>0.36569651188624741</v>
      </c>
      <c r="I51" s="31">
        <f t="shared" si="47"/>
        <v>0.33290566547369838</v>
      </c>
      <c r="J51" s="31">
        <f t="shared" si="47"/>
        <v>0.27486033519553077</v>
      </c>
      <c r="K51" s="31">
        <f t="shared" si="47"/>
        <v>0.20236220472440936</v>
      </c>
      <c r="L51" s="144">
        <f t="shared" si="47"/>
        <v>0.28767563743931057</v>
      </c>
      <c r="M51" s="31">
        <f t="shared" si="47"/>
        <v>0.157963234097934</v>
      </c>
      <c r="N51" s="31">
        <f t="shared" ref="N51:V53" si="48">N29/I29-1</f>
        <v>0.14000000000000012</v>
      </c>
      <c r="O51" s="31">
        <f t="shared" si="48"/>
        <v>0.12999999999999989</v>
      </c>
      <c r="P51" s="31">
        <f t="shared" si="48"/>
        <v>0.12000000000000011</v>
      </c>
      <c r="Q51" s="144">
        <f t="shared" si="48"/>
        <v>0.13623351977626852</v>
      </c>
      <c r="R51" s="31">
        <f t="shared" si="48"/>
        <v>0.14999999999999991</v>
      </c>
      <c r="S51" s="31">
        <f t="shared" si="48"/>
        <v>0.16999999999999993</v>
      </c>
      <c r="T51" s="31">
        <f t="shared" si="48"/>
        <v>0.18999999999999995</v>
      </c>
      <c r="U51" s="31">
        <f t="shared" si="48"/>
        <v>0.19999999999999996</v>
      </c>
      <c r="V51" s="144">
        <f t="shared" si="48"/>
        <v>0.17830016693081974</v>
      </c>
    </row>
    <row r="52" spans="1:22" customFormat="1" ht="15" customHeight="1" x14ac:dyDescent="0.55000000000000004">
      <c r="B52" s="82" t="s">
        <v>243</v>
      </c>
      <c r="C52" s="89"/>
      <c r="D52" s="89"/>
      <c r="E52" s="89"/>
      <c r="F52" s="89"/>
      <c r="G52" s="89"/>
      <c r="H52" s="89">
        <f t="shared" ref="H52:M52" si="49">H30/C30-1</f>
        <v>0.27655246252676657</v>
      </c>
      <c r="I52" s="89">
        <f t="shared" si="49"/>
        <v>0.32102486812358699</v>
      </c>
      <c r="J52" s="89">
        <f t="shared" si="49"/>
        <v>0.34808942727353709</v>
      </c>
      <c r="K52" s="89">
        <f t="shared" si="49"/>
        <v>0.29518699447425312</v>
      </c>
      <c r="L52" s="158">
        <f t="shared" si="49"/>
        <v>0.31108312342569278</v>
      </c>
      <c r="M52" s="89">
        <f t="shared" si="49"/>
        <v>0.36131846011909752</v>
      </c>
      <c r="N52" s="89">
        <f t="shared" si="48"/>
        <v>0.20084981758147968</v>
      </c>
      <c r="O52" s="89">
        <f t="shared" si="48"/>
        <v>0.12964822301264811</v>
      </c>
      <c r="P52" s="89">
        <f t="shared" si="48"/>
        <v>7.3328139491745548E-2</v>
      </c>
      <c r="Q52" s="158">
        <f t="shared" si="48"/>
        <v>0.17942327651836698</v>
      </c>
      <c r="R52" s="89">
        <f t="shared" si="48"/>
        <v>9.3124561025198727E-2</v>
      </c>
      <c r="S52" s="89">
        <f t="shared" si="48"/>
        <v>0.11779278590595399</v>
      </c>
      <c r="T52" s="89">
        <f t="shared" si="48"/>
        <v>0.14283715088474658</v>
      </c>
      <c r="U52" s="89">
        <f t="shared" si="48"/>
        <v>0.15862068965517229</v>
      </c>
      <c r="V52" s="158">
        <f t="shared" si="48"/>
        <v>0.1286998094628371</v>
      </c>
    </row>
    <row r="53" spans="1:22" customFormat="1" ht="15" customHeight="1" x14ac:dyDescent="0.55000000000000004">
      <c r="B53" s="131" t="s">
        <v>245</v>
      </c>
      <c r="C53" s="148"/>
      <c r="D53" s="148"/>
      <c r="E53" s="148"/>
      <c r="F53" s="148"/>
      <c r="G53" s="148"/>
      <c r="H53" s="148">
        <f t="shared" ref="H53:M53" si="50">H31/C31-1</f>
        <v>0.56569781407638731</v>
      </c>
      <c r="I53" s="148">
        <f t="shared" si="50"/>
        <v>0.3629859289291677</v>
      </c>
      <c r="J53" s="148">
        <f t="shared" si="50"/>
        <v>0.1064919107106288</v>
      </c>
      <c r="K53" s="148">
        <f t="shared" si="50"/>
        <v>-1.6625732098998647E-2</v>
      </c>
      <c r="L53" s="159">
        <f t="shared" si="50"/>
        <v>0.23251672782214539</v>
      </c>
      <c r="M53" s="148">
        <f t="shared" si="50"/>
        <v>-0.21402270635164156</v>
      </c>
      <c r="N53" s="148">
        <f t="shared" si="48"/>
        <v>-9.3189574387867458E-3</v>
      </c>
      <c r="O53" s="148">
        <f t="shared" si="48"/>
        <v>0.13098540527550773</v>
      </c>
      <c r="P53" s="148">
        <f t="shared" si="48"/>
        <v>0.26501902017291079</v>
      </c>
      <c r="Q53" s="159">
        <f t="shared" si="48"/>
        <v>2.7970767608287872E-2</v>
      </c>
      <c r="R53" s="148">
        <f t="shared" si="48"/>
        <v>0.33019622291626005</v>
      </c>
      <c r="S53" s="148">
        <f t="shared" si="48"/>
        <v>0.32528912078469574</v>
      </c>
      <c r="T53" s="148">
        <f t="shared" si="48"/>
        <v>0.32195738897419313</v>
      </c>
      <c r="U53" s="148">
        <f t="shared" si="48"/>
        <v>0.30909090909090886</v>
      </c>
      <c r="V53" s="159">
        <f t="shared" si="48"/>
        <v>0.32095025410394507</v>
      </c>
    </row>
    <row r="54" spans="1:22" customFormat="1" ht="15" customHeight="1" x14ac:dyDescent="0.55000000000000004">
      <c r="C54" s="3"/>
      <c r="D54" s="3"/>
      <c r="E54" s="3"/>
      <c r="T54" s="3"/>
    </row>
    <row r="55" spans="1:22" ht="15" customHeight="1" x14ac:dyDescent="0.55000000000000004">
      <c r="A55" s="3" t="s">
        <v>9</v>
      </c>
      <c r="B55" s="6" t="s">
        <v>266</v>
      </c>
      <c r="C55" s="121" t="s">
        <v>252</v>
      </c>
      <c r="D55" s="121" t="s">
        <v>251</v>
      </c>
      <c r="E55" s="121" t="s">
        <v>250</v>
      </c>
      <c r="F55" s="121" t="s">
        <v>223</v>
      </c>
      <c r="G55" s="140">
        <v>2021</v>
      </c>
      <c r="H55" s="121" t="s">
        <v>224</v>
      </c>
      <c r="I55" s="121" t="s">
        <v>225</v>
      </c>
      <c r="J55" s="121" t="s">
        <v>226</v>
      </c>
      <c r="K55" s="121" t="s">
        <v>227</v>
      </c>
      <c r="L55" s="140">
        <v>2022</v>
      </c>
      <c r="M55" s="121" t="s">
        <v>228</v>
      </c>
      <c r="N55" s="121" t="s">
        <v>247</v>
      </c>
      <c r="O55" s="121" t="s">
        <v>253</v>
      </c>
      <c r="P55" s="121" t="s">
        <v>254</v>
      </c>
      <c r="Q55" s="122">
        <v>2023</v>
      </c>
      <c r="R55" s="121" t="s">
        <v>255</v>
      </c>
      <c r="S55" s="121" t="s">
        <v>256</v>
      </c>
      <c r="T55" s="121" t="s">
        <v>257</v>
      </c>
      <c r="U55" s="121" t="s">
        <v>258</v>
      </c>
      <c r="V55" s="122">
        <v>2024</v>
      </c>
    </row>
    <row r="56" spans="1:22" ht="15" customHeight="1" x14ac:dyDescent="0.55000000000000004">
      <c r="B56" s="21" t="s">
        <v>25</v>
      </c>
      <c r="C56" s="123">
        <v>52901</v>
      </c>
      <c r="D56" s="123">
        <v>53157</v>
      </c>
      <c r="E56" s="123">
        <v>49942</v>
      </c>
      <c r="F56" s="123">
        <v>66075</v>
      </c>
      <c r="G56" s="9">
        <f>SUM(C56:F56)</f>
        <v>222075</v>
      </c>
      <c r="H56" s="123">
        <v>51129</v>
      </c>
      <c r="I56" s="123">
        <v>50855</v>
      </c>
      <c r="J56" s="123">
        <v>53489</v>
      </c>
      <c r="K56" s="123">
        <v>64531</v>
      </c>
      <c r="L56" s="9">
        <f>SUM(H56:K56)</f>
        <v>220004</v>
      </c>
      <c r="M56" s="123">
        <v>51096</v>
      </c>
      <c r="N56" s="137">
        <f>I56*(1+N66)</f>
        <v>50905.854999999996</v>
      </c>
      <c r="O56" s="137">
        <f>J56*(1+O66)</f>
        <v>53542.488999999994</v>
      </c>
      <c r="P56" s="137">
        <f>K56*(1+P66)</f>
        <v>64595.530999999995</v>
      </c>
      <c r="Q56" s="9">
        <f>SUM(M56:P56)</f>
        <v>220139.87499999997</v>
      </c>
      <c r="R56" s="137">
        <f>M56*(1+R66)</f>
        <v>52628.880000000005</v>
      </c>
      <c r="S56" s="137">
        <f>N56*(1+S66)</f>
        <v>52687.559924999994</v>
      </c>
      <c r="T56" s="137">
        <f>O56*(1+T66)</f>
        <v>55684.188559999995</v>
      </c>
      <c r="U56" s="137">
        <f>P56*(1+U66)</f>
        <v>67502.329894999988</v>
      </c>
      <c r="V56" s="9">
        <f>SUM(R56:U56)</f>
        <v>228502.95837999997</v>
      </c>
    </row>
    <row r="57" spans="1:22" ht="15" customHeight="1" x14ac:dyDescent="0.55000000000000004">
      <c r="B57" s="21" t="s">
        <v>21</v>
      </c>
      <c r="C57" s="123">
        <v>3920</v>
      </c>
      <c r="D57" s="123">
        <v>4198</v>
      </c>
      <c r="E57" s="123">
        <v>4269</v>
      </c>
      <c r="F57" s="123">
        <v>4688</v>
      </c>
      <c r="G57" s="9">
        <f t="shared" ref="G57:G62" si="51">SUM(C57:F57)</f>
        <v>17075</v>
      </c>
      <c r="H57" s="123">
        <v>4591</v>
      </c>
      <c r="I57" s="123">
        <v>4721</v>
      </c>
      <c r="J57" s="123">
        <v>4694</v>
      </c>
      <c r="K57" s="123">
        <v>4957</v>
      </c>
      <c r="L57" s="9">
        <f t="shared" ref="L57:L62" si="52">SUM(H57:K57)</f>
        <v>18963</v>
      </c>
      <c r="M57" s="123">
        <v>4895</v>
      </c>
      <c r="N57" s="137">
        <f t="shared" ref="N57:U62" si="53">I57*(1+N67)</f>
        <v>5037.3069999999998</v>
      </c>
      <c r="O57" s="137">
        <f t="shared" si="53"/>
        <v>5013.192</v>
      </c>
      <c r="P57" s="137">
        <f t="shared" si="53"/>
        <v>5299.0329999999994</v>
      </c>
      <c r="Q57" s="9">
        <f t="shared" ref="Q57:Q62" si="54">SUM(M57:P57)</f>
        <v>20244.531999999999</v>
      </c>
      <c r="R57" s="137">
        <f t="shared" si="53"/>
        <v>5236.2623192115007</v>
      </c>
      <c r="S57" s="137">
        <f t="shared" si="53"/>
        <v>5391.0091201803525</v>
      </c>
      <c r="T57" s="137">
        <f t="shared" si="53"/>
        <v>5367.7074450280979</v>
      </c>
      <c r="U57" s="137">
        <f t="shared" si="53"/>
        <v>5676.4116396242634</v>
      </c>
      <c r="V57" s="9">
        <f t="shared" ref="V57:V62" si="55">SUM(R57:U57)</f>
        <v>21671.390524044215</v>
      </c>
    </row>
    <row r="58" spans="1:22" ht="15" customHeight="1" x14ac:dyDescent="0.55000000000000004">
      <c r="B58" s="21" t="s">
        <v>24</v>
      </c>
      <c r="C58" s="123">
        <v>23709</v>
      </c>
      <c r="D58" s="123">
        <v>25085</v>
      </c>
      <c r="E58" s="123">
        <v>24252</v>
      </c>
      <c r="F58" s="123">
        <v>30320</v>
      </c>
      <c r="G58" s="9">
        <f t="shared" si="51"/>
        <v>103366</v>
      </c>
      <c r="H58" s="123">
        <v>25335</v>
      </c>
      <c r="I58" s="123">
        <v>27376</v>
      </c>
      <c r="J58" s="123">
        <v>28666</v>
      </c>
      <c r="K58" s="123">
        <v>36339</v>
      </c>
      <c r="L58" s="9">
        <f t="shared" si="52"/>
        <v>117716</v>
      </c>
      <c r="M58" s="123">
        <v>29820</v>
      </c>
      <c r="N58" s="137">
        <f t="shared" si="53"/>
        <v>31893.040000000001</v>
      </c>
      <c r="O58" s="137">
        <f t="shared" si="53"/>
        <v>33252.559999999998</v>
      </c>
      <c r="P58" s="137">
        <f t="shared" si="53"/>
        <v>41789.85</v>
      </c>
      <c r="Q58" s="9">
        <f t="shared" si="54"/>
        <v>136755.45000000001</v>
      </c>
      <c r="R58" s="137">
        <f t="shared" si="53"/>
        <v>34143.9</v>
      </c>
      <c r="S58" s="137">
        <f t="shared" si="53"/>
        <v>36600.452704000003</v>
      </c>
      <c r="T58" s="137">
        <f t="shared" si="53"/>
        <v>38240.443999999996</v>
      </c>
      <c r="U58" s="137">
        <f t="shared" si="53"/>
        <v>48058.327499999992</v>
      </c>
      <c r="V58" s="9">
        <f t="shared" si="55"/>
        <v>157043.12420399999</v>
      </c>
    </row>
    <row r="59" spans="1:22" ht="15" customHeight="1" x14ac:dyDescent="0.55000000000000004">
      <c r="B59" s="21" t="s">
        <v>22</v>
      </c>
      <c r="C59" s="123">
        <v>7580</v>
      </c>
      <c r="D59" s="123">
        <v>7917</v>
      </c>
      <c r="E59" s="123">
        <v>8148</v>
      </c>
      <c r="F59" s="123">
        <v>8123</v>
      </c>
      <c r="G59" s="9">
        <f t="shared" si="51"/>
        <v>31768</v>
      </c>
      <c r="H59" s="123">
        <v>8410</v>
      </c>
      <c r="I59" s="123">
        <v>8716</v>
      </c>
      <c r="J59" s="123">
        <v>8903</v>
      </c>
      <c r="K59" s="123">
        <v>9189</v>
      </c>
      <c r="L59" s="9">
        <f t="shared" si="52"/>
        <v>35218</v>
      </c>
      <c r="M59" s="123">
        <v>9657</v>
      </c>
      <c r="N59" s="137">
        <f t="shared" si="53"/>
        <v>10023.4</v>
      </c>
      <c r="O59" s="137">
        <f t="shared" si="53"/>
        <v>10238.449999999999</v>
      </c>
      <c r="P59" s="137">
        <f t="shared" si="53"/>
        <v>10567.349999999999</v>
      </c>
      <c r="Q59" s="9">
        <f t="shared" si="54"/>
        <v>40486.199999999997</v>
      </c>
      <c r="R59" s="137">
        <f t="shared" si="53"/>
        <v>11105.55</v>
      </c>
      <c r="S59" s="137">
        <f t="shared" si="53"/>
        <v>11526.909999999998</v>
      </c>
      <c r="T59" s="137">
        <f t="shared" si="53"/>
        <v>11774.217499999997</v>
      </c>
      <c r="U59" s="137">
        <f t="shared" si="53"/>
        <v>12152.452499999998</v>
      </c>
      <c r="V59" s="9">
        <f t="shared" si="55"/>
        <v>46559.13</v>
      </c>
    </row>
    <row r="60" spans="1:22" ht="15" customHeight="1" x14ac:dyDescent="0.55000000000000004">
      <c r="B60" s="21" t="s">
        <v>23</v>
      </c>
      <c r="C60" s="123">
        <v>6381</v>
      </c>
      <c r="D60" s="123">
        <v>7451</v>
      </c>
      <c r="E60" s="123">
        <v>7612</v>
      </c>
      <c r="F60" s="123">
        <v>9716</v>
      </c>
      <c r="G60" s="9">
        <f t="shared" si="51"/>
        <v>31160</v>
      </c>
      <c r="H60" s="123">
        <v>7877</v>
      </c>
      <c r="I60" s="123">
        <v>8757</v>
      </c>
      <c r="J60" s="123">
        <v>9548</v>
      </c>
      <c r="K60" s="123">
        <v>11557</v>
      </c>
      <c r="L60" s="9">
        <f t="shared" si="52"/>
        <v>37739</v>
      </c>
      <c r="M60" s="123">
        <v>9509</v>
      </c>
      <c r="N60" s="137">
        <f t="shared" si="53"/>
        <v>10245.689999999999</v>
      </c>
      <c r="O60" s="137">
        <f t="shared" si="53"/>
        <v>11935</v>
      </c>
      <c r="P60" s="137">
        <f t="shared" si="53"/>
        <v>13521.689999999999</v>
      </c>
      <c r="Q60" s="9">
        <f t="shared" si="54"/>
        <v>45211.38</v>
      </c>
      <c r="R60" s="137">
        <f t="shared" si="53"/>
        <v>11220.619999999999</v>
      </c>
      <c r="S60" s="137">
        <f t="shared" si="53"/>
        <v>12294.827999999998</v>
      </c>
      <c r="T60" s="137">
        <f t="shared" si="53"/>
        <v>14322</v>
      </c>
      <c r="U60" s="137">
        <f t="shared" si="53"/>
        <v>16226.027999999998</v>
      </c>
      <c r="V60" s="9">
        <f t="shared" si="55"/>
        <v>54063.475999999995</v>
      </c>
    </row>
    <row r="61" spans="1:22" ht="15" customHeight="1" x14ac:dyDescent="0.55000000000000004">
      <c r="B61" s="21" t="s">
        <v>89</v>
      </c>
      <c r="C61" s="123">
        <v>13503</v>
      </c>
      <c r="D61" s="123">
        <v>14809</v>
      </c>
      <c r="E61" s="123">
        <v>16110</v>
      </c>
      <c r="F61" s="123">
        <v>17780</v>
      </c>
      <c r="G61" s="9">
        <f t="shared" si="51"/>
        <v>62202</v>
      </c>
      <c r="H61" s="123">
        <v>18441</v>
      </c>
      <c r="I61" s="123">
        <v>19739</v>
      </c>
      <c r="J61" s="123">
        <v>20538</v>
      </c>
      <c r="K61" s="123">
        <v>21378</v>
      </c>
      <c r="L61" s="9">
        <f t="shared" si="52"/>
        <v>80096</v>
      </c>
      <c r="M61" s="123">
        <v>21354</v>
      </c>
      <c r="N61" s="137">
        <f t="shared" si="53"/>
        <v>22502.460000000003</v>
      </c>
      <c r="O61" s="137">
        <f t="shared" si="53"/>
        <v>23207.94</v>
      </c>
      <c r="P61" s="137">
        <f t="shared" si="53"/>
        <v>23943.360000000001</v>
      </c>
      <c r="Q61" s="9">
        <f t="shared" si="54"/>
        <v>91007.760000000009</v>
      </c>
      <c r="R61" s="137">
        <f t="shared" si="53"/>
        <v>24557.1</v>
      </c>
      <c r="S61" s="137">
        <f t="shared" si="53"/>
        <v>26327.878200000003</v>
      </c>
      <c r="T61" s="137">
        <f t="shared" si="53"/>
        <v>27617.448599999996</v>
      </c>
      <c r="U61" s="137">
        <f t="shared" si="53"/>
        <v>28732.031999999999</v>
      </c>
      <c r="V61" s="9">
        <f t="shared" si="55"/>
        <v>107234.45879999999</v>
      </c>
    </row>
    <row r="62" spans="1:22" ht="15" customHeight="1" x14ac:dyDescent="0.55000000000000004">
      <c r="B62" s="21" t="s">
        <v>111</v>
      </c>
      <c r="C62" s="98">
        <v>524</v>
      </c>
      <c r="D62" s="123">
        <v>463</v>
      </c>
      <c r="E62" s="123">
        <v>479</v>
      </c>
      <c r="F62" s="98">
        <v>710</v>
      </c>
      <c r="G62" s="9">
        <f t="shared" si="51"/>
        <v>2176</v>
      </c>
      <c r="H62" s="98">
        <v>661</v>
      </c>
      <c r="I62" s="123">
        <v>1070</v>
      </c>
      <c r="J62" s="123">
        <v>1263</v>
      </c>
      <c r="K62" s="123">
        <v>1253</v>
      </c>
      <c r="L62" s="9">
        <f t="shared" si="52"/>
        <v>4247</v>
      </c>
      <c r="M62" s="123">
        <v>1027</v>
      </c>
      <c r="N62" s="137">
        <f t="shared" si="53"/>
        <v>1498</v>
      </c>
      <c r="O62" s="137">
        <f t="shared" si="53"/>
        <v>1641.9</v>
      </c>
      <c r="P62" s="137">
        <f t="shared" si="53"/>
        <v>1628.9</v>
      </c>
      <c r="Q62" s="9">
        <f t="shared" si="54"/>
        <v>5795.7999999999993</v>
      </c>
      <c r="R62" s="137">
        <f t="shared" si="53"/>
        <v>1232.3999999999999</v>
      </c>
      <c r="S62" s="137">
        <f t="shared" si="53"/>
        <v>1797.6</v>
      </c>
      <c r="T62" s="137">
        <f t="shared" si="53"/>
        <v>1970.28</v>
      </c>
      <c r="U62" s="137">
        <f t="shared" si="53"/>
        <v>1954.68</v>
      </c>
      <c r="V62" s="9">
        <f t="shared" si="55"/>
        <v>6954.96</v>
      </c>
    </row>
    <row r="63" spans="1:22" ht="15" customHeight="1" x14ac:dyDescent="0.55000000000000004">
      <c r="B63" s="18" t="s">
        <v>30</v>
      </c>
      <c r="C63" s="19">
        <f t="shared" ref="C63:E63" si="56">SUM(C56:C62)</f>
        <v>108518</v>
      </c>
      <c r="D63" s="19">
        <f t="shared" si="56"/>
        <v>113080</v>
      </c>
      <c r="E63" s="19">
        <f t="shared" si="56"/>
        <v>110812</v>
      </c>
      <c r="F63" s="19">
        <f t="shared" ref="F63" si="57">SUM(F56:F62)</f>
        <v>137412</v>
      </c>
      <c r="G63" s="19">
        <f t="shared" ref="G63:V63" si="58">SUM(G56:G62)</f>
        <v>469822</v>
      </c>
      <c r="H63" s="19">
        <f t="shared" si="58"/>
        <v>116444</v>
      </c>
      <c r="I63" s="19">
        <f t="shared" si="58"/>
        <v>121234</v>
      </c>
      <c r="J63" s="19">
        <f t="shared" si="58"/>
        <v>127101</v>
      </c>
      <c r="K63" s="19">
        <f t="shared" si="58"/>
        <v>149204</v>
      </c>
      <c r="L63" s="19">
        <f t="shared" si="58"/>
        <v>513983</v>
      </c>
      <c r="M63" s="19">
        <f t="shared" si="58"/>
        <v>127358</v>
      </c>
      <c r="N63" s="138">
        <f t="shared" si="58"/>
        <v>132105.75199999998</v>
      </c>
      <c r="O63" s="138">
        <f t="shared" si="58"/>
        <v>138831.53099999999</v>
      </c>
      <c r="P63" s="138">
        <f t="shared" si="58"/>
        <v>161345.71400000001</v>
      </c>
      <c r="Q63" s="19">
        <f t="shared" si="58"/>
        <v>559640.99699999997</v>
      </c>
      <c r="R63" s="138">
        <f t="shared" si="58"/>
        <v>140124.71231921148</v>
      </c>
      <c r="S63" s="138">
        <f t="shared" si="58"/>
        <v>146626.23794918036</v>
      </c>
      <c r="T63" s="138">
        <f t="shared" si="58"/>
        <v>154976.28610502809</v>
      </c>
      <c r="U63" s="138">
        <f t="shared" si="58"/>
        <v>180302.26153462421</v>
      </c>
      <c r="V63" s="19">
        <f t="shared" si="58"/>
        <v>622029.49790804414</v>
      </c>
    </row>
    <row r="64" spans="1:22" customFormat="1" ht="15" customHeight="1" x14ac:dyDescent="0.55000000000000004">
      <c r="T64" s="3"/>
    </row>
    <row r="65" spans="1:22" ht="15" customHeight="1" x14ac:dyDescent="0.55000000000000004">
      <c r="A65" s="3" t="s">
        <v>9</v>
      </c>
      <c r="B65" s="6" t="s">
        <v>7</v>
      </c>
      <c r="C65" s="121"/>
      <c r="D65" s="121"/>
      <c r="E65" s="121"/>
      <c r="F65" s="121"/>
      <c r="G65" s="140"/>
      <c r="H65" s="121" t="s">
        <v>224</v>
      </c>
      <c r="I65" s="121" t="s">
        <v>225</v>
      </c>
      <c r="J65" s="121" t="s">
        <v>226</v>
      </c>
      <c r="K65" s="121" t="s">
        <v>227</v>
      </c>
      <c r="L65" s="140">
        <v>2022</v>
      </c>
      <c r="M65" s="121" t="s">
        <v>228</v>
      </c>
      <c r="N65" s="121" t="s">
        <v>247</v>
      </c>
      <c r="O65" s="121" t="s">
        <v>253</v>
      </c>
      <c r="P65" s="121" t="s">
        <v>254</v>
      </c>
      <c r="Q65" s="122">
        <v>2023</v>
      </c>
      <c r="R65" s="121" t="s">
        <v>255</v>
      </c>
      <c r="S65" s="121" t="s">
        <v>256</v>
      </c>
      <c r="T65" s="121" t="s">
        <v>257</v>
      </c>
      <c r="U65" s="121" t="s">
        <v>258</v>
      </c>
      <c r="V65" s="122">
        <v>2024</v>
      </c>
    </row>
    <row r="66" spans="1:22" ht="15" customHeight="1" x14ac:dyDescent="0.55000000000000004">
      <c r="B66" s="21" t="s">
        <v>25</v>
      </c>
      <c r="C66" s="123"/>
      <c r="D66" s="123"/>
      <c r="E66" s="123"/>
      <c r="F66" s="123"/>
      <c r="G66" s="9"/>
      <c r="H66" s="89">
        <f>H56/C56-1</f>
        <v>-3.3496531256497986E-2</v>
      </c>
      <c r="I66" s="89">
        <f t="shared" ref="I66:V66" si="59">I56/D56-1</f>
        <v>-4.3305679402524611E-2</v>
      </c>
      <c r="J66" s="89">
        <f t="shared" si="59"/>
        <v>7.102238596772259E-2</v>
      </c>
      <c r="K66" s="89">
        <f t="shared" si="59"/>
        <v>-2.3367385546727237E-2</v>
      </c>
      <c r="L66" s="89">
        <f t="shared" si="59"/>
        <v>-9.3256782618484912E-3</v>
      </c>
      <c r="M66" s="89">
        <f t="shared" si="59"/>
        <v>-6.4542627471686487E-4</v>
      </c>
      <c r="N66" s="88">
        <v>1E-3</v>
      </c>
      <c r="O66" s="88">
        <v>1E-3</v>
      </c>
      <c r="P66" s="88">
        <v>1E-3</v>
      </c>
      <c r="Q66" s="89">
        <f t="shared" si="59"/>
        <v>6.1760240722885662E-4</v>
      </c>
      <c r="R66" s="88">
        <v>0.03</v>
      </c>
      <c r="S66" s="88">
        <v>3.5000000000000003E-2</v>
      </c>
      <c r="T66" s="88">
        <v>0.04</v>
      </c>
      <c r="U66" s="88">
        <v>4.4999999999999998E-2</v>
      </c>
      <c r="V66" s="89">
        <f t="shared" si="59"/>
        <v>3.7989861582323536E-2</v>
      </c>
    </row>
    <row r="67" spans="1:22" ht="15" customHeight="1" x14ac:dyDescent="0.55000000000000004">
      <c r="B67" s="21" t="s">
        <v>21</v>
      </c>
      <c r="C67" s="123"/>
      <c r="D67" s="123"/>
      <c r="E67" s="123"/>
      <c r="F67" s="123"/>
      <c r="G67" s="9"/>
      <c r="H67" s="89">
        <f t="shared" ref="H67:V67" si="60">H57/C57-1</f>
        <v>0.17117346938775513</v>
      </c>
      <c r="I67" s="89">
        <f t="shared" si="60"/>
        <v>0.12458313482610772</v>
      </c>
      <c r="J67" s="89">
        <f t="shared" si="60"/>
        <v>9.9554930897165717E-2</v>
      </c>
      <c r="K67" s="89">
        <f t="shared" si="60"/>
        <v>5.7380546075085359E-2</v>
      </c>
      <c r="L67" s="89">
        <f t="shared" si="60"/>
        <v>0.11057101024890192</v>
      </c>
      <c r="M67" s="89">
        <f t="shared" si="60"/>
        <v>6.6216510564147235E-2</v>
      </c>
      <c r="N67" s="88">
        <v>6.7000000000000004E-2</v>
      </c>
      <c r="O67" s="88">
        <v>6.8000000000000005E-2</v>
      </c>
      <c r="P67" s="88">
        <v>6.9000000000000006E-2</v>
      </c>
      <c r="Q67" s="89">
        <f t="shared" si="60"/>
        <v>6.758065706902916E-2</v>
      </c>
      <c r="R67" s="88">
        <v>6.9716510564147238E-2</v>
      </c>
      <c r="S67" s="88">
        <v>7.0216510564147239E-2</v>
      </c>
      <c r="T67" s="88">
        <v>7.0716510564147239E-2</v>
      </c>
      <c r="U67" s="88">
        <v>7.121651056414724E-2</v>
      </c>
      <c r="V67" s="89">
        <f t="shared" si="60"/>
        <v>7.0481180994661496E-2</v>
      </c>
    </row>
    <row r="68" spans="1:22" ht="15" customHeight="1" x14ac:dyDescent="0.55000000000000004">
      <c r="B68" s="21" t="s">
        <v>24</v>
      </c>
      <c r="C68" s="123"/>
      <c r="D68" s="123"/>
      <c r="E68" s="123"/>
      <c r="F68" s="123"/>
      <c r="G68" s="9"/>
      <c r="H68" s="89">
        <f t="shared" ref="H68:V68" si="61">H58/C58-1</f>
        <v>6.8581551309629285E-2</v>
      </c>
      <c r="I68" s="89">
        <f t="shared" si="61"/>
        <v>9.1329479768786026E-2</v>
      </c>
      <c r="J68" s="89">
        <f t="shared" si="61"/>
        <v>0.18200560778492503</v>
      </c>
      <c r="K68" s="89">
        <f t="shared" si="61"/>
        <v>0.19851583113456472</v>
      </c>
      <c r="L68" s="89">
        <f t="shared" si="61"/>
        <v>0.13882708047133496</v>
      </c>
      <c r="M68" s="89">
        <f t="shared" si="61"/>
        <v>0.177027827116637</v>
      </c>
      <c r="N68" s="88">
        <v>0.16500000000000001</v>
      </c>
      <c r="O68" s="88">
        <v>0.16</v>
      </c>
      <c r="P68" s="88">
        <v>0.15</v>
      </c>
      <c r="Q68" s="89">
        <f t="shared" si="61"/>
        <v>0.1617405450406062</v>
      </c>
      <c r="R68" s="88">
        <v>0.14499999999999999</v>
      </c>
      <c r="S68" s="88">
        <v>0.14760000000000001</v>
      </c>
      <c r="T68" s="88">
        <v>0.15</v>
      </c>
      <c r="U68" s="88">
        <v>0.15</v>
      </c>
      <c r="V68" s="89">
        <f t="shared" si="61"/>
        <v>0.14835002337383973</v>
      </c>
    </row>
    <row r="69" spans="1:22" ht="15" customHeight="1" x14ac:dyDescent="0.55000000000000004">
      <c r="B69" s="21" t="s">
        <v>22</v>
      </c>
      <c r="C69" s="123"/>
      <c r="D69" s="123"/>
      <c r="E69" s="123"/>
      <c r="F69" s="123"/>
      <c r="G69" s="9"/>
      <c r="H69" s="89">
        <f t="shared" ref="H69:V69" si="62">H59/C59-1</f>
        <v>0.10949868073878632</v>
      </c>
      <c r="I69" s="89">
        <f t="shared" si="62"/>
        <v>0.10092206643930779</v>
      </c>
      <c r="J69" s="89">
        <f t="shared" si="62"/>
        <v>9.2660775650466265E-2</v>
      </c>
      <c r="K69" s="89">
        <f t="shared" si="62"/>
        <v>0.13123230333620572</v>
      </c>
      <c r="L69" s="89">
        <f t="shared" si="62"/>
        <v>0.10859984890455809</v>
      </c>
      <c r="M69" s="89">
        <f t="shared" si="62"/>
        <v>0.14827586206896548</v>
      </c>
      <c r="N69" s="88">
        <v>0.15</v>
      </c>
      <c r="O69" s="88">
        <v>0.15</v>
      </c>
      <c r="P69" s="88">
        <v>0.15</v>
      </c>
      <c r="Q69" s="89">
        <f t="shared" si="62"/>
        <v>0.14958827872110847</v>
      </c>
      <c r="R69" s="88">
        <v>0.15</v>
      </c>
      <c r="S69" s="88">
        <v>0.15</v>
      </c>
      <c r="T69" s="88">
        <v>0.15</v>
      </c>
      <c r="U69" s="88">
        <v>0.15</v>
      </c>
      <c r="V69" s="89">
        <f t="shared" si="62"/>
        <v>0.14999999999999991</v>
      </c>
    </row>
    <row r="70" spans="1:22" ht="15" customHeight="1" x14ac:dyDescent="0.55000000000000004">
      <c r="B70" s="21" t="s">
        <v>23</v>
      </c>
      <c r="C70" s="123"/>
      <c r="D70" s="123"/>
      <c r="E70" s="123"/>
      <c r="F70" s="123"/>
      <c r="G70" s="9"/>
      <c r="H70" s="89">
        <f t="shared" ref="H70:V70" si="63">H60/C60-1</f>
        <v>0.23444601159692846</v>
      </c>
      <c r="I70" s="89">
        <f t="shared" si="63"/>
        <v>0.17527848610924712</v>
      </c>
      <c r="J70" s="89">
        <f t="shared" si="63"/>
        <v>0.25433526011560703</v>
      </c>
      <c r="K70" s="89">
        <f t="shared" si="63"/>
        <v>0.18948126801152743</v>
      </c>
      <c r="L70" s="89">
        <f t="shared" si="63"/>
        <v>0.21113607188703476</v>
      </c>
      <c r="M70" s="89">
        <f t="shared" si="63"/>
        <v>0.20718547670432907</v>
      </c>
      <c r="N70" s="88">
        <v>0.17</v>
      </c>
      <c r="O70" s="88">
        <v>0.25</v>
      </c>
      <c r="P70" s="88">
        <v>0.17</v>
      </c>
      <c r="Q70" s="89">
        <f t="shared" si="63"/>
        <v>0.19800153687167121</v>
      </c>
      <c r="R70" s="88">
        <v>0.18</v>
      </c>
      <c r="S70" s="88">
        <v>0.2</v>
      </c>
      <c r="T70" s="88">
        <v>0.2</v>
      </c>
      <c r="U70" s="88">
        <v>0.2</v>
      </c>
      <c r="V70" s="89">
        <f t="shared" si="63"/>
        <v>0.19579353693693924</v>
      </c>
    </row>
    <row r="71" spans="1:22" ht="15" customHeight="1" x14ac:dyDescent="0.55000000000000004">
      <c r="B71" s="21" t="s">
        <v>89</v>
      </c>
      <c r="C71" s="123"/>
      <c r="D71" s="123"/>
      <c r="E71" s="123"/>
      <c r="F71" s="123"/>
      <c r="G71" s="9"/>
      <c r="H71" s="89">
        <f t="shared" ref="H71:V71" si="64">H61/C61-1</f>
        <v>0.36569651188624741</v>
      </c>
      <c r="I71" s="89">
        <f t="shared" si="64"/>
        <v>0.33290566547369838</v>
      </c>
      <c r="J71" s="89">
        <f t="shared" si="64"/>
        <v>0.27486033519553077</v>
      </c>
      <c r="K71" s="89">
        <f t="shared" si="64"/>
        <v>0.20236220472440936</v>
      </c>
      <c r="L71" s="89">
        <f t="shared" si="64"/>
        <v>0.28767563743931057</v>
      </c>
      <c r="M71" s="89">
        <f t="shared" si="64"/>
        <v>0.157963234097934</v>
      </c>
      <c r="N71" s="88">
        <v>0.14000000000000001</v>
      </c>
      <c r="O71" s="88">
        <v>0.13</v>
      </c>
      <c r="P71" s="88">
        <v>0.12</v>
      </c>
      <c r="Q71" s="89">
        <f t="shared" si="64"/>
        <v>0.13623351977626852</v>
      </c>
      <c r="R71" s="88">
        <v>0.15</v>
      </c>
      <c r="S71" s="88">
        <v>0.17</v>
      </c>
      <c r="T71" s="88">
        <v>0.19</v>
      </c>
      <c r="U71" s="88">
        <v>0.2</v>
      </c>
      <c r="V71" s="89">
        <f t="shared" si="64"/>
        <v>0.17830016693081974</v>
      </c>
    </row>
    <row r="72" spans="1:22" ht="15" customHeight="1" x14ac:dyDescent="0.55000000000000004">
      <c r="B72" s="21" t="s">
        <v>111</v>
      </c>
      <c r="C72" s="98"/>
      <c r="D72" s="123"/>
      <c r="E72" s="123"/>
      <c r="F72" s="98"/>
      <c r="G72" s="9"/>
      <c r="H72" s="89">
        <f t="shared" ref="H72:V72" si="65">H62/C62-1</f>
        <v>0.26145038167938939</v>
      </c>
      <c r="I72" s="89">
        <f t="shared" si="65"/>
        <v>1.3110151187904968</v>
      </c>
      <c r="J72" s="89">
        <f t="shared" si="65"/>
        <v>1.636743215031315</v>
      </c>
      <c r="K72" s="89">
        <f t="shared" si="65"/>
        <v>0.76478873239436629</v>
      </c>
      <c r="L72" s="89">
        <f t="shared" si="65"/>
        <v>0.95174632352941169</v>
      </c>
      <c r="M72" s="89">
        <f t="shared" si="65"/>
        <v>0.55370650529500764</v>
      </c>
      <c r="N72" s="88">
        <v>0.4</v>
      </c>
      <c r="O72" s="88">
        <v>0.3</v>
      </c>
      <c r="P72" s="88">
        <v>0.3</v>
      </c>
      <c r="Q72" s="89">
        <f t="shared" si="65"/>
        <v>0.36468095125971267</v>
      </c>
      <c r="R72" s="88">
        <v>0.2</v>
      </c>
      <c r="S72" s="88">
        <v>0.2</v>
      </c>
      <c r="T72" s="88">
        <v>0.2</v>
      </c>
      <c r="U72" s="88">
        <v>0.2</v>
      </c>
      <c r="V72" s="89">
        <f t="shared" si="65"/>
        <v>0.20000000000000018</v>
      </c>
    </row>
    <row r="73" spans="1:22" ht="15" customHeight="1" x14ac:dyDescent="0.55000000000000004">
      <c r="B73" s="18" t="s">
        <v>30</v>
      </c>
      <c r="C73" s="19"/>
      <c r="D73" s="19"/>
      <c r="E73" s="19"/>
      <c r="F73" s="19"/>
      <c r="G73" s="19"/>
      <c r="H73" s="33">
        <f t="shared" ref="H73:V73" si="66">H63/C63-1</f>
        <v>7.3038574245747334E-2</v>
      </c>
      <c r="I73" s="33">
        <f t="shared" si="66"/>
        <v>7.2108241952600016E-2</v>
      </c>
      <c r="J73" s="33">
        <f t="shared" si="66"/>
        <v>0.14699671515720314</v>
      </c>
      <c r="K73" s="33">
        <f t="shared" si="66"/>
        <v>8.5814921549791867E-2</v>
      </c>
      <c r="L73" s="33">
        <f t="shared" si="66"/>
        <v>9.399517263985091E-2</v>
      </c>
      <c r="M73" s="33">
        <f t="shared" si="66"/>
        <v>9.3727456975026602E-2</v>
      </c>
      <c r="N73" s="33">
        <f t="shared" si="66"/>
        <v>8.9675767523961669E-2</v>
      </c>
      <c r="O73" s="33">
        <f t="shared" ref="O73" si="67">O63/J63-1</f>
        <v>9.2292987466660259E-2</v>
      </c>
      <c r="P73" s="33">
        <f t="shared" ref="P73" si="68">P63/K63-1</f>
        <v>8.1376598482614471E-2</v>
      </c>
      <c r="Q73" s="33">
        <f t="shared" si="66"/>
        <v>8.8831725952025709E-2</v>
      </c>
      <c r="R73" s="33">
        <f t="shared" ref="R73" si="69">R63/M63-1</f>
        <v>0.10024271988576672</v>
      </c>
      <c r="S73" s="33">
        <f t="shared" ref="S73" si="70">S63/N63-1</f>
        <v>0.10991562236578756</v>
      </c>
      <c r="T73" s="33">
        <f t="shared" ref="T73" si="71">T63/O63-1</f>
        <v>0.11629026193644809</v>
      </c>
      <c r="U73" s="33">
        <f t="shared" ref="U73" si="72">U63/P63-1</f>
        <v>0.11749024541565567</v>
      </c>
      <c r="V73" s="33">
        <f t="shared" si="66"/>
        <v>0.11147950425805586</v>
      </c>
    </row>
    <row r="75" spans="1:22" ht="15" customHeight="1" x14ac:dyDescent="0.55000000000000004">
      <c r="B75" s="6" t="s">
        <v>533</v>
      </c>
      <c r="C75" s="140">
        <v>2018</v>
      </c>
      <c r="D75" s="140">
        <v>2019</v>
      </c>
      <c r="E75" s="140">
        <v>2020</v>
      </c>
      <c r="F75" s="140">
        <v>2021</v>
      </c>
      <c r="G75" s="140">
        <v>2022</v>
      </c>
      <c r="H75"/>
      <c r="I75" s="6" t="s">
        <v>534</v>
      </c>
      <c r="J75" s="121"/>
      <c r="K75" s="140">
        <v>2018</v>
      </c>
      <c r="L75" s="140">
        <v>2019</v>
      </c>
      <c r="M75" s="140">
        <v>2020</v>
      </c>
      <c r="N75" s="140">
        <v>2021</v>
      </c>
      <c r="O75" s="140">
        <v>2022</v>
      </c>
      <c r="P75"/>
      <c r="Q75"/>
      <c r="R75"/>
      <c r="S75"/>
      <c r="T75"/>
      <c r="U75"/>
      <c r="V75"/>
    </row>
    <row r="76" spans="1:22" ht="15" customHeight="1" x14ac:dyDescent="0.55000000000000004">
      <c r="B76" s="21" t="s">
        <v>104</v>
      </c>
      <c r="C76" s="123">
        <v>160146</v>
      </c>
      <c r="D76" s="123">
        <v>193636</v>
      </c>
      <c r="E76" s="123">
        <v>263520</v>
      </c>
      <c r="F76" s="123">
        <v>314006</v>
      </c>
      <c r="G76" s="123">
        <v>356113</v>
      </c>
      <c r="H76"/>
      <c r="I76" s="21" t="s">
        <v>104</v>
      </c>
      <c r="J76" s="123"/>
      <c r="K76" s="89">
        <f>C76/C$81</f>
        <v>0.68765538651792502</v>
      </c>
      <c r="L76" s="89">
        <f t="shared" ref="L76:L80" si="73">D76/D$81</f>
        <v>0.69027028183172801</v>
      </c>
      <c r="M76" s="89">
        <f t="shared" ref="M76:M80" si="74">E76/E$81</f>
        <v>0.68258112644535618</v>
      </c>
      <c r="N76" s="89">
        <f t="shared" ref="N76:N80" si="75">F76/F$81</f>
        <v>0.66835099250354391</v>
      </c>
      <c r="O76" s="89">
        <f t="shared" ref="O76:O80" si="76">G76/G$81</f>
        <v>0.6928497635135793</v>
      </c>
      <c r="P76"/>
      <c r="Q76"/>
      <c r="R76"/>
      <c r="S76"/>
      <c r="T76"/>
      <c r="U76"/>
      <c r="V76"/>
    </row>
    <row r="77" spans="1:22" ht="15" customHeight="1" x14ac:dyDescent="0.55000000000000004">
      <c r="B77" s="21" t="s">
        <v>105</v>
      </c>
      <c r="C77" s="123">
        <v>19881</v>
      </c>
      <c r="D77" s="123">
        <v>22232</v>
      </c>
      <c r="E77" s="123">
        <v>29565</v>
      </c>
      <c r="F77" s="123">
        <v>37326</v>
      </c>
      <c r="G77" s="123">
        <v>33598</v>
      </c>
      <c r="H77"/>
      <c r="I77" s="21" t="s">
        <v>105</v>
      </c>
      <c r="J77" s="123"/>
      <c r="K77" s="89">
        <f t="shared" ref="K77:K80" si="77">C77/C$81</f>
        <v>8.536758170271419E-2</v>
      </c>
      <c r="L77" s="89">
        <f t="shared" si="73"/>
        <v>7.9252251160336795E-2</v>
      </c>
      <c r="M77" s="89">
        <f t="shared" si="74"/>
        <v>7.6580566952629617E-2</v>
      </c>
      <c r="N77" s="89">
        <f t="shared" si="75"/>
        <v>7.9447109756460951E-2</v>
      </c>
      <c r="O77" s="89">
        <f t="shared" si="76"/>
        <v>6.5367920728895704E-2</v>
      </c>
      <c r="P77"/>
      <c r="Q77"/>
      <c r="R77"/>
      <c r="S77"/>
      <c r="T77"/>
      <c r="U77"/>
      <c r="V77"/>
    </row>
    <row r="78" spans="1:22" ht="15" customHeight="1" x14ac:dyDescent="0.55000000000000004">
      <c r="B78" s="21" t="s">
        <v>106</v>
      </c>
      <c r="C78" s="123">
        <v>14524</v>
      </c>
      <c r="D78" s="123">
        <v>17527</v>
      </c>
      <c r="E78" s="123">
        <v>26483</v>
      </c>
      <c r="F78" s="123">
        <v>31914</v>
      </c>
      <c r="G78" s="123">
        <v>30074</v>
      </c>
      <c r="H78"/>
      <c r="I78" s="21" t="s">
        <v>106</v>
      </c>
      <c r="J78" s="123"/>
      <c r="K78" s="89">
        <f t="shared" si="77"/>
        <v>6.2365009639868262E-2</v>
      </c>
      <c r="L78" s="89">
        <f t="shared" si="73"/>
        <v>6.2479948096762467E-2</v>
      </c>
      <c r="M78" s="89">
        <f t="shared" si="74"/>
        <v>6.8597434622238801E-2</v>
      </c>
      <c r="N78" s="89">
        <f t="shared" si="75"/>
        <v>6.792785352750616E-2</v>
      </c>
      <c r="O78" s="89">
        <f t="shared" si="76"/>
        <v>5.8511662837097723E-2</v>
      </c>
      <c r="P78"/>
      <c r="Q78"/>
      <c r="R78"/>
      <c r="S78"/>
      <c r="T78"/>
      <c r="U78"/>
      <c r="V78"/>
    </row>
    <row r="79" spans="1:22" ht="15" customHeight="1" x14ac:dyDescent="0.55000000000000004">
      <c r="B79" s="21" t="s">
        <v>107</v>
      </c>
      <c r="C79" s="123">
        <v>13829</v>
      </c>
      <c r="D79" s="123">
        <v>16002</v>
      </c>
      <c r="E79" s="123">
        <v>20461</v>
      </c>
      <c r="F79" s="123">
        <v>23071</v>
      </c>
      <c r="G79" s="123">
        <v>24396</v>
      </c>
      <c r="H79"/>
      <c r="I79" s="21" t="s">
        <v>107</v>
      </c>
      <c r="J79" s="123"/>
      <c r="K79" s="89">
        <f t="shared" si="77"/>
        <v>5.9380729710116924E-2</v>
      </c>
      <c r="L79" s="89">
        <f t="shared" si="73"/>
        <v>5.7043654330141663E-2</v>
      </c>
      <c r="M79" s="89">
        <f t="shared" si="74"/>
        <v>5.2998984624310998E-2</v>
      </c>
      <c r="N79" s="89">
        <f t="shared" si="75"/>
        <v>4.9105831570254263E-2</v>
      </c>
      <c r="O79" s="89">
        <f t="shared" si="76"/>
        <v>4.7464604860472041E-2</v>
      </c>
      <c r="P79"/>
      <c r="Q79"/>
      <c r="R79"/>
      <c r="S79"/>
      <c r="T79"/>
      <c r="U79"/>
      <c r="V79"/>
    </row>
    <row r="80" spans="1:22" ht="15" customHeight="1" x14ac:dyDescent="0.55000000000000004">
      <c r="B80" s="21" t="s">
        <v>108</v>
      </c>
      <c r="C80" s="123">
        <v>24507</v>
      </c>
      <c r="D80" s="123">
        <v>31125</v>
      </c>
      <c r="E80" s="123">
        <v>46035</v>
      </c>
      <c r="F80" s="123">
        <v>63505</v>
      </c>
      <c r="G80" s="123">
        <v>69802</v>
      </c>
      <c r="H80"/>
      <c r="I80" s="21" t="s">
        <v>108</v>
      </c>
      <c r="J80" s="123"/>
      <c r="K80" s="89">
        <f t="shared" si="77"/>
        <v>0.10523129242937562</v>
      </c>
      <c r="L80" s="89">
        <f t="shared" si="73"/>
        <v>0.11095386458103108</v>
      </c>
      <c r="M80" s="89">
        <f t="shared" si="74"/>
        <v>0.11924188735546438</v>
      </c>
      <c r="N80" s="89">
        <f t="shared" si="75"/>
        <v>0.13516821264223472</v>
      </c>
      <c r="O80" s="89">
        <f t="shared" si="76"/>
        <v>0.1358060480599553</v>
      </c>
      <c r="P80"/>
      <c r="Q80"/>
      <c r="R80"/>
      <c r="S80"/>
      <c r="T80"/>
      <c r="U80"/>
      <c r="V80"/>
    </row>
    <row r="81" spans="2:22" ht="15" customHeight="1" x14ac:dyDescent="0.55000000000000004">
      <c r="B81" s="18" t="s">
        <v>30</v>
      </c>
      <c r="C81" s="19">
        <f>SUM(C76:C80)</f>
        <v>232887</v>
      </c>
      <c r="D81" s="19">
        <f>SUM(D76:D80)</f>
        <v>280522</v>
      </c>
      <c r="E81" s="19">
        <f>SUM(E76:E80)</f>
        <v>386064</v>
      </c>
      <c r="F81" s="19">
        <f>SUM(F76:F80)</f>
        <v>469822</v>
      </c>
      <c r="G81" s="19">
        <f>SUM(G76:G80)</f>
        <v>513983</v>
      </c>
      <c r="H81"/>
      <c r="I81"/>
      <c r="J81"/>
      <c r="K81" s="157">
        <f>SUM(K77:K79)</f>
        <v>0.20711332105269939</v>
      </c>
      <c r="L81" s="157">
        <f t="shared" ref="L81:O81" si="78">SUM(L77:L79)</f>
        <v>0.19877585358724092</v>
      </c>
      <c r="M81" s="157">
        <f t="shared" si="78"/>
        <v>0.19817698619917942</v>
      </c>
      <c r="N81" s="157">
        <f t="shared" si="78"/>
        <v>0.19648079485422137</v>
      </c>
      <c r="O81" s="157">
        <f t="shared" si="78"/>
        <v>0.17134418842646548</v>
      </c>
      <c r="P81"/>
      <c r="Q81"/>
      <c r="R81"/>
      <c r="S81"/>
      <c r="T81"/>
      <c r="U81"/>
      <c r="V81"/>
    </row>
    <row r="82" spans="2:22" ht="15" customHeight="1" x14ac:dyDescent="0.55000000000000004">
      <c r="B82"/>
      <c r="C82"/>
      <c r="D82"/>
      <c r="E82"/>
      <c r="F82"/>
      <c r="G82"/>
      <c r="H82"/>
      <c r="I82"/>
      <c r="J82"/>
      <c r="K82"/>
      <c r="L82"/>
      <c r="M82"/>
      <c r="N82"/>
      <c r="O82"/>
      <c r="P82"/>
      <c r="Q82"/>
      <c r="R82"/>
      <c r="S82"/>
      <c r="T82"/>
      <c r="U82"/>
      <c r="V82"/>
    </row>
    <row r="83" spans="2:22" ht="15" customHeight="1" x14ac:dyDescent="0.55000000000000004">
      <c r="B83" s="6" t="s">
        <v>7</v>
      </c>
      <c r="C83" s="121"/>
      <c r="D83" s="140">
        <v>2019</v>
      </c>
      <c r="E83" s="140">
        <v>2020</v>
      </c>
      <c r="F83" s="140">
        <v>2021</v>
      </c>
      <c r="G83" s="140">
        <v>2022</v>
      </c>
      <c r="H83"/>
      <c r="I83"/>
      <c r="J83"/>
      <c r="K83"/>
      <c r="L83"/>
      <c r="M83"/>
      <c r="N83"/>
      <c r="O83"/>
      <c r="P83"/>
      <c r="Q83"/>
      <c r="R83"/>
      <c r="S83"/>
      <c r="T83"/>
      <c r="U83"/>
      <c r="V83"/>
    </row>
    <row r="84" spans="2:22" ht="15" customHeight="1" x14ac:dyDescent="0.55000000000000004">
      <c r="B84" s="21" t="s">
        <v>104</v>
      </c>
      <c r="C84" s="123"/>
      <c r="D84" s="89">
        <f>D76/C76-1</f>
        <v>0.20912167647022084</v>
      </c>
      <c r="E84" s="89">
        <f t="shared" ref="E84:G84" si="79">E76/D76-1</f>
        <v>0.3609039641388998</v>
      </c>
      <c r="F84" s="89">
        <f t="shared" si="79"/>
        <v>0.191583181542198</v>
      </c>
      <c r="G84" s="89">
        <f t="shared" si="79"/>
        <v>0.13409616376757127</v>
      </c>
      <c r="H84"/>
      <c r="I84" s="21" t="s">
        <v>104</v>
      </c>
      <c r="J84"/>
      <c r="K84"/>
      <c r="L84" s="157">
        <f>L76-K76</f>
        <v>2.6148953138029896E-3</v>
      </c>
      <c r="M84" s="157">
        <f t="shared" ref="M84:O84" si="80">M76-L76</f>
        <v>-7.6891553863718265E-3</v>
      </c>
      <c r="N84" s="157">
        <f t="shared" si="80"/>
        <v>-1.4230133941812273E-2</v>
      </c>
      <c r="O84" s="157">
        <f t="shared" si="80"/>
        <v>2.4498771010035392E-2</v>
      </c>
      <c r="P84"/>
      <c r="Q84"/>
      <c r="R84"/>
      <c r="S84"/>
      <c r="T84"/>
      <c r="U84"/>
      <c r="V84"/>
    </row>
    <row r="85" spans="2:22" ht="15" customHeight="1" x14ac:dyDescent="0.55000000000000004">
      <c r="B85" s="21" t="s">
        <v>105</v>
      </c>
      <c r="C85" s="123"/>
      <c r="D85" s="89">
        <f t="shared" ref="D85:G85" si="81">D77/C77-1</f>
        <v>0.11825360897339166</v>
      </c>
      <c r="E85" s="89">
        <f t="shared" si="81"/>
        <v>0.32983987045699892</v>
      </c>
      <c r="F85" s="89">
        <f t="shared" si="81"/>
        <v>0.26250634195839684</v>
      </c>
      <c r="G85" s="89">
        <f t="shared" si="81"/>
        <v>-9.9876761506724532E-2</v>
      </c>
      <c r="H85"/>
      <c r="I85" s="21" t="s">
        <v>105</v>
      </c>
      <c r="J85"/>
      <c r="K85"/>
      <c r="L85" s="157">
        <f t="shared" ref="L85:O85" si="82">L77-K77</f>
        <v>-6.1153305423773952E-3</v>
      </c>
      <c r="M85" s="157">
        <f t="shared" si="82"/>
        <v>-2.6716842077071784E-3</v>
      </c>
      <c r="N85" s="157">
        <f t="shared" si="82"/>
        <v>2.8665428038313345E-3</v>
      </c>
      <c r="O85" s="157">
        <f t="shared" si="82"/>
        <v>-1.4079189027565248E-2</v>
      </c>
      <c r="P85"/>
      <c r="Q85"/>
      <c r="R85"/>
      <c r="S85"/>
      <c r="T85"/>
      <c r="U85"/>
      <c r="V85"/>
    </row>
    <row r="86" spans="2:22" ht="15" customHeight="1" x14ac:dyDescent="0.55000000000000004">
      <c r="B86" s="21" t="s">
        <v>106</v>
      </c>
      <c r="C86" s="123"/>
      <c r="D86" s="89">
        <f t="shared" ref="D86:G86" si="83">D78/C78-1</f>
        <v>0.20676122280363529</v>
      </c>
      <c r="E86" s="89">
        <f t="shared" si="83"/>
        <v>0.51098305471558159</v>
      </c>
      <c r="F86" s="89">
        <f t="shared" si="83"/>
        <v>0.20507495374391116</v>
      </c>
      <c r="G86" s="89">
        <f t="shared" si="83"/>
        <v>-5.7654947671868184E-2</v>
      </c>
      <c r="H86"/>
      <c r="I86" s="21" t="s">
        <v>106</v>
      </c>
      <c r="J86"/>
      <c r="K86"/>
      <c r="L86" s="157">
        <f t="shared" ref="L86:O86" si="84">L78-K78</f>
        <v>1.1493845689420495E-4</v>
      </c>
      <c r="M86" s="157">
        <f t="shared" si="84"/>
        <v>6.1174865254763344E-3</v>
      </c>
      <c r="N86" s="157">
        <f t="shared" si="84"/>
        <v>-6.6958109473264082E-4</v>
      </c>
      <c r="O86" s="157">
        <f t="shared" si="84"/>
        <v>-9.4161906904084366E-3</v>
      </c>
      <c r="P86"/>
      <c r="Q86"/>
      <c r="R86"/>
      <c r="S86"/>
      <c r="T86"/>
      <c r="U86"/>
      <c r="V86"/>
    </row>
    <row r="87" spans="2:22" ht="15" customHeight="1" x14ac:dyDescent="0.55000000000000004">
      <c r="B87" s="21" t="s">
        <v>107</v>
      </c>
      <c r="C87" s="123"/>
      <c r="D87" s="89">
        <f t="shared" ref="D87:G87" si="85">D79/C79-1</f>
        <v>0.1571335599103334</v>
      </c>
      <c r="E87" s="89">
        <f t="shared" si="85"/>
        <v>0.27865266841644787</v>
      </c>
      <c r="F87" s="89">
        <f t="shared" si="85"/>
        <v>0.12755974781291246</v>
      </c>
      <c r="G87" s="89">
        <f t="shared" si="85"/>
        <v>5.7431407394564538E-2</v>
      </c>
      <c r="H87"/>
      <c r="I87" s="21" t="s">
        <v>107</v>
      </c>
      <c r="J87"/>
      <c r="K87"/>
      <c r="L87" s="157">
        <f t="shared" ref="L87:O87" si="86">L79-K79</f>
        <v>-2.3370753799752605E-3</v>
      </c>
      <c r="M87" s="157">
        <f t="shared" si="86"/>
        <v>-4.0446697058306655E-3</v>
      </c>
      <c r="N87" s="157">
        <f t="shared" si="86"/>
        <v>-3.8931530540567347E-3</v>
      </c>
      <c r="O87" s="157">
        <f t="shared" si="86"/>
        <v>-1.6412267097822217E-3</v>
      </c>
      <c r="P87"/>
      <c r="Q87"/>
      <c r="R87"/>
      <c r="S87"/>
      <c r="T87"/>
      <c r="U87"/>
      <c r="V87"/>
    </row>
    <row r="88" spans="2:22" ht="15" customHeight="1" x14ac:dyDescent="0.55000000000000004">
      <c r="B88" s="21" t="s">
        <v>108</v>
      </c>
      <c r="C88" s="123"/>
      <c r="D88" s="89">
        <f t="shared" ref="D88:G88" si="87">D80/C80-1</f>
        <v>0.27004529318154002</v>
      </c>
      <c r="E88" s="89">
        <f t="shared" si="87"/>
        <v>0.47903614457831334</v>
      </c>
      <c r="F88" s="89">
        <f t="shared" si="87"/>
        <v>0.37949386336483104</v>
      </c>
      <c r="G88" s="89">
        <f t="shared" si="87"/>
        <v>9.9157546649870199E-2</v>
      </c>
      <c r="H88"/>
      <c r="I88" s="21" t="s">
        <v>108</v>
      </c>
      <c r="J88"/>
      <c r="K88"/>
      <c r="L88" s="157">
        <f t="shared" ref="L88:O88" si="88">L80-K80</f>
        <v>5.7225721516554612E-3</v>
      </c>
      <c r="M88" s="157">
        <f t="shared" si="88"/>
        <v>8.2880227744333013E-3</v>
      </c>
      <c r="N88" s="157">
        <f t="shared" si="88"/>
        <v>1.5926325286770335E-2</v>
      </c>
      <c r="O88" s="157">
        <f t="shared" si="88"/>
        <v>6.3783541772058361E-4</v>
      </c>
      <c r="P88"/>
      <c r="Q88"/>
      <c r="R88"/>
      <c r="S88"/>
      <c r="T88"/>
      <c r="U88"/>
      <c r="V88"/>
    </row>
    <row r="89" spans="2:22" ht="15" customHeight="1" x14ac:dyDescent="0.55000000000000004">
      <c r="B89" s="18" t="s">
        <v>30</v>
      </c>
      <c r="C89" s="19"/>
      <c r="D89" s="33">
        <f t="shared" ref="D89:G89" si="89">D81/C81-1</f>
        <v>0.20454125820676983</v>
      </c>
      <c r="E89" s="33">
        <f t="shared" si="89"/>
        <v>0.37623430604373276</v>
      </c>
      <c r="F89" s="33">
        <f t="shared" si="89"/>
        <v>0.21695366571345676</v>
      </c>
      <c r="G89" s="33">
        <f t="shared" si="89"/>
        <v>9.399517263985091E-2</v>
      </c>
      <c r="H89"/>
      <c r="I89"/>
      <c r="J89"/>
      <c r="K89"/>
      <c r="L89"/>
      <c r="M89"/>
      <c r="N89"/>
      <c r="O89"/>
      <c r="P89"/>
      <c r="Q89"/>
      <c r="R89"/>
      <c r="S89"/>
      <c r="T89"/>
      <c r="U89"/>
      <c r="V89"/>
    </row>
    <row r="93" spans="2:22" ht="15" customHeight="1" x14ac:dyDescent="0.55000000000000004">
      <c r="B93" s="6" t="s">
        <v>270</v>
      </c>
      <c r="C93" s="121" t="s">
        <v>252</v>
      </c>
      <c r="D93" s="121" t="s">
        <v>251</v>
      </c>
      <c r="E93" s="121" t="s">
        <v>250</v>
      </c>
      <c r="F93" s="121" t="s">
        <v>223</v>
      </c>
      <c r="G93" s="140">
        <v>2021</v>
      </c>
      <c r="H93" s="121" t="s">
        <v>224</v>
      </c>
      <c r="I93" s="121" t="s">
        <v>225</v>
      </c>
      <c r="J93" s="121" t="s">
        <v>226</v>
      </c>
      <c r="K93" s="121" t="s">
        <v>227</v>
      </c>
      <c r="L93" s="140">
        <v>2022</v>
      </c>
      <c r="M93" s="121" t="s">
        <v>228</v>
      </c>
      <c r="N93" s="121" t="s">
        <v>248</v>
      </c>
      <c r="O93" s="121" t="s">
        <v>260</v>
      </c>
      <c r="P93" s="121" t="s">
        <v>261</v>
      </c>
      <c r="Q93" s="147">
        <v>2023</v>
      </c>
      <c r="R93" s="121" t="s">
        <v>262</v>
      </c>
      <c r="S93" s="121" t="s">
        <v>263</v>
      </c>
      <c r="T93" s="121" t="s">
        <v>264</v>
      </c>
      <c r="U93" s="121" t="s">
        <v>265</v>
      </c>
      <c r="V93" s="147">
        <v>2024</v>
      </c>
    </row>
    <row r="94" spans="2:22" customFormat="1" ht="15" customHeight="1" x14ac:dyDescent="0.45">
      <c r="G94" s="164"/>
      <c r="L94" s="164"/>
      <c r="Q94" s="164"/>
      <c r="V94" s="164"/>
    </row>
    <row r="95" spans="2:22" customFormat="1" ht="15" customHeight="1" x14ac:dyDescent="0.55000000000000004">
      <c r="B95" s="3" t="s">
        <v>272</v>
      </c>
      <c r="C95" s="76">
        <v>57491</v>
      </c>
      <c r="D95" s="76">
        <v>58004</v>
      </c>
      <c r="E95" s="76">
        <v>54876</v>
      </c>
      <c r="F95" s="76">
        <v>71416</v>
      </c>
      <c r="G95" s="142">
        <f>SUM(C95:F95)</f>
        <v>241787</v>
      </c>
      <c r="H95" s="76">
        <v>56455</v>
      </c>
      <c r="I95" s="76">
        <v>56575</v>
      </c>
      <c r="J95" s="76">
        <v>59340</v>
      </c>
      <c r="K95" s="76">
        <v>70531</v>
      </c>
      <c r="L95" s="142">
        <f>SUM(H95:K95)</f>
        <v>242901</v>
      </c>
      <c r="M95" s="76">
        <v>56981</v>
      </c>
      <c r="N95" s="13">
        <f>N56+N57+N62</f>
        <v>57441.161999999997</v>
      </c>
      <c r="O95" s="13">
        <f>O56+O57+O62</f>
        <v>60197.580999999998</v>
      </c>
      <c r="P95" s="13">
        <f>P56+P57+P62</f>
        <v>71523.463999999993</v>
      </c>
      <c r="Q95" s="142">
        <f>SUM(M95:P95)</f>
        <v>246143.20699999999</v>
      </c>
      <c r="R95" s="13">
        <f>R56+R57+R62</f>
        <v>59097.542319211505</v>
      </c>
      <c r="S95" s="13">
        <f>S56+S57+S62</f>
        <v>59876.169045180344</v>
      </c>
      <c r="T95" s="13">
        <f>T56+T57+T62</f>
        <v>63022.176005028094</v>
      </c>
      <c r="U95" s="13">
        <f>U56+U57+U62</f>
        <v>75133.421534624242</v>
      </c>
      <c r="V95" s="142">
        <f>SUM(R95:U95)</f>
        <v>257129.30890404418</v>
      </c>
    </row>
    <row r="96" spans="2:22" customFormat="1" ht="15" customHeight="1" x14ac:dyDescent="0.55000000000000004">
      <c r="B96" s="3" t="s">
        <v>273</v>
      </c>
      <c r="C96" s="76">
        <v>51027</v>
      </c>
      <c r="D96" s="76">
        <v>55076</v>
      </c>
      <c r="E96" s="76">
        <v>55936</v>
      </c>
      <c r="F96" s="76">
        <v>65996</v>
      </c>
      <c r="G96" s="142">
        <f>SUM(C96:F96)</f>
        <v>228035</v>
      </c>
      <c r="H96" s="76">
        <v>59989</v>
      </c>
      <c r="I96" s="76">
        <v>64659</v>
      </c>
      <c r="J96" s="76">
        <v>67761</v>
      </c>
      <c r="K96" s="76">
        <v>78673</v>
      </c>
      <c r="L96" s="142">
        <f>SUM(H96:K96)</f>
        <v>271082</v>
      </c>
      <c r="M96" s="76">
        <v>70377</v>
      </c>
      <c r="N96" s="13">
        <f>SUM(N58:N61)</f>
        <v>74664.590000000011</v>
      </c>
      <c r="O96" s="13">
        <f>SUM(O58:O61)</f>
        <v>78633.95</v>
      </c>
      <c r="P96" s="13">
        <f>SUM(P58:P61)</f>
        <v>89822.25</v>
      </c>
      <c r="Q96" s="142">
        <f>SUM(M96:P96)</f>
        <v>313497.79000000004</v>
      </c>
      <c r="R96" s="13">
        <f>SUM(R58:R61)</f>
        <v>81027.169999999984</v>
      </c>
      <c r="S96" s="13">
        <f>SUM(S58:S61)</f>
        <v>86750.068904</v>
      </c>
      <c r="T96" s="13">
        <f>SUM(T58:T61)</f>
        <v>91954.110099999991</v>
      </c>
      <c r="U96" s="13">
        <f>SUM(U58:U61)</f>
        <v>105168.84</v>
      </c>
      <c r="V96" s="142">
        <f>SUM(R96:U96)</f>
        <v>364900.18900399993</v>
      </c>
    </row>
    <row r="97" spans="2:22" customFormat="1" ht="15" customHeight="1" x14ac:dyDescent="0.55000000000000004">
      <c r="B97" s="23"/>
      <c r="C97" s="163">
        <f t="shared" ref="C97:G97" si="90">SUM(C95:C96)</f>
        <v>108518</v>
      </c>
      <c r="D97" s="163">
        <f t="shared" si="90"/>
        <v>113080</v>
      </c>
      <c r="E97" s="163">
        <f t="shared" si="90"/>
        <v>110812</v>
      </c>
      <c r="F97" s="163">
        <f t="shared" si="90"/>
        <v>137412</v>
      </c>
      <c r="G97" s="165">
        <f t="shared" si="90"/>
        <v>469822</v>
      </c>
      <c r="H97" s="163">
        <f>SUM(H95:H96)</f>
        <v>116444</v>
      </c>
      <c r="I97" s="163">
        <f t="shared" ref="I97:V97" si="91">SUM(I95:I96)</f>
        <v>121234</v>
      </c>
      <c r="J97" s="163">
        <f t="shared" si="91"/>
        <v>127101</v>
      </c>
      <c r="K97" s="163">
        <f t="shared" si="91"/>
        <v>149204</v>
      </c>
      <c r="L97" s="165">
        <f t="shared" si="91"/>
        <v>513983</v>
      </c>
      <c r="M97" s="163">
        <f t="shared" si="91"/>
        <v>127358</v>
      </c>
      <c r="N97" s="163">
        <f t="shared" si="91"/>
        <v>132105.75200000001</v>
      </c>
      <c r="O97" s="163">
        <f t="shared" si="91"/>
        <v>138831.53099999999</v>
      </c>
      <c r="P97" s="163">
        <f t="shared" si="91"/>
        <v>161345.71399999998</v>
      </c>
      <c r="Q97" s="165">
        <f t="shared" si="91"/>
        <v>559640.99699999997</v>
      </c>
      <c r="R97" s="163">
        <f t="shared" si="91"/>
        <v>140124.71231921148</v>
      </c>
      <c r="S97" s="163">
        <f t="shared" si="91"/>
        <v>146626.23794918036</v>
      </c>
      <c r="T97" s="163">
        <f t="shared" si="91"/>
        <v>154976.28610502809</v>
      </c>
      <c r="U97" s="163">
        <f t="shared" si="91"/>
        <v>180302.26153462424</v>
      </c>
      <c r="V97" s="165">
        <f t="shared" si="91"/>
        <v>622029.49790804414</v>
      </c>
    </row>
    <row r="98" spans="2:22" customFormat="1" ht="15" customHeight="1" x14ac:dyDescent="0.55000000000000004">
      <c r="B98" s="3"/>
      <c r="C98" s="14"/>
      <c r="D98" s="14"/>
      <c r="E98" s="14"/>
      <c r="F98" s="14"/>
      <c r="G98" s="142"/>
      <c r="H98" s="14"/>
      <c r="I98" s="14"/>
      <c r="J98" s="14"/>
      <c r="K98" s="14"/>
      <c r="L98" s="142"/>
      <c r="M98" s="14"/>
      <c r="N98" s="14"/>
      <c r="O98" s="14"/>
      <c r="P98" s="14"/>
      <c r="Q98" s="142"/>
      <c r="R98" s="14"/>
      <c r="S98" s="14"/>
      <c r="T98" s="14"/>
      <c r="U98" s="14"/>
      <c r="V98" s="142"/>
    </row>
    <row r="99" spans="2:22" customFormat="1" ht="15" customHeight="1" x14ac:dyDescent="0.55000000000000004">
      <c r="B99" s="3" t="s">
        <v>33</v>
      </c>
      <c r="C99" s="76">
        <v>62403</v>
      </c>
      <c r="D99" s="76">
        <v>64176</v>
      </c>
      <c r="E99" s="76">
        <v>62930</v>
      </c>
      <c r="F99" s="76">
        <v>82835</v>
      </c>
      <c r="G99" s="142">
        <f>SUM(C99:F99)</f>
        <v>272344</v>
      </c>
      <c r="H99" s="76">
        <v>66499</v>
      </c>
      <c r="I99" s="76">
        <v>66424</v>
      </c>
      <c r="J99" s="76">
        <v>70268</v>
      </c>
      <c r="K99" s="76">
        <v>85640</v>
      </c>
      <c r="L99" s="142">
        <f>SUM(H99:K99)</f>
        <v>288831</v>
      </c>
      <c r="M99" s="76">
        <v>67791</v>
      </c>
      <c r="N99" s="14">
        <f>N100*N97</f>
        <v>71098.165453374997</v>
      </c>
      <c r="O99" s="14">
        <f t="shared" ref="O99:P99" si="92">O100*O97</f>
        <v>75537.631599189684</v>
      </c>
      <c r="P99" s="14">
        <f t="shared" si="92"/>
        <v>88740.142699999997</v>
      </c>
      <c r="Q99" s="142">
        <f>SUM(M99:P99)</f>
        <v>303166.93975256465</v>
      </c>
      <c r="R99" s="14">
        <f>R100*R97</f>
        <v>77068.591775566325</v>
      </c>
      <c r="S99" s="14">
        <f t="shared" ref="S99:U99" si="93">S100*S97</f>
        <v>79422.545555806035</v>
      </c>
      <c r="T99" s="14">
        <f t="shared" ref="T99" si="94">T100*T97</f>
        <v>82654.019256014988</v>
      </c>
      <c r="U99" s="14">
        <f t="shared" si="93"/>
        <v>94658.687305677726</v>
      </c>
      <c r="V99" s="142">
        <f>SUM(R99:U99)</f>
        <v>333803.84389306506</v>
      </c>
    </row>
    <row r="100" spans="2:22" ht="15" customHeight="1" x14ac:dyDescent="0.55000000000000004">
      <c r="B100" s="3" t="s">
        <v>271</v>
      </c>
      <c r="C100" s="161">
        <f t="shared" ref="C100" si="95">C99/C$97</f>
        <v>0.5750474575646437</v>
      </c>
      <c r="D100" s="161">
        <f t="shared" ref="D100" si="96">D99/D$97</f>
        <v>0.56752741422002118</v>
      </c>
      <c r="E100" s="161">
        <f t="shared" ref="E100" si="97">E99/E$97</f>
        <v>0.56789878352525003</v>
      </c>
      <c r="F100" s="161">
        <f t="shared" ref="F100" si="98">F99/F$97</f>
        <v>0.60282216982505166</v>
      </c>
      <c r="G100" s="166">
        <f t="shared" ref="G100" si="99">G99/G$97</f>
        <v>0.57967485558360399</v>
      </c>
      <c r="H100" s="161">
        <f t="shared" ref="H100" si="100">H99/H$97</f>
        <v>0.57108137817319915</v>
      </c>
      <c r="I100" s="161">
        <f t="shared" ref="I100" si="101">I99/I$97</f>
        <v>0.54789910421168975</v>
      </c>
      <c r="J100" s="161">
        <f t="shared" ref="J100" si="102">J99/J$97</f>
        <v>0.55285166914501072</v>
      </c>
      <c r="K100" s="161">
        <f t="shared" ref="K100" si="103">K99/K$97</f>
        <v>0.57397924988606208</v>
      </c>
      <c r="L100" s="166">
        <f t="shared" ref="L100" si="104">L99/L$97</f>
        <v>0.56194660134673713</v>
      </c>
      <c r="M100" s="161">
        <f t="shared" ref="M100" si="105">M99/M$97</f>
        <v>0.53228693917932124</v>
      </c>
      <c r="N100" s="45">
        <f>$M100+1*($P100-$M100)/3</f>
        <v>0.53819129278621414</v>
      </c>
      <c r="O100" s="45">
        <f>$M100+2*($P100-$M100)/3</f>
        <v>0.54409564639310715</v>
      </c>
      <c r="P100" s="135">
        <v>0.55000000000000004</v>
      </c>
      <c r="Q100" s="166">
        <f t="shared" ref="Q100" si="106">Q99/Q$97</f>
        <v>0.54171681734846999</v>
      </c>
      <c r="R100" s="135">
        <v>0.55000000000000004</v>
      </c>
      <c r="S100" s="45">
        <f>$R100+1*($U100-$R100)/3</f>
        <v>0.54166666666666674</v>
      </c>
      <c r="T100" s="45">
        <f>$R100+2*($U100-$R100)/3</f>
        <v>0.53333333333333333</v>
      </c>
      <c r="U100" s="135">
        <v>0.52500000000000002</v>
      </c>
      <c r="V100" s="166">
        <f t="shared" ref="V100" si="107">V99/V$97</f>
        <v>0.53663667883225041</v>
      </c>
    </row>
    <row r="101" spans="2:22" customFormat="1" ht="15" customHeight="1" x14ac:dyDescent="0.55000000000000004">
      <c r="B101" s="3"/>
      <c r="C101" s="3"/>
      <c r="D101" s="3"/>
      <c r="E101" s="3"/>
      <c r="F101" s="3"/>
      <c r="G101" s="141"/>
      <c r="H101" s="3"/>
      <c r="I101" s="3"/>
      <c r="J101" s="3"/>
      <c r="K101" s="3"/>
      <c r="L101" s="141"/>
      <c r="Q101" s="164"/>
      <c r="V101" s="164"/>
    </row>
    <row r="102" spans="2:22" ht="15" customHeight="1" x14ac:dyDescent="0.55000000000000004">
      <c r="B102" s="22" t="s">
        <v>34</v>
      </c>
      <c r="C102" s="93">
        <f t="shared" ref="C102:G102" si="108">C97-C99</f>
        <v>46115</v>
      </c>
      <c r="D102" s="93">
        <f t="shared" si="108"/>
        <v>48904</v>
      </c>
      <c r="E102" s="93">
        <f t="shared" si="108"/>
        <v>47882</v>
      </c>
      <c r="F102" s="93">
        <f t="shared" si="108"/>
        <v>54577</v>
      </c>
      <c r="G102" s="167">
        <f t="shared" si="108"/>
        <v>197478</v>
      </c>
      <c r="H102" s="93">
        <f>H97-H99</f>
        <v>49945</v>
      </c>
      <c r="I102" s="93">
        <f t="shared" ref="I102:V102" si="109">I97-I99</f>
        <v>54810</v>
      </c>
      <c r="J102" s="93">
        <f t="shared" si="109"/>
        <v>56833</v>
      </c>
      <c r="K102" s="93">
        <f t="shared" si="109"/>
        <v>63564</v>
      </c>
      <c r="L102" s="167">
        <f t="shared" si="109"/>
        <v>225152</v>
      </c>
      <c r="M102" s="93">
        <f t="shared" si="109"/>
        <v>59567</v>
      </c>
      <c r="N102" s="93">
        <f t="shared" si="109"/>
        <v>61007.586546625011</v>
      </c>
      <c r="O102" s="93">
        <f t="shared" si="109"/>
        <v>63293.899400810304</v>
      </c>
      <c r="P102" s="93">
        <f t="shared" si="109"/>
        <v>72605.571299999981</v>
      </c>
      <c r="Q102" s="167">
        <f t="shared" si="109"/>
        <v>256474.05724743532</v>
      </c>
      <c r="R102" s="93">
        <f t="shared" si="109"/>
        <v>63056.120543645156</v>
      </c>
      <c r="S102" s="93">
        <f t="shared" si="109"/>
        <v>67203.692393374324</v>
      </c>
      <c r="T102" s="93">
        <f t="shared" si="109"/>
        <v>72322.266849013104</v>
      </c>
      <c r="U102" s="93">
        <f t="shared" si="109"/>
        <v>85643.574228946512</v>
      </c>
      <c r="V102" s="167">
        <f t="shared" si="109"/>
        <v>288225.65401497908</v>
      </c>
    </row>
    <row r="103" spans="2:22" ht="15" customHeight="1" x14ac:dyDescent="0.55000000000000004">
      <c r="B103" s="24" t="s">
        <v>61</v>
      </c>
      <c r="C103" s="25">
        <f t="shared" ref="C103:G103" si="110">C102/C$97</f>
        <v>0.42495254243535635</v>
      </c>
      <c r="D103" s="25">
        <f t="shared" si="110"/>
        <v>0.43247258577997877</v>
      </c>
      <c r="E103" s="25">
        <f t="shared" si="110"/>
        <v>0.43210121647475003</v>
      </c>
      <c r="F103" s="25">
        <f t="shared" si="110"/>
        <v>0.39717783017494834</v>
      </c>
      <c r="G103" s="168">
        <f t="shared" si="110"/>
        <v>0.42032514441639601</v>
      </c>
      <c r="H103" s="25">
        <f>H102/H$97</f>
        <v>0.42891862182680085</v>
      </c>
      <c r="I103" s="25">
        <f t="shared" ref="I103:V103" si="111">I102/I$97</f>
        <v>0.4521008957883102</v>
      </c>
      <c r="J103" s="25">
        <f t="shared" si="111"/>
        <v>0.44714833085498934</v>
      </c>
      <c r="K103" s="25">
        <f t="shared" si="111"/>
        <v>0.42602075011393797</v>
      </c>
      <c r="L103" s="168">
        <f t="shared" si="111"/>
        <v>0.43805339865326287</v>
      </c>
      <c r="M103" s="25">
        <f t="shared" si="111"/>
        <v>0.46771306082067871</v>
      </c>
      <c r="N103" s="25">
        <f t="shared" si="111"/>
        <v>0.46180870721378586</v>
      </c>
      <c r="O103" s="25">
        <f t="shared" si="111"/>
        <v>0.45590435360689285</v>
      </c>
      <c r="P103" s="25">
        <f t="shared" si="111"/>
        <v>0.44999999999999996</v>
      </c>
      <c r="Q103" s="168">
        <f t="shared" si="111"/>
        <v>0.45828318265152995</v>
      </c>
      <c r="R103" s="25">
        <f t="shared" si="111"/>
        <v>0.4499999999999999</v>
      </c>
      <c r="S103" s="25">
        <f t="shared" si="111"/>
        <v>0.45833333333333326</v>
      </c>
      <c r="T103" s="25">
        <f t="shared" si="111"/>
        <v>0.46666666666666662</v>
      </c>
      <c r="U103" s="25">
        <f t="shared" si="111"/>
        <v>0.47499999999999998</v>
      </c>
      <c r="V103" s="168">
        <f t="shared" si="111"/>
        <v>0.46336332116774959</v>
      </c>
    </row>
    <row r="104" spans="2:22" ht="15" customHeight="1" x14ac:dyDescent="0.55000000000000004">
      <c r="G104" s="141"/>
      <c r="L104" s="141"/>
      <c r="Q104" s="141"/>
      <c r="V104" s="141"/>
    </row>
    <row r="105" spans="2:22" ht="15" customHeight="1" x14ac:dyDescent="0.55000000000000004">
      <c r="B105" s="3" t="s">
        <v>91</v>
      </c>
      <c r="C105" s="76">
        <v>16530</v>
      </c>
      <c r="D105" s="76">
        <v>17638</v>
      </c>
      <c r="E105" s="76">
        <v>18498</v>
      </c>
      <c r="F105" s="76">
        <v>22445</v>
      </c>
      <c r="G105" s="142">
        <f>SUM(C105:F105)</f>
        <v>75111</v>
      </c>
      <c r="H105" s="76">
        <v>20271</v>
      </c>
      <c r="I105" s="76">
        <v>20342</v>
      </c>
      <c r="J105" s="76">
        <v>20583</v>
      </c>
      <c r="K105" s="76">
        <v>23103</v>
      </c>
      <c r="L105" s="142">
        <f>SUM(H105:K105)</f>
        <v>84299</v>
      </c>
      <c r="M105" s="76">
        <v>20905</v>
      </c>
      <c r="N105" s="14">
        <f>N106*N$97</f>
        <v>21633.954580327914</v>
      </c>
      <c r="O105" s="14">
        <f t="shared" ref="O105:P105" si="112">O106*O$97</f>
        <v>22682.461911401842</v>
      </c>
      <c r="P105" s="14">
        <f t="shared" si="112"/>
        <v>26299.351381999997</v>
      </c>
      <c r="Q105" s="142">
        <f>SUM(M105:P105)</f>
        <v>91520.767873729754</v>
      </c>
      <c r="R105" s="14">
        <f>R106*R$97</f>
        <v>22700.203395712262</v>
      </c>
      <c r="S105" s="14">
        <f t="shared" ref="S105" si="113">S106*S$97</f>
        <v>23655.699722467765</v>
      </c>
      <c r="T105" s="14">
        <f t="shared" ref="T105:U105" si="114">T106*T$97</f>
        <v>24899.523300874516</v>
      </c>
      <c r="U105" s="14">
        <f t="shared" si="114"/>
        <v>28848.361845539879</v>
      </c>
      <c r="V105" s="142">
        <f>SUM(R105:U105)</f>
        <v>100103.78826459442</v>
      </c>
    </row>
    <row r="106" spans="2:22" ht="15" customHeight="1" x14ac:dyDescent="0.55000000000000004">
      <c r="B106" s="3" t="s">
        <v>271</v>
      </c>
      <c r="C106" s="161">
        <f t="shared" ref="C106:F106" si="115">C105/C$97</f>
        <v>0.15232495991448422</v>
      </c>
      <c r="D106" s="161">
        <f t="shared" si="115"/>
        <v>0.15597806862398303</v>
      </c>
      <c r="E106" s="161">
        <f t="shared" si="115"/>
        <v>0.16693137927300292</v>
      </c>
      <c r="F106" s="161">
        <f t="shared" si="115"/>
        <v>0.16334090181352429</v>
      </c>
      <c r="G106" s="166">
        <f>G105/G$97</f>
        <v>0.15987118525739535</v>
      </c>
      <c r="H106" s="161">
        <f t="shared" ref="H106:V106" si="116">H105/H$97</f>
        <v>0.17408367970870117</v>
      </c>
      <c r="I106" s="161">
        <f t="shared" si="116"/>
        <v>0.1677912136859297</v>
      </c>
      <c r="J106" s="161">
        <f t="shared" si="116"/>
        <v>0.16194207756036538</v>
      </c>
      <c r="K106" s="161">
        <f t="shared" si="116"/>
        <v>0.15484169325219163</v>
      </c>
      <c r="L106" s="166">
        <f t="shared" si="116"/>
        <v>0.16401126107283703</v>
      </c>
      <c r="M106" s="161">
        <f t="shared" si="116"/>
        <v>0.16414359521977417</v>
      </c>
      <c r="N106" s="45">
        <f>$M106+1*($P106-$M106)/3</f>
        <v>0.16376239681318278</v>
      </c>
      <c r="O106" s="45">
        <f>$M106+2*($P106-$M106)/3</f>
        <v>0.1633811984065914</v>
      </c>
      <c r="P106" s="135">
        <v>0.16300000000000001</v>
      </c>
      <c r="Q106" s="166">
        <f t="shared" si="116"/>
        <v>0.16353478098340563</v>
      </c>
      <c r="R106" s="135">
        <v>0.16200000000000001</v>
      </c>
      <c r="S106" s="45">
        <f>$R106+1*($U106-$R106)/3</f>
        <v>0.16133333333333333</v>
      </c>
      <c r="T106" s="45">
        <f>$R106+2*($U106-$R106)/3</f>
        <v>0.16066666666666668</v>
      </c>
      <c r="U106" s="135">
        <v>0.16</v>
      </c>
      <c r="V106" s="166">
        <f t="shared" si="116"/>
        <v>0.16093093430658004</v>
      </c>
    </row>
    <row r="107" spans="2:22" ht="15" customHeight="1" x14ac:dyDescent="0.55000000000000004">
      <c r="B107" s="3" t="s">
        <v>115</v>
      </c>
      <c r="C107" s="76">
        <v>12488</v>
      </c>
      <c r="D107" s="76">
        <v>13871</v>
      </c>
      <c r="E107" s="76">
        <v>14380</v>
      </c>
      <c r="F107" s="76">
        <v>15313</v>
      </c>
      <c r="G107" s="142">
        <f>SUM(C107:F107)</f>
        <v>56052</v>
      </c>
      <c r="H107" s="76">
        <v>14842</v>
      </c>
      <c r="I107" s="76">
        <v>18072</v>
      </c>
      <c r="J107" s="76">
        <v>19485</v>
      </c>
      <c r="K107" s="76">
        <v>20814</v>
      </c>
      <c r="L107" s="142">
        <f>SUM(H107:K107)</f>
        <v>73213</v>
      </c>
      <c r="M107" s="76">
        <v>20450</v>
      </c>
      <c r="N107" s="14">
        <f>N108*N$97</f>
        <v>19954.220577020453</v>
      </c>
      <c r="O107" s="14">
        <f t="shared" ref="O107" si="117">O108*O$97</f>
        <v>19647.946800818354</v>
      </c>
      <c r="P107" s="14">
        <f t="shared" ref="P107" si="118">P108*P$97</f>
        <v>21297.634247999998</v>
      </c>
      <c r="Q107" s="142">
        <f>SUM(M107:P107)</f>
        <v>81349.801625838809</v>
      </c>
      <c r="R107" s="14">
        <f>R108*R$97</f>
        <v>18496.462026135916</v>
      </c>
      <c r="S107" s="14">
        <f t="shared" ref="S107" si="119">S108*S$97</f>
        <v>20723.174963484158</v>
      </c>
      <c r="T107" s="14">
        <f t="shared" ref="T107" si="120">T108*T$97</f>
        <v>23349.760439824233</v>
      </c>
      <c r="U107" s="14">
        <f t="shared" ref="U107" si="121">U108*U$97</f>
        <v>28848.361845539879</v>
      </c>
      <c r="V107" s="142">
        <f>SUM(R107:U107)</f>
        <v>91417.759274984186</v>
      </c>
    </row>
    <row r="108" spans="2:22" ht="15" customHeight="1" x14ac:dyDescent="0.55000000000000004">
      <c r="B108" s="3" t="s">
        <v>271</v>
      </c>
      <c r="C108" s="161">
        <f t="shared" ref="C108" si="122">C107/C$97</f>
        <v>0.11507768296503806</v>
      </c>
      <c r="D108" s="161">
        <f t="shared" ref="D108" si="123">D107/D$97</f>
        <v>0.12266536964980544</v>
      </c>
      <c r="E108" s="161">
        <f t="shared" ref="E108" si="124">E107/E$97</f>
        <v>0.12976933906075155</v>
      </c>
      <c r="F108" s="161">
        <f t="shared" ref="F108" si="125">F107/F$97</f>
        <v>0.11143859342706605</v>
      </c>
      <c r="G108" s="166">
        <f>G107/G$97</f>
        <v>0.11930475797216818</v>
      </c>
      <c r="H108" s="161">
        <f t="shared" ref="H108" si="126">H107/H$97</f>
        <v>0.12746041015423723</v>
      </c>
      <c r="I108" s="161">
        <f t="shared" ref="I108" si="127">I107/I$97</f>
        <v>0.14906709338964316</v>
      </c>
      <c r="J108" s="161">
        <f t="shared" ref="J108" si="128">J107/J$97</f>
        <v>0.15330327849505512</v>
      </c>
      <c r="K108" s="161">
        <f t="shared" ref="K108" si="129">K107/K$97</f>
        <v>0.13950028149379373</v>
      </c>
      <c r="L108" s="166">
        <f t="shared" ref="L108" si="130">L107/L$97</f>
        <v>0.14244245432241923</v>
      </c>
      <c r="M108" s="161">
        <f t="shared" ref="M108" si="131">M107/M$97</f>
        <v>0.16057098886603119</v>
      </c>
      <c r="N108" s="45">
        <f>$M108+1*($P108-$M108)/3</f>
        <v>0.15104732591068745</v>
      </c>
      <c r="O108" s="45">
        <f>$M108+2*($P108-$M108)/3</f>
        <v>0.14152366295534374</v>
      </c>
      <c r="P108" s="135">
        <v>0.13200000000000001</v>
      </c>
      <c r="Q108" s="166">
        <f t="shared" ref="Q108" si="132">Q107/Q$97</f>
        <v>0.14536069026736942</v>
      </c>
      <c r="R108" s="135">
        <v>0.13200000000000001</v>
      </c>
      <c r="S108" s="45">
        <f>$R108+1*($U108-$R108)/3</f>
        <v>0.14133333333333334</v>
      </c>
      <c r="T108" s="45">
        <f>$R108+2*($U108-$R108)/3</f>
        <v>0.15066666666666667</v>
      </c>
      <c r="U108" s="135">
        <v>0.16</v>
      </c>
      <c r="V108" s="166">
        <f t="shared" ref="V108" si="133">V107/V$97</f>
        <v>0.14696691970787959</v>
      </c>
    </row>
    <row r="109" spans="2:22" ht="15" customHeight="1" x14ac:dyDescent="0.55000000000000004">
      <c r="B109" s="3" t="s">
        <v>116</v>
      </c>
      <c r="C109" s="76">
        <v>6207</v>
      </c>
      <c r="D109" s="76">
        <v>7524</v>
      </c>
      <c r="E109" s="76">
        <v>8010</v>
      </c>
      <c r="F109" s="76">
        <v>10810</v>
      </c>
      <c r="G109" s="142">
        <f>SUM(C109:F109)</f>
        <v>32551</v>
      </c>
      <c r="H109" s="76">
        <v>8320</v>
      </c>
      <c r="I109" s="76">
        <v>10086</v>
      </c>
      <c r="J109" s="76">
        <v>11014</v>
      </c>
      <c r="K109" s="76">
        <v>12818</v>
      </c>
      <c r="L109" s="142">
        <f>SUM(H109:K109)</f>
        <v>42238</v>
      </c>
      <c r="M109" s="76">
        <v>10172</v>
      </c>
      <c r="N109" s="14">
        <f>N110*N$97</f>
        <v>10424.847528634851</v>
      </c>
      <c r="O109" s="14">
        <f t="shared" ref="O109" si="134">O110*O$97</f>
        <v>10822.813058719232</v>
      </c>
      <c r="P109" s="14">
        <f t="shared" ref="P109" si="135">P110*P$97</f>
        <v>12423.619977999999</v>
      </c>
      <c r="Q109" s="142">
        <f>SUM(M109:P109)</f>
        <v>43843.280565354085</v>
      </c>
      <c r="R109" s="14">
        <f>R110*R$97</f>
        <v>10649.478136260072</v>
      </c>
      <c r="S109" s="14">
        <f t="shared" ref="S109" si="136">S110*S$97</f>
        <v>10972.530139863664</v>
      </c>
      <c r="T109" s="14">
        <f t="shared" ref="T109" si="137">T110*T$97</f>
        <v>11416.586409737069</v>
      </c>
      <c r="U109" s="14">
        <f t="shared" ref="U109" si="138">U110*U$97</f>
        <v>13071.913961260256</v>
      </c>
      <c r="V109" s="142">
        <f>SUM(R109:U109)</f>
        <v>46110.508647121067</v>
      </c>
    </row>
    <row r="110" spans="2:22" ht="15" customHeight="1" x14ac:dyDescent="0.55000000000000004">
      <c r="B110" s="3" t="s">
        <v>271</v>
      </c>
      <c r="C110" s="161">
        <f t="shared" ref="C110" si="139">C109/C$97</f>
        <v>5.7197884221972389E-2</v>
      </c>
      <c r="D110" s="161">
        <f t="shared" ref="D110" si="140">D109/D$97</f>
        <v>6.6536964980544747E-2</v>
      </c>
      <c r="E110" s="161">
        <f t="shared" ref="E110" si="141">E109/E$97</f>
        <v>7.2284590116593869E-2</v>
      </c>
      <c r="F110" s="161">
        <f t="shared" ref="F110" si="142">F109/F$97</f>
        <v>7.8668529677175206E-2</v>
      </c>
      <c r="G110" s="166">
        <f>G109/G$97</f>
        <v>6.9283686161993263E-2</v>
      </c>
      <c r="H110" s="161">
        <f t="shared" ref="H110" si="143">H109/H$97</f>
        <v>7.1450654391810656E-2</v>
      </c>
      <c r="I110" s="161">
        <f t="shared" ref="I110" si="144">I109/I$97</f>
        <v>8.3194483395747074E-2</v>
      </c>
      <c r="J110" s="161">
        <f t="shared" ref="J110" si="145">J109/J$97</f>
        <v>8.6655494449296225E-2</v>
      </c>
      <c r="K110" s="161">
        <f t="shared" ref="K110" si="146">K109/K$97</f>
        <v>8.5909224953754595E-2</v>
      </c>
      <c r="L110" s="166">
        <f t="shared" ref="L110" si="147">L109/L$97</f>
        <v>8.2177815219569517E-2</v>
      </c>
      <c r="M110" s="161">
        <f t="shared" ref="M110" si="148">M109/M$97</f>
        <v>7.9869344681920251E-2</v>
      </c>
      <c r="N110" s="45">
        <f>$M110+1*($P110-$M110)/3</f>
        <v>7.8912896454613496E-2</v>
      </c>
      <c r="O110" s="45">
        <f>$M110+2*($P110-$M110)/3</f>
        <v>7.7956448227306754E-2</v>
      </c>
      <c r="P110" s="135">
        <v>7.6999999999999999E-2</v>
      </c>
      <c r="Q110" s="166">
        <f t="shared" ref="Q110" si="149">Q109/Q$97</f>
        <v>7.8341795544607115E-2</v>
      </c>
      <c r="R110" s="135">
        <v>7.5999999999999998E-2</v>
      </c>
      <c r="S110" s="45">
        <f>$R110+1*($U110-$R110)/3</f>
        <v>7.4833333333333335E-2</v>
      </c>
      <c r="T110" s="45">
        <f>$R110+2*($U110-$R110)/3</f>
        <v>7.3666666666666658E-2</v>
      </c>
      <c r="U110" s="135">
        <v>7.2499999999999995E-2</v>
      </c>
      <c r="V110" s="166">
        <f t="shared" ref="V110" si="150">V109/V$97</f>
        <v>7.4129135036515068E-2</v>
      </c>
    </row>
    <row r="111" spans="2:22" ht="15" customHeight="1" x14ac:dyDescent="0.55000000000000004">
      <c r="B111" s="3" t="s">
        <v>117</v>
      </c>
      <c r="C111" s="76">
        <v>1987</v>
      </c>
      <c r="D111" s="76">
        <v>2158</v>
      </c>
      <c r="E111" s="76">
        <v>2153</v>
      </c>
      <c r="F111" s="76">
        <v>2525</v>
      </c>
      <c r="G111" s="142">
        <f>SUM(C111:F111)</f>
        <v>8823</v>
      </c>
      <c r="H111" s="76">
        <v>2594</v>
      </c>
      <c r="I111" s="76">
        <v>2903</v>
      </c>
      <c r="J111" s="76">
        <v>3061</v>
      </c>
      <c r="K111" s="76">
        <v>3333</v>
      </c>
      <c r="L111" s="142">
        <f>SUM(H111:K111)</f>
        <v>11891</v>
      </c>
      <c r="M111" s="76">
        <v>3043</v>
      </c>
      <c r="N111" s="14">
        <f>N112*N$97</f>
        <v>2940.962665800615</v>
      </c>
      <c r="O111" s="14">
        <f t="shared" ref="O111" si="151">O112*O$97</f>
        <v>2864.2461449528728</v>
      </c>
      <c r="P111" s="14">
        <f t="shared" ref="P111" si="152">P112*P$97</f>
        <v>3065.5685659999995</v>
      </c>
      <c r="Q111" s="142">
        <f>SUM(M111:P111)</f>
        <v>11913.777376753487</v>
      </c>
      <c r="R111" s="14">
        <f>R112*R$97</f>
        <v>2802.4942463842299</v>
      </c>
      <c r="S111" s="14">
        <f t="shared" ref="S111" si="153">S112*S$97</f>
        <v>2688.1476957349732</v>
      </c>
      <c r="T111" s="14">
        <f t="shared" ref="T111" si="154">T112*T$97</f>
        <v>2582.9381017504684</v>
      </c>
      <c r="U111" s="14">
        <f t="shared" ref="U111" si="155">U112*U$97</f>
        <v>2704.5339230193636</v>
      </c>
      <c r="V111" s="142">
        <f>SUM(R111:U111)</f>
        <v>10778.113966889036</v>
      </c>
    </row>
    <row r="112" spans="2:22" ht="15" customHeight="1" x14ac:dyDescent="0.55000000000000004">
      <c r="B112" s="3" t="s">
        <v>271</v>
      </c>
      <c r="C112" s="161">
        <f t="shared" ref="C112" si="156">C111/C$97</f>
        <v>1.8310326397464015E-2</v>
      </c>
      <c r="D112" s="161">
        <f t="shared" ref="D112" si="157">D111/D$97</f>
        <v>1.9083834453484258E-2</v>
      </c>
      <c r="E112" s="161">
        <f t="shared" ref="E112" si="158">E111/E$97</f>
        <v>1.9429303685521423E-2</v>
      </c>
      <c r="F112" s="161">
        <f t="shared" ref="F112" si="159">F111/F$97</f>
        <v>1.8375396617471545E-2</v>
      </c>
      <c r="G112" s="166">
        <f>G111/G$97</f>
        <v>1.8779452643767215E-2</v>
      </c>
      <c r="H112" s="161">
        <f t="shared" ref="H112" si="160">H111/H$97</f>
        <v>2.2276802583215967E-2</v>
      </c>
      <c r="I112" s="161">
        <f t="shared" ref="I112" si="161">I111/I$97</f>
        <v>2.3945427850273027E-2</v>
      </c>
      <c r="J112" s="161">
        <f t="shared" ref="J112" si="162">J111/J$97</f>
        <v>2.4083209416133625E-2</v>
      </c>
      <c r="K112" s="161">
        <f t="shared" ref="K112" si="163">K111/K$97</f>
        <v>2.2338543202595106E-2</v>
      </c>
      <c r="L112" s="166">
        <f t="shared" ref="L112" si="164">L111/L$97</f>
        <v>2.3135006410717866E-2</v>
      </c>
      <c r="M112" s="161">
        <f t="shared" ref="M112" si="165">M111/M$97</f>
        <v>2.3893277218549287E-2</v>
      </c>
      <c r="N112" s="45">
        <f>$M112+1*($P112-$M112)/3</f>
        <v>2.2262184812366193E-2</v>
      </c>
      <c r="O112" s="45">
        <f>$M112+2*($P112-$M112)/3</f>
        <v>2.0631092406183094E-2</v>
      </c>
      <c r="P112" s="135">
        <v>1.9E-2</v>
      </c>
      <c r="Q112" s="166">
        <f t="shared" ref="Q112" si="166">Q111/Q$97</f>
        <v>2.1288249861282926E-2</v>
      </c>
      <c r="R112" s="135">
        <v>0.02</v>
      </c>
      <c r="S112" s="45">
        <f>$R112+1*($U112-$R112)/3</f>
        <v>1.8333333333333333E-2</v>
      </c>
      <c r="T112" s="45">
        <f>$R112+2*($U112-$R112)/3</f>
        <v>1.6666666666666666E-2</v>
      </c>
      <c r="U112" s="135">
        <v>1.4999999999999999E-2</v>
      </c>
      <c r="V112" s="166">
        <f t="shared" ref="V112" si="167">V111/V$97</f>
        <v>1.7327335766450076E-2</v>
      </c>
    </row>
    <row r="113" spans="2:22" ht="15" customHeight="1" x14ac:dyDescent="0.55000000000000004">
      <c r="B113" s="3" t="s">
        <v>118</v>
      </c>
      <c r="C113" s="76">
        <v>38</v>
      </c>
      <c r="D113" s="76">
        <v>11</v>
      </c>
      <c r="E113" s="76">
        <v>-11</v>
      </c>
      <c r="F113" s="76">
        <v>24</v>
      </c>
      <c r="G113" s="142">
        <f>SUM(C113:F113)</f>
        <v>62</v>
      </c>
      <c r="H113" s="76">
        <v>249</v>
      </c>
      <c r="I113" s="76">
        <v>90</v>
      </c>
      <c r="J113" s="76">
        <v>165</v>
      </c>
      <c r="K113" s="76">
        <v>759</v>
      </c>
      <c r="L113" s="142">
        <f>SUM(H113:K113)</f>
        <v>1263</v>
      </c>
      <c r="M113" s="76">
        <v>223</v>
      </c>
      <c r="N113" s="169">
        <f>N115-N111-N109-N107-N105</f>
        <v>-287.47490115881737</v>
      </c>
      <c r="O113" s="169">
        <f>O115-O111-O109-O107-O105</f>
        <v>451.24735107277957</v>
      </c>
      <c r="P113" s="169">
        <f>P115-P111-P109-P107-P105</f>
        <v>645.38285599998198</v>
      </c>
      <c r="Q113" s="142">
        <f>SUM(M113:P113)</f>
        <v>1032.1553059139442</v>
      </c>
      <c r="R113" s="169">
        <f t="shared" ref="R113:U113" si="168">R115-R111-R109-R107-R105</f>
        <v>350.31178079801612</v>
      </c>
      <c r="S113" s="169">
        <f t="shared" si="168"/>
        <v>610.94265812157391</v>
      </c>
      <c r="T113" s="169">
        <f t="shared" si="168"/>
        <v>904.02833561264924</v>
      </c>
      <c r="U113" s="169">
        <f t="shared" si="168"/>
        <v>1352.2669615096747</v>
      </c>
      <c r="V113" s="142">
        <f>SUM(R113:U113)</f>
        <v>3217.549736041914</v>
      </c>
    </row>
    <row r="114" spans="2:22" ht="15" customHeight="1" x14ac:dyDescent="0.55000000000000004">
      <c r="B114" s="3" t="s">
        <v>271</v>
      </c>
      <c r="C114" s="161">
        <f t="shared" ref="C114" si="169">C113/C$97</f>
        <v>3.5017232164249247E-4</v>
      </c>
      <c r="D114" s="161">
        <f t="shared" ref="D114" si="170">D113/D$97</f>
        <v>9.7276264591439695E-5</v>
      </c>
      <c r="E114" s="161">
        <f t="shared" ref="E114" si="171">E113/E$97</f>
        <v>-9.926722737609645E-5</v>
      </c>
      <c r="F114" s="161">
        <f t="shared" ref="F114" si="172">F113/F$97</f>
        <v>1.7465723517596715E-4</v>
      </c>
      <c r="G114" s="166">
        <f>G113/G$97</f>
        <v>1.3196487180251244E-4</v>
      </c>
      <c r="H114" s="161">
        <f t="shared" ref="H114" si="173">H113/H$97</f>
        <v>2.1383669403318333E-3</v>
      </c>
      <c r="I114" s="161">
        <f t="shared" ref="I114" si="174">I113/I$97</f>
        <v>7.4236600293646992E-4</v>
      </c>
      <c r="J114" s="161">
        <f t="shared" ref="J114" si="175">J113/J$97</f>
        <v>1.2981801874100125E-3</v>
      </c>
      <c r="K114" s="161">
        <f t="shared" ref="K114" si="176">K113/K$97</f>
        <v>5.0869949867295783E-3</v>
      </c>
      <c r="L114" s="166">
        <f t="shared" ref="L114" si="177">L113/L$97</f>
        <v>2.4572797154769712E-3</v>
      </c>
      <c r="M114" s="161">
        <f t="shared" ref="M114" si="178">M113/M$97</f>
        <v>1.7509697074388731E-3</v>
      </c>
      <c r="N114" s="161">
        <f t="shared" ref="N114" si="179">N113/N$97</f>
        <v>-2.1760967770640097E-3</v>
      </c>
      <c r="O114" s="161">
        <f t="shared" ref="O114" si="180">O113/O$97</f>
        <v>3.2503232358129046E-3</v>
      </c>
      <c r="P114" s="161">
        <f t="shared" ref="P114" si="181">P113/P$97</f>
        <v>3.9999999999998891E-3</v>
      </c>
      <c r="Q114" s="166">
        <f t="shared" ref="Q114" si="182">Q113/Q$97</f>
        <v>1.8443168235474075E-3</v>
      </c>
      <c r="R114" s="161">
        <f t="shared" ref="R114" si="183">R113/R$97</f>
        <v>2.4999999999999103E-3</v>
      </c>
      <c r="S114" s="161">
        <f t="shared" ref="S114" si="184">S113/S$97</f>
        <v>4.166666666666592E-3</v>
      </c>
      <c r="T114" s="161">
        <f t="shared" ref="T114" si="185">T113/T$97</f>
        <v>5.8333333333332391E-3</v>
      </c>
      <c r="U114" s="161">
        <f t="shared" ref="U114" si="186">U113/U$97</f>
        <v>7.4999999999999607E-3</v>
      </c>
      <c r="V114" s="166">
        <f t="shared" ref="V114" si="187">V113/V$97</f>
        <v>5.1726642335498544E-3</v>
      </c>
    </row>
    <row r="115" spans="2:22" ht="15" customHeight="1" x14ac:dyDescent="0.55000000000000004">
      <c r="B115" s="258" t="s">
        <v>119</v>
      </c>
      <c r="C115" s="259">
        <f>C105+C107+C109+C111+C113</f>
        <v>37250</v>
      </c>
      <c r="D115" s="259">
        <f t="shared" ref="D115:V115" si="188">D105+D107+D109+D111+D113</f>
        <v>41202</v>
      </c>
      <c r="E115" s="259">
        <f t="shared" si="188"/>
        <v>43030</v>
      </c>
      <c r="F115" s="259">
        <f t="shared" si="188"/>
        <v>51117</v>
      </c>
      <c r="G115" s="261">
        <f t="shared" si="188"/>
        <v>172599</v>
      </c>
      <c r="H115" s="259">
        <f t="shared" si="188"/>
        <v>46276</v>
      </c>
      <c r="I115" s="259">
        <f t="shared" si="188"/>
        <v>51493</v>
      </c>
      <c r="J115" s="259">
        <f t="shared" si="188"/>
        <v>54308</v>
      </c>
      <c r="K115" s="259">
        <f t="shared" si="188"/>
        <v>60827</v>
      </c>
      <c r="L115" s="261">
        <f t="shared" si="188"/>
        <v>212904</v>
      </c>
      <c r="M115" s="259">
        <f t="shared" si="188"/>
        <v>54793</v>
      </c>
      <c r="N115" s="260">
        <f>N102-N118</f>
        <v>54666.510450625014</v>
      </c>
      <c r="O115" s="260">
        <f>O102-O118</f>
        <v>56468.715266965082</v>
      </c>
      <c r="P115" s="260">
        <f>P102-P118</f>
        <v>63731.557029999982</v>
      </c>
      <c r="Q115" s="261">
        <f t="shared" si="188"/>
        <v>229659.78274759007</v>
      </c>
      <c r="R115" s="260">
        <f t="shared" ref="R115:U115" si="189">R102-R118</f>
        <v>54998.949585290495</v>
      </c>
      <c r="S115" s="260">
        <f t="shared" si="189"/>
        <v>58650.495179672136</v>
      </c>
      <c r="T115" s="260">
        <f t="shared" si="189"/>
        <v>63152.836587798942</v>
      </c>
      <c r="U115" s="260">
        <f t="shared" si="189"/>
        <v>74825.438536869056</v>
      </c>
      <c r="V115" s="259">
        <f t="shared" si="188"/>
        <v>251627.71988963062</v>
      </c>
    </row>
    <row r="116" spans="2:22" ht="15" customHeight="1" x14ac:dyDescent="0.55000000000000004">
      <c r="B116" s="3" t="s">
        <v>271</v>
      </c>
      <c r="C116" s="161">
        <f t="shared" ref="C116" si="190">C115/C$97</f>
        <v>0.3432610258206012</v>
      </c>
      <c r="D116" s="161">
        <f t="shared" ref="D116" si="191">D115/D$97</f>
        <v>0.3643615139724089</v>
      </c>
      <c r="E116" s="161">
        <f t="shared" ref="E116" si="192">E115/E$97</f>
        <v>0.38831534490849368</v>
      </c>
      <c r="F116" s="161">
        <f t="shared" ref="F116" si="193">F115/F$97</f>
        <v>0.37199807877041308</v>
      </c>
      <c r="G116" s="166">
        <f>G115/G$97</f>
        <v>0.36737104690712652</v>
      </c>
      <c r="H116" s="161">
        <f t="shared" ref="H116" si="194">H115/H$97</f>
        <v>0.39740991377829687</v>
      </c>
      <c r="I116" s="161">
        <f t="shared" ref="I116" si="195">I115/I$97</f>
        <v>0.42474058432452944</v>
      </c>
      <c r="J116" s="161">
        <f t="shared" ref="J116" si="196">J115/J$97</f>
        <v>0.42728224010826038</v>
      </c>
      <c r="K116" s="161">
        <f t="shared" ref="K116" si="197">K115/K$97</f>
        <v>0.40767673788906461</v>
      </c>
      <c r="L116" s="166">
        <f t="shared" ref="L116" si="198">L115/L$97</f>
        <v>0.4142238167410206</v>
      </c>
      <c r="M116" s="161">
        <f t="shared" ref="M116" si="199">M115/M$97</f>
        <v>0.4302281756937138</v>
      </c>
      <c r="N116" s="161">
        <f t="shared" ref="N116" si="200">N115/N$97</f>
        <v>0.41380870721378588</v>
      </c>
      <c r="O116" s="161">
        <f t="shared" ref="O116" si="201">O115/O$97</f>
        <v>0.40674272523123789</v>
      </c>
      <c r="P116" s="161">
        <f t="shared" ref="P116" si="202">P115/P$97</f>
        <v>0.39499999999999996</v>
      </c>
      <c r="Q116" s="166">
        <f t="shared" ref="Q116" si="203">Q115/Q$97</f>
        <v>0.41036983348021244</v>
      </c>
      <c r="R116" s="161">
        <f t="shared" ref="R116" si="204">R115/R$97</f>
        <v>0.3924999999999999</v>
      </c>
      <c r="S116" s="161">
        <f t="shared" ref="S116" si="205">S115/S$97</f>
        <v>0.39999999999999997</v>
      </c>
      <c r="T116" s="161">
        <f t="shared" ref="T116" si="206">T115/T$97</f>
        <v>0.40749999999999997</v>
      </c>
      <c r="U116" s="161">
        <f t="shared" ref="U116" si="207">U115/U$97</f>
        <v>0.41499999999999998</v>
      </c>
      <c r="V116" s="161">
        <f t="shared" ref="V116" si="208">V115/V$97</f>
        <v>0.40452698905097462</v>
      </c>
    </row>
    <row r="117" spans="2:22" ht="15" customHeight="1" x14ac:dyDescent="0.55000000000000004">
      <c r="G117" s="141"/>
      <c r="L117" s="141"/>
      <c r="Q117" s="141"/>
    </row>
    <row r="118" spans="2:22" ht="15" customHeight="1" x14ac:dyDescent="0.55000000000000004">
      <c r="B118" s="22" t="s">
        <v>12</v>
      </c>
      <c r="C118" s="255">
        <f>C102-C115</f>
        <v>8865</v>
      </c>
      <c r="D118" s="255">
        <f t="shared" ref="D118:Q118" si="209">D102-D115</f>
        <v>7702</v>
      </c>
      <c r="E118" s="255">
        <f t="shared" si="209"/>
        <v>4852</v>
      </c>
      <c r="F118" s="255">
        <f t="shared" si="209"/>
        <v>3460</v>
      </c>
      <c r="G118" s="262">
        <f t="shared" si="209"/>
        <v>24879</v>
      </c>
      <c r="H118" s="255">
        <f t="shared" si="209"/>
        <v>3669</v>
      </c>
      <c r="I118" s="255">
        <f t="shared" si="209"/>
        <v>3317</v>
      </c>
      <c r="J118" s="255">
        <f t="shared" si="209"/>
        <v>2525</v>
      </c>
      <c r="K118" s="255">
        <f t="shared" si="209"/>
        <v>2737</v>
      </c>
      <c r="L118" s="262">
        <f t="shared" si="209"/>
        <v>12248</v>
      </c>
      <c r="M118" s="255">
        <f t="shared" si="209"/>
        <v>4774</v>
      </c>
      <c r="N118" s="256">
        <f>N35</f>
        <v>6341.0760959999989</v>
      </c>
      <c r="O118" s="256">
        <f>O35</f>
        <v>6825.1841338452232</v>
      </c>
      <c r="P118" s="256">
        <f>P35</f>
        <v>8874.0142699999997</v>
      </c>
      <c r="Q118" s="262">
        <f t="shared" si="209"/>
        <v>26814.274499845254</v>
      </c>
      <c r="R118" s="256">
        <f>R35</f>
        <v>8057.1709583546608</v>
      </c>
      <c r="S118" s="256">
        <f>S35</f>
        <v>8553.1972137021876</v>
      </c>
      <c r="T118" s="256">
        <f>T35</f>
        <v>9169.4302612141619</v>
      </c>
      <c r="U118" s="256">
        <f>U35</f>
        <v>10818.135692077452</v>
      </c>
      <c r="V118" s="257">
        <f>V35</f>
        <v>36597.93412534846</v>
      </c>
    </row>
    <row r="119" spans="2:22" ht="15" customHeight="1" x14ac:dyDescent="0.55000000000000004">
      <c r="B119" s="24" t="s">
        <v>271</v>
      </c>
      <c r="C119" s="25">
        <f t="shared" ref="C119" si="210">C118/C$97</f>
        <v>8.1691516614755155E-2</v>
      </c>
      <c r="D119" s="25">
        <f t="shared" ref="D119" si="211">D118/D$97</f>
        <v>6.8111071807569867E-2</v>
      </c>
      <c r="E119" s="25">
        <f t="shared" ref="E119" si="212">E118/E$97</f>
        <v>4.3785871566256365E-2</v>
      </c>
      <c r="F119" s="25">
        <f t="shared" ref="F119" si="213">F118/F$97</f>
        <v>2.5179751404535267E-2</v>
      </c>
      <c r="G119" s="168">
        <f t="shared" ref="G119" si="214">G118/G$97</f>
        <v>5.2954097509269465E-2</v>
      </c>
      <c r="H119" s="25">
        <f t="shared" ref="H119" si="215">H118/H$97</f>
        <v>3.1508708048504003E-2</v>
      </c>
      <c r="I119" s="25">
        <f t="shared" ref="I119" si="216">I118/I$97</f>
        <v>2.7360311463780786E-2</v>
      </c>
      <c r="J119" s="25">
        <f t="shared" ref="J119" si="217">J118/J$97</f>
        <v>1.986609074672898E-2</v>
      </c>
      <c r="K119" s="25">
        <f t="shared" ref="K119" si="218">K118/K$97</f>
        <v>1.8344012224873328E-2</v>
      </c>
      <c r="L119" s="168">
        <f t="shared" ref="L119" si="219">L118/L$97</f>
        <v>2.3829581912242232E-2</v>
      </c>
      <c r="M119" s="25">
        <f t="shared" ref="M119" si="220">M118/M$97</f>
        <v>3.7484885126964934E-2</v>
      </c>
      <c r="N119" s="25">
        <f t="shared" ref="N119" si="221">N118/N$97</f>
        <v>4.7999999999999987E-2</v>
      </c>
      <c r="O119" s="25">
        <f t="shared" ref="O119" si="222">O118/O$97</f>
        <v>4.9161628375654978E-2</v>
      </c>
      <c r="P119" s="25">
        <f t="shared" ref="P119" si="223">P118/P$97</f>
        <v>5.5000000000000007E-2</v>
      </c>
      <c r="Q119" s="168">
        <f t="shared" ref="Q119" si="224">Q118/Q$97</f>
        <v>4.791334917131751E-2</v>
      </c>
      <c r="R119" s="25">
        <f t="shared" ref="R119" si="225">R118/R$97</f>
        <v>5.7500000000000002E-2</v>
      </c>
      <c r="S119" s="25">
        <f t="shared" ref="S119" si="226">S118/S$97</f>
        <v>5.8333333333333334E-2</v>
      </c>
      <c r="T119" s="25">
        <f t="shared" ref="T119" si="227">T118/T$97</f>
        <v>5.9166666666666666E-2</v>
      </c>
      <c r="U119" s="25">
        <f t="shared" ref="U119" si="228">U118/U$97</f>
        <v>5.9999999999999991E-2</v>
      </c>
      <c r="V119" s="70">
        <f t="shared" ref="V119" si="229">V118/V$97</f>
        <v>5.8836332116774963E-2</v>
      </c>
    </row>
    <row r="120" spans="2:22" ht="15" customHeight="1" x14ac:dyDescent="0.55000000000000004">
      <c r="B120" s="3" t="s">
        <v>203</v>
      </c>
      <c r="C120" s="162">
        <f t="shared" ref="C120:V120" si="230">C118-C35</f>
        <v>0</v>
      </c>
      <c r="D120" s="162">
        <f t="shared" si="230"/>
        <v>0</v>
      </c>
      <c r="E120" s="162">
        <f t="shared" si="230"/>
        <v>0</v>
      </c>
      <c r="F120" s="162">
        <f t="shared" si="230"/>
        <v>0</v>
      </c>
      <c r="G120" s="162">
        <f t="shared" si="230"/>
        <v>0</v>
      </c>
      <c r="H120" s="162">
        <f t="shared" si="230"/>
        <v>0</v>
      </c>
      <c r="I120" s="162">
        <f t="shared" si="230"/>
        <v>0</v>
      </c>
      <c r="J120" s="162">
        <f t="shared" si="230"/>
        <v>0</v>
      </c>
      <c r="K120" s="162">
        <f t="shared" si="230"/>
        <v>0</v>
      </c>
      <c r="L120" s="162">
        <f t="shared" si="230"/>
        <v>0</v>
      </c>
      <c r="M120" s="162">
        <f t="shared" si="230"/>
        <v>0</v>
      </c>
      <c r="N120" s="162">
        <f t="shared" si="230"/>
        <v>0</v>
      </c>
      <c r="O120" s="162">
        <f t="shared" si="230"/>
        <v>0</v>
      </c>
      <c r="P120" s="162">
        <f t="shared" si="230"/>
        <v>0</v>
      </c>
      <c r="Q120" s="162">
        <f t="shared" si="230"/>
        <v>3.2741809263825417E-11</v>
      </c>
      <c r="R120" s="162">
        <f t="shared" si="230"/>
        <v>0</v>
      </c>
      <c r="S120" s="162">
        <f t="shared" si="230"/>
        <v>0</v>
      </c>
      <c r="T120" s="162">
        <f t="shared" si="230"/>
        <v>0</v>
      </c>
      <c r="U120" s="162">
        <f t="shared" si="230"/>
        <v>0</v>
      </c>
      <c r="V120" s="162">
        <f t="shared" si="230"/>
        <v>0</v>
      </c>
    </row>
    <row r="121" spans="2:22" ht="15" customHeight="1" x14ac:dyDescent="0.55000000000000004">
      <c r="B121" s="3" t="s">
        <v>274</v>
      </c>
      <c r="G121" s="46">
        <f>G118-AMZN_IS!F31</f>
        <v>0</v>
      </c>
      <c r="L121" s="46">
        <f>L118-AMZN_IS!G31</f>
        <v>0</v>
      </c>
      <c r="Q121" s="170">
        <f>Q118-AMZN_IS!H31</f>
        <v>5.8207660913467407E-11</v>
      </c>
      <c r="V121" s="170">
        <f>V118-AMZN_IS!I31</f>
        <v>1.1641532182693481E-10</v>
      </c>
    </row>
    <row r="125" spans="2:22" ht="15" customHeight="1" x14ac:dyDescent="0.55000000000000004">
      <c r="B125" s="3" t="s">
        <v>538</v>
      </c>
      <c r="F125" s="3">
        <v>1608000</v>
      </c>
      <c r="H125" s="3">
        <v>1622000</v>
      </c>
      <c r="I125" s="3">
        <v>1523000</v>
      </c>
      <c r="J125" s="3">
        <v>1544000</v>
      </c>
      <c r="K125" s="3">
        <v>1541000</v>
      </c>
      <c r="M125" s="15">
        <v>1465000</v>
      </c>
      <c r="N125" s="15"/>
      <c r="O125" s="15"/>
      <c r="P125" s="15"/>
    </row>
    <row r="126" spans="2:22" ht="15" customHeight="1" x14ac:dyDescent="0.55000000000000004">
      <c r="I126" s="1"/>
      <c r="J126" s="1"/>
      <c r="K126" s="1"/>
      <c r="L126" s="1"/>
      <c r="M126" s="1"/>
      <c r="N126" s="15"/>
      <c r="O126" s="15"/>
      <c r="P126" s="15"/>
    </row>
    <row r="127" spans="2:22" ht="15" customHeight="1" x14ac:dyDescent="0.55000000000000004">
      <c r="M127" s="15"/>
      <c r="N127" s="15"/>
      <c r="O127" s="15"/>
      <c r="P127" s="15"/>
    </row>
  </sheetData>
  <pageMargins left="0.7" right="0.7" top="0.75" bottom="0.75" header="0.3" footer="0.3"/>
  <pageSetup orientation="portrait" r:id="rId1"/>
  <ignoredErrors>
    <ignoredError sqref="G107:P107 C115:F115 G114:V115 G113:N113 Q113:V113 G111:V111 G110:O110 Q110 S110:V110 G109:V109 G108:O108 Q108 G106:O106 R106:V106 G112:O112 Q112 S112:V112 S108:T108 V108 R107:V107 Q106 Q107 Q95:Q105 Q118 G19:Q34 G35:Q36 Q56:Q62"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77254-7649-4453-8047-7102DF73F8F2}">
  <dimension ref="A2:AD86"/>
  <sheetViews>
    <sheetView showGridLines="0" zoomScale="80" zoomScaleNormal="100" workbookViewId="0">
      <pane xSplit="2" ySplit="5" topLeftCell="C6" activePane="bottomRight" state="frozen"/>
      <selection pane="topRight" activeCell="C1" sqref="C1"/>
      <selection pane="bottomLeft" activeCell="A20" sqref="A20"/>
      <selection pane="bottomRight" activeCell="H13" sqref="H13"/>
    </sheetView>
  </sheetViews>
  <sheetFormatPr defaultColWidth="9.59765625" defaultRowHeight="15" customHeight="1" x14ac:dyDescent="0.55000000000000004"/>
  <cols>
    <col min="1" max="1" width="3.59765625" style="3" customWidth="1"/>
    <col min="2" max="2" width="24.265625" style="3" bestFit="1" customWidth="1"/>
    <col min="3" max="3" width="9.6640625" style="3" customWidth="1"/>
    <col min="4" max="12" width="9.6640625" style="3" bestFit="1" customWidth="1"/>
    <col min="13" max="13" width="9.59765625" style="3"/>
    <col min="14" max="16" width="11.19921875" style="3" bestFit="1" customWidth="1"/>
    <col min="17" max="18" width="9.73046875" style="3" bestFit="1" customWidth="1"/>
    <col min="19" max="22" width="10.59765625" style="3" bestFit="1" customWidth="1"/>
    <col min="23" max="23" width="10.46484375" style="3" bestFit="1" customWidth="1"/>
    <col min="24" max="24" width="12" style="3" bestFit="1" customWidth="1"/>
    <col min="25" max="26" width="9.59765625" style="3"/>
    <col min="27" max="27" width="10.33203125" style="3" bestFit="1" customWidth="1"/>
    <col min="28" max="28" width="9.59765625" style="3"/>
    <col min="29" max="29" width="16.46484375" style="3" bestFit="1" customWidth="1"/>
    <col min="30" max="16384" width="9.59765625" style="3"/>
  </cols>
  <sheetData>
    <row r="2" spans="1:30" s="4" customFormat="1" ht="15" customHeight="1" x14ac:dyDescent="0.55000000000000004">
      <c r="B2" s="5" t="s">
        <v>140</v>
      </c>
    </row>
    <row r="3" spans="1:30" ht="15" customHeight="1" x14ac:dyDescent="0.55000000000000004">
      <c r="B3" s="73" t="s">
        <v>139</v>
      </c>
      <c r="C3" s="73" t="str">
        <f>DCF!D4</f>
        <v>Street Case</v>
      </c>
      <c r="D3" s="74"/>
      <c r="E3" s="73">
        <f>VLOOKUP($C$3,Scenarios!$Q$1:$R$5,2,0)</f>
        <v>1</v>
      </c>
    </row>
    <row r="4" spans="1:30" ht="15" customHeight="1" x14ac:dyDescent="0.55000000000000004">
      <c r="H4" s="3">
        <v>1</v>
      </c>
      <c r="I4" s="3">
        <f>H4+1</f>
        <v>2</v>
      </c>
      <c r="J4" s="3">
        <f t="shared" ref="J4:L4" si="0">I4+1</f>
        <v>3</v>
      </c>
      <c r="K4" s="3">
        <f t="shared" si="0"/>
        <v>4</v>
      </c>
      <c r="L4" s="3">
        <f t="shared" si="0"/>
        <v>5</v>
      </c>
      <c r="N4" s="75" t="str">
        <f>"Growth (y-o-Y): " &amp;DCF!D4</f>
        <v>Growth (y-o-Y): Street Case</v>
      </c>
      <c r="O4" s="42"/>
      <c r="P4" s="42"/>
      <c r="Q4" s="42"/>
      <c r="R4" s="42"/>
      <c r="S4" s="42"/>
      <c r="T4" s="42"/>
      <c r="U4" s="42"/>
      <c r="V4" s="42"/>
    </row>
    <row r="5" spans="1:30" ht="15" customHeight="1" x14ac:dyDescent="0.55000000000000004">
      <c r="A5" s="3" t="s">
        <v>9</v>
      </c>
      <c r="B5" s="6" t="s">
        <v>10</v>
      </c>
      <c r="C5" s="16">
        <v>2018</v>
      </c>
      <c r="D5" s="16">
        <f t="shared" ref="D5:L5" si="1">C5+1</f>
        <v>2019</v>
      </c>
      <c r="E5" s="16">
        <f t="shared" si="1"/>
        <v>2020</v>
      </c>
      <c r="F5" s="16">
        <f t="shared" si="1"/>
        <v>2021</v>
      </c>
      <c r="G5" s="16">
        <f t="shared" si="1"/>
        <v>2022</v>
      </c>
      <c r="H5" s="17">
        <f t="shared" si="1"/>
        <v>2023</v>
      </c>
      <c r="I5" s="17">
        <f t="shared" si="1"/>
        <v>2024</v>
      </c>
      <c r="J5" s="17">
        <f t="shared" si="1"/>
        <v>2025</v>
      </c>
      <c r="K5" s="17">
        <f t="shared" si="1"/>
        <v>2026</v>
      </c>
      <c r="L5" s="17">
        <f t="shared" si="1"/>
        <v>2027</v>
      </c>
      <c r="N5" s="16">
        <f>D5</f>
        <v>2019</v>
      </c>
      <c r="O5" s="16">
        <f t="shared" ref="O5:V5" si="2">E5</f>
        <v>2020</v>
      </c>
      <c r="P5" s="16">
        <f t="shared" si="2"/>
        <v>2021</v>
      </c>
      <c r="Q5" s="16">
        <f t="shared" si="2"/>
        <v>2022</v>
      </c>
      <c r="R5" s="17">
        <f t="shared" si="2"/>
        <v>2023</v>
      </c>
      <c r="S5" s="17">
        <f t="shared" si="2"/>
        <v>2024</v>
      </c>
      <c r="T5" s="17">
        <f t="shared" si="2"/>
        <v>2025</v>
      </c>
      <c r="U5" s="17">
        <f t="shared" si="2"/>
        <v>2026</v>
      </c>
      <c r="V5" s="17">
        <f t="shared" si="2"/>
        <v>2027</v>
      </c>
      <c r="AC5" s="3" t="s">
        <v>30</v>
      </c>
      <c r="AD5" s="3" t="s">
        <v>61</v>
      </c>
    </row>
    <row r="6" spans="1:30" s="8" customFormat="1" ht="15" customHeight="1" x14ac:dyDescent="0.55000000000000004">
      <c r="B6" s="21" t="s">
        <v>25</v>
      </c>
      <c r="C6" s="76">
        <v>122987</v>
      </c>
      <c r="D6" s="76">
        <v>141247</v>
      </c>
      <c r="E6" s="76">
        <v>197346</v>
      </c>
      <c r="F6" s="76">
        <v>222075</v>
      </c>
      <c r="G6" s="76">
        <v>220004</v>
      </c>
      <c r="H6" s="14">
        <f>G6*(1+R6)</f>
        <v>220139.87499999997</v>
      </c>
      <c r="I6" s="14">
        <f t="shared" ref="I6:L6" si="3">H6*(1+S6)</f>
        <v>228502.95837999997</v>
      </c>
      <c r="J6" s="14">
        <f t="shared" si="3"/>
        <v>236575.18513713838</v>
      </c>
      <c r="K6" s="14">
        <f t="shared" si="3"/>
        <v>244302.50835227198</v>
      </c>
      <c r="L6" s="14">
        <f t="shared" si="3"/>
        <v>251631.58360284014</v>
      </c>
      <c r="N6" s="31">
        <f t="shared" ref="N6:Q12" si="4">IFERROR(D6/C6-1,0)</f>
        <v>0.14847097660728359</v>
      </c>
      <c r="O6" s="31">
        <f t="shared" si="4"/>
        <v>0.39716949740525465</v>
      </c>
      <c r="P6" s="31">
        <f t="shared" si="4"/>
        <v>0.12530783497005249</v>
      </c>
      <c r="Q6" s="31">
        <f t="shared" si="4"/>
        <v>-9.3256782618484912E-3</v>
      </c>
      <c r="R6" s="63">
        <f>CHOOSE(DCF!$E$4,Scenarios!H7,Scenarios!H33,Scenarios!H82)</f>
        <v>6.1760240722885662E-4</v>
      </c>
      <c r="S6" s="63">
        <f>CHOOSE(DCF!$E$4,Scenarios!I7,Scenarios!I33,Scenarios!I82)</f>
        <v>3.7989861582323536E-2</v>
      </c>
      <c r="T6" s="63">
        <f>CHOOSE(DCF!$E$4,Scenarios!J7,Scenarios!J33,Scenarios!J82)</f>
        <v>3.5326574388215688E-2</v>
      </c>
      <c r="U6" s="63">
        <f>CHOOSE(DCF!$E$4,Scenarios!K7,Scenarios!K33,Scenarios!K82)</f>
        <v>3.2663287194107847E-2</v>
      </c>
      <c r="V6" s="63">
        <f>CHOOSE(DCF!$E$4,Scenarios!L7,Scenarios!L33,Scenarios!L82)</f>
        <v>0.03</v>
      </c>
      <c r="Z6" s="253"/>
      <c r="AA6" s="20"/>
      <c r="AB6" s="16">
        <v>2018</v>
      </c>
      <c r="AC6" s="543">
        <f t="array" ref="AC6:AC15">TRANSPOSE(C13:L13)</f>
        <v>232887</v>
      </c>
      <c r="AD6" s="20">
        <f t="array" ref="AD6:AD15">TRANSPOSE(C18:L18)</f>
        <v>0.40247416128852193</v>
      </c>
    </row>
    <row r="7" spans="1:30" s="8" customFormat="1" ht="15" customHeight="1" x14ac:dyDescent="0.55000000000000004">
      <c r="B7" s="21" t="s">
        <v>21</v>
      </c>
      <c r="C7" s="76">
        <v>17224</v>
      </c>
      <c r="D7" s="76">
        <v>17192</v>
      </c>
      <c r="E7" s="76">
        <v>16227</v>
      </c>
      <c r="F7" s="76">
        <v>17075</v>
      </c>
      <c r="G7" s="76">
        <v>18963</v>
      </c>
      <c r="H7" s="14">
        <f t="shared" ref="H7:L7" si="5">G7*(1+R7)</f>
        <v>20244.531999999999</v>
      </c>
      <c r="I7" s="14">
        <f t="shared" si="5"/>
        <v>21671.390524044215</v>
      </c>
      <c r="J7" s="14">
        <f t="shared" si="5"/>
        <v>23123.101799812535</v>
      </c>
      <c r="K7" s="14">
        <f t="shared" si="5"/>
        <v>24591.273712841896</v>
      </c>
      <c r="L7" s="14">
        <f t="shared" si="5"/>
        <v>26066.750135612412</v>
      </c>
      <c r="N7" s="31">
        <f t="shared" si="4"/>
        <v>-1.8578727357175806E-3</v>
      </c>
      <c r="O7" s="31">
        <f t="shared" si="4"/>
        <v>-5.6130758492321964E-2</v>
      </c>
      <c r="P7" s="31">
        <f t="shared" si="4"/>
        <v>5.2258581376717794E-2</v>
      </c>
      <c r="Q7" s="31">
        <f t="shared" si="4"/>
        <v>0.11057101024890192</v>
      </c>
      <c r="R7" s="63">
        <f>CHOOSE(DCF!$E$4,Scenarios!H8,Scenarios!H34,Scenarios!H83)</f>
        <v>6.758065706902916E-2</v>
      </c>
      <c r="S7" s="63">
        <f>CHOOSE(DCF!$E$4,Scenarios!I8,Scenarios!I34,Scenarios!I83)</f>
        <v>7.0481180994661496E-2</v>
      </c>
      <c r="T7" s="63">
        <f>CHOOSE(DCF!$E$4,Scenarios!J8,Scenarios!J34,Scenarios!J83)</f>
        <v>6.6987453996441002E-2</v>
      </c>
      <c r="U7" s="63">
        <f>CHOOSE(DCF!$E$4,Scenarios!K8,Scenarios!K34,Scenarios!K83)</f>
        <v>6.3493726998220493E-2</v>
      </c>
      <c r="V7" s="63">
        <f>CHOOSE(DCF!$E$4,Scenarios!L8,Scenarios!L34,Scenarios!L83)</f>
        <v>0.06</v>
      </c>
      <c r="Z7" s="253"/>
      <c r="AB7" s="16">
        <f t="shared" ref="AB7:AB15" si="6">AB6+1</f>
        <v>2019</v>
      </c>
      <c r="AC7" s="543">
        <v>280522</v>
      </c>
      <c r="AD7" s="20">
        <v>0.40990011478600608</v>
      </c>
    </row>
    <row r="8" spans="1:30" ht="15" customHeight="1" x14ac:dyDescent="0.55000000000000004">
      <c r="B8" s="21" t="s">
        <v>24</v>
      </c>
      <c r="C8" s="76">
        <v>42745</v>
      </c>
      <c r="D8" s="76">
        <v>53761</v>
      </c>
      <c r="E8" s="76">
        <v>80461</v>
      </c>
      <c r="F8" s="76">
        <v>103366</v>
      </c>
      <c r="G8" s="76">
        <v>117716</v>
      </c>
      <c r="H8" s="14">
        <f t="shared" ref="H8:L8" si="7">G8*(1+R8)</f>
        <v>136755.45000000001</v>
      </c>
      <c r="I8" s="14">
        <f t="shared" si="7"/>
        <v>157043.12420399999</v>
      </c>
      <c r="J8" s="14">
        <f t="shared" si="7"/>
        <v>179379.89368374945</v>
      </c>
      <c r="K8" s="14">
        <f t="shared" si="7"/>
        <v>203796.48827660142</v>
      </c>
      <c r="L8" s="14">
        <f t="shared" si="7"/>
        <v>230290.03175255959</v>
      </c>
      <c r="N8" s="31">
        <f t="shared" si="4"/>
        <v>0.25771435255585451</v>
      </c>
      <c r="O8" s="31">
        <f t="shared" si="4"/>
        <v>0.49664254757165982</v>
      </c>
      <c r="P8" s="31">
        <f t="shared" si="4"/>
        <v>0.28467207715539211</v>
      </c>
      <c r="Q8" s="31">
        <f t="shared" si="4"/>
        <v>0.13882708047133496</v>
      </c>
      <c r="R8" s="63">
        <f>CHOOSE(DCF!$E$4,Scenarios!H9,Scenarios!H35,Scenarios!H84)</f>
        <v>0.1617405450406062</v>
      </c>
      <c r="S8" s="63">
        <f>CHOOSE(DCF!$E$4,Scenarios!I9,Scenarios!I35,Scenarios!I84)</f>
        <v>0.14835002337383973</v>
      </c>
      <c r="T8" s="63">
        <f>CHOOSE(DCF!$E$4,Scenarios!J9,Scenarios!J35,Scenarios!J84)</f>
        <v>0.14223334891589315</v>
      </c>
      <c r="U8" s="63">
        <f>CHOOSE(DCF!$E$4,Scenarios!K9,Scenarios!K35,Scenarios!K84)</f>
        <v>0.13611667445794659</v>
      </c>
      <c r="V8" s="63">
        <f>CHOOSE(DCF!$E$4,Scenarios!L9,Scenarios!L35,Scenarios!L84)</f>
        <v>0.13</v>
      </c>
      <c r="Z8" s="15"/>
      <c r="AB8" s="16">
        <f t="shared" si="6"/>
        <v>2020</v>
      </c>
      <c r="AC8" s="544">
        <v>386064</v>
      </c>
      <c r="AD8" s="1">
        <v>0.3956779186870571</v>
      </c>
    </row>
    <row r="9" spans="1:30" ht="15" customHeight="1" x14ac:dyDescent="0.55000000000000004">
      <c r="B9" s="21" t="s">
        <v>22</v>
      </c>
      <c r="C9" s="76">
        <v>14167</v>
      </c>
      <c r="D9" s="76">
        <v>19210</v>
      </c>
      <c r="E9" s="76">
        <v>25207</v>
      </c>
      <c r="F9" s="76">
        <v>31768</v>
      </c>
      <c r="G9" s="76">
        <v>35218</v>
      </c>
      <c r="H9" s="14">
        <f t="shared" ref="H9:L9" si="8">G9*(1+R9)</f>
        <v>40486.199999999997</v>
      </c>
      <c r="I9" s="14">
        <f t="shared" si="8"/>
        <v>46559.12999999999</v>
      </c>
      <c r="J9" s="14">
        <f t="shared" si="8"/>
        <v>53077.408199999983</v>
      </c>
      <c r="K9" s="14">
        <f t="shared" si="8"/>
        <v>59977.471265999979</v>
      </c>
      <c r="L9" s="14">
        <f t="shared" si="8"/>
        <v>67174.767817919987</v>
      </c>
      <c r="N9" s="31">
        <f t="shared" si="4"/>
        <v>0.35596809486835612</v>
      </c>
      <c r="O9" s="31">
        <f t="shared" si="4"/>
        <v>0.31218115564810001</v>
      </c>
      <c r="P9" s="31">
        <f t="shared" si="4"/>
        <v>0.26028484151227826</v>
      </c>
      <c r="Q9" s="31">
        <f t="shared" si="4"/>
        <v>0.10859984890455809</v>
      </c>
      <c r="R9" s="63">
        <f>CHOOSE(DCF!$E$4,Scenarios!H10,Scenarios!H36,Scenarios!H85)</f>
        <v>0.14958827872110847</v>
      </c>
      <c r="S9" s="63">
        <f>CHOOSE(DCF!$E$4,Scenarios!I10,Scenarios!I36,Scenarios!I85)</f>
        <v>0.14999999999999991</v>
      </c>
      <c r="T9" s="63">
        <f>CHOOSE(DCF!$E$4,Scenarios!J10,Scenarios!J36,Scenarios!J85)</f>
        <v>0.13999999999999993</v>
      </c>
      <c r="U9" s="63">
        <f>CHOOSE(DCF!$E$4,Scenarios!K10,Scenarios!K36,Scenarios!K85)</f>
        <v>0.12999999999999998</v>
      </c>
      <c r="V9" s="63">
        <f>CHOOSE(DCF!$E$4,Scenarios!L10,Scenarios!L36,Scenarios!L85)</f>
        <v>0.12</v>
      </c>
      <c r="AB9" s="16">
        <f t="shared" si="6"/>
        <v>2021</v>
      </c>
      <c r="AC9" s="544">
        <v>469822</v>
      </c>
      <c r="AD9" s="1">
        <v>0.42032514441639601</v>
      </c>
    </row>
    <row r="10" spans="1:30" ht="15" customHeight="1" x14ac:dyDescent="0.55000000000000004">
      <c r="B10" s="21" t="s">
        <v>23</v>
      </c>
      <c r="C10" s="77">
        <v>0</v>
      </c>
      <c r="D10" s="77">
        <v>0</v>
      </c>
      <c r="E10" s="76">
        <v>19773</v>
      </c>
      <c r="F10" s="76">
        <v>31160</v>
      </c>
      <c r="G10" s="76">
        <v>37739</v>
      </c>
      <c r="H10" s="14">
        <f t="shared" ref="H10:L10" si="9">G10*(1+R10)</f>
        <v>45211.38</v>
      </c>
      <c r="I10" s="14">
        <f t="shared" si="9"/>
        <v>54063.475999999995</v>
      </c>
      <c r="J10" s="14">
        <f t="shared" si="9"/>
        <v>64003.714176763548</v>
      </c>
      <c r="K10" s="14">
        <f t="shared" si="9"/>
        <v>75007.94821420814</v>
      </c>
      <c r="L10" s="14">
        <f t="shared" si="9"/>
        <v>87009.219928481441</v>
      </c>
      <c r="N10" s="34">
        <f t="shared" si="4"/>
        <v>0</v>
      </c>
      <c r="O10" s="34">
        <f t="shared" si="4"/>
        <v>0</v>
      </c>
      <c r="P10" s="31">
        <f t="shared" si="4"/>
        <v>0.57588630961412024</v>
      </c>
      <c r="Q10" s="31">
        <f t="shared" si="4"/>
        <v>0.21113607188703476</v>
      </c>
      <c r="R10" s="63">
        <f>CHOOSE(DCF!$E$4,Scenarios!H11,Scenarios!H37,Scenarios!H86)</f>
        <v>0.19800153687167121</v>
      </c>
      <c r="S10" s="63">
        <f>CHOOSE(DCF!$E$4,Scenarios!I11,Scenarios!I37,Scenarios!I86)</f>
        <v>0.19579353693693924</v>
      </c>
      <c r="T10" s="63">
        <f>CHOOSE(DCF!$E$4,Scenarios!J11,Scenarios!J37,Scenarios!J86)</f>
        <v>0.18386235795795949</v>
      </c>
      <c r="U10" s="63">
        <f>CHOOSE(DCF!$E$4,Scenarios!K11,Scenarios!K37,Scenarios!K86)</f>
        <v>0.17193117897897975</v>
      </c>
      <c r="V10" s="63">
        <f>CHOOSE(DCF!$E$4,Scenarios!L11,Scenarios!L37,Scenarios!L86)</f>
        <v>0.16</v>
      </c>
      <c r="AB10" s="16">
        <f t="shared" si="6"/>
        <v>2022</v>
      </c>
      <c r="AC10" s="544">
        <v>513983</v>
      </c>
      <c r="AD10" s="1">
        <v>0.43805339865326287</v>
      </c>
    </row>
    <row r="11" spans="1:30" ht="15" customHeight="1" x14ac:dyDescent="0.55000000000000004">
      <c r="B11" s="21" t="s">
        <v>89</v>
      </c>
      <c r="C11" s="76">
        <v>25656</v>
      </c>
      <c r="D11" s="76">
        <v>35026</v>
      </c>
      <c r="E11" s="76">
        <v>45370</v>
      </c>
      <c r="F11" s="76">
        <v>62202</v>
      </c>
      <c r="G11" s="76">
        <v>80096</v>
      </c>
      <c r="H11" s="14">
        <f t="shared" ref="H11:L11" si="10">G11*(1+R11)</f>
        <v>91007.760000000009</v>
      </c>
      <c r="I11" s="14">
        <f t="shared" si="10"/>
        <v>107234.45879999999</v>
      </c>
      <c r="J11" s="14">
        <f t="shared" si="10"/>
        <v>125521.52044118405</v>
      </c>
      <c r="K11" s="14">
        <f t="shared" si="10"/>
        <v>145952.24690279755</v>
      </c>
      <c r="L11" s="14">
        <f t="shared" si="10"/>
        <v>168574.84517273118</v>
      </c>
      <c r="N11" s="31">
        <f t="shared" si="4"/>
        <v>0.36521671343935136</v>
      </c>
      <c r="O11" s="31">
        <f t="shared" si="4"/>
        <v>0.29532347399074976</v>
      </c>
      <c r="P11" s="31">
        <f t="shared" si="4"/>
        <v>0.37099404893101173</v>
      </c>
      <c r="Q11" s="31">
        <f t="shared" si="4"/>
        <v>0.28767563743931057</v>
      </c>
      <c r="R11" s="63">
        <f>CHOOSE(DCF!$E$4,Scenarios!H12,Scenarios!H38,Scenarios!H87)</f>
        <v>0.13623351977626852</v>
      </c>
      <c r="S11" s="63">
        <f>CHOOSE(DCF!$E$4,Scenarios!I12,Scenarios!I38,Scenarios!I87)</f>
        <v>0.17830016693081974</v>
      </c>
      <c r="T11" s="63">
        <f>CHOOSE(DCF!$E$4,Scenarios!J12,Scenarios!J38,Scenarios!J87)</f>
        <v>0.17053344462054648</v>
      </c>
      <c r="U11" s="63">
        <f>CHOOSE(DCF!$E$4,Scenarios!K12,Scenarios!K38,Scenarios!K87)</f>
        <v>0.16276672231027325</v>
      </c>
      <c r="V11" s="63">
        <f>CHOOSE(DCF!$E$4,Scenarios!L12,Scenarios!L38,Scenarios!L87)</f>
        <v>0.155</v>
      </c>
      <c r="AB11" s="17">
        <f t="shared" si="6"/>
        <v>2023</v>
      </c>
      <c r="AC11" s="544">
        <v>559640.99699999997</v>
      </c>
      <c r="AD11" s="1">
        <v>0.45828318265152984</v>
      </c>
    </row>
    <row r="12" spans="1:30" ht="15" customHeight="1" x14ac:dyDescent="0.55000000000000004">
      <c r="B12" s="21" t="s">
        <v>111</v>
      </c>
      <c r="C12" s="76">
        <v>10108</v>
      </c>
      <c r="D12" s="76">
        <v>14086</v>
      </c>
      <c r="E12" s="76">
        <v>1680</v>
      </c>
      <c r="F12" s="76">
        <v>2176</v>
      </c>
      <c r="G12" s="76">
        <v>4247</v>
      </c>
      <c r="H12" s="14">
        <f t="shared" ref="H12:L12" si="11">G12*(1+R12)</f>
        <v>5795.7999999999993</v>
      </c>
      <c r="I12" s="14">
        <f t="shared" si="11"/>
        <v>6954.96</v>
      </c>
      <c r="J12" s="14">
        <f t="shared" si="11"/>
        <v>8276.4024000000009</v>
      </c>
      <c r="K12" s="14">
        <f t="shared" si="11"/>
        <v>9766.154832000002</v>
      </c>
      <c r="L12" s="14">
        <f t="shared" si="11"/>
        <v>11426.401153440002</v>
      </c>
      <c r="N12" s="31">
        <f t="shared" si="4"/>
        <v>0.39354966363276622</v>
      </c>
      <c r="O12" s="31">
        <f t="shared" si="4"/>
        <v>-0.880732642339912</v>
      </c>
      <c r="P12" s="31">
        <f t="shared" si="4"/>
        <v>0.2952380952380953</v>
      </c>
      <c r="Q12" s="31">
        <f t="shared" si="4"/>
        <v>0.95174632352941169</v>
      </c>
      <c r="R12" s="63">
        <f>CHOOSE(DCF!$E$4,Scenarios!H13,Scenarios!H39,Scenarios!H88)</f>
        <v>0.36468095125971267</v>
      </c>
      <c r="S12" s="63">
        <f>CHOOSE(DCF!$E$4,Scenarios!I13,Scenarios!I39,Scenarios!I88)</f>
        <v>0.20000000000000018</v>
      </c>
      <c r="T12" s="63">
        <f>CHOOSE(DCF!$E$4,Scenarios!J13,Scenarios!J39,Scenarios!J88)</f>
        <v>0.19000000000000011</v>
      </c>
      <c r="U12" s="63">
        <f>CHOOSE(DCF!$E$4,Scenarios!K13,Scenarios!K39,Scenarios!K88)</f>
        <v>0.18000000000000008</v>
      </c>
      <c r="V12" s="63">
        <f>CHOOSE(DCF!$E$4,Scenarios!L13,Scenarios!L39,Scenarios!L88)</f>
        <v>0.17</v>
      </c>
      <c r="AB12" s="17">
        <f t="shared" si="6"/>
        <v>2024</v>
      </c>
      <c r="AC12" s="544">
        <v>622029.49790804414</v>
      </c>
      <c r="AD12" s="1">
        <v>0.46336332116774942</v>
      </c>
    </row>
    <row r="13" spans="1:30" ht="15" customHeight="1" x14ac:dyDescent="0.55000000000000004">
      <c r="A13" s="3" t="s">
        <v>9</v>
      </c>
      <c r="B13" s="18" t="s">
        <v>30</v>
      </c>
      <c r="C13" s="19">
        <f>SUM(C6:C12)</f>
        <v>232887</v>
      </c>
      <c r="D13" s="19">
        <f t="shared" ref="D13:L13" si="12">SUM(D6:D12)</f>
        <v>280522</v>
      </c>
      <c r="E13" s="19">
        <f t="shared" si="12"/>
        <v>386064</v>
      </c>
      <c r="F13" s="19">
        <f t="shared" si="12"/>
        <v>469822</v>
      </c>
      <c r="G13" s="19">
        <f t="shared" si="12"/>
        <v>513983</v>
      </c>
      <c r="H13" s="19">
        <f t="shared" si="12"/>
        <v>559640.99699999997</v>
      </c>
      <c r="I13" s="19">
        <f t="shared" si="12"/>
        <v>622029.49790804414</v>
      </c>
      <c r="J13" s="19">
        <f t="shared" si="12"/>
        <v>689957.22583864792</v>
      </c>
      <c r="K13" s="19">
        <f t="shared" si="12"/>
        <v>763394.09155672102</v>
      </c>
      <c r="L13" s="19">
        <f t="shared" si="12"/>
        <v>842173.59956358478</v>
      </c>
      <c r="N13" s="33">
        <f>D13/C13-1</f>
        <v>0.20454125820676983</v>
      </c>
      <c r="O13" s="33">
        <f>E13/D13-1</f>
        <v>0.37623430604373276</v>
      </c>
      <c r="P13" s="33">
        <f>F13/E13-1</f>
        <v>0.21695366571345676</v>
      </c>
      <c r="Q13" s="33">
        <f>G13/F13-1</f>
        <v>9.399517263985091E-2</v>
      </c>
      <c r="R13" s="33">
        <f t="shared" ref="R13:V13" si="13">H13/G13-1</f>
        <v>8.8831725952025709E-2</v>
      </c>
      <c r="S13" s="33">
        <f t="shared" si="13"/>
        <v>0.11147950425805586</v>
      </c>
      <c r="T13" s="33">
        <f t="shared" si="13"/>
        <v>0.10920338691179832</v>
      </c>
      <c r="U13" s="33">
        <f t="shared" si="13"/>
        <v>0.10643683835445028</v>
      </c>
      <c r="V13" s="33">
        <f t="shared" si="13"/>
        <v>0.10319638163064093</v>
      </c>
      <c r="AB13" s="17">
        <f t="shared" si="6"/>
        <v>2025</v>
      </c>
      <c r="AC13" s="544">
        <v>689957.22583864792</v>
      </c>
      <c r="AD13" s="1">
        <v>0.46224221411183308</v>
      </c>
    </row>
    <row r="14" spans="1:30" ht="15" customHeight="1" x14ac:dyDescent="0.55000000000000004">
      <c r="N14" s="21"/>
      <c r="O14" s="21"/>
      <c r="P14" s="21"/>
      <c r="Q14" s="21"/>
      <c r="R14" s="21"/>
      <c r="S14" s="21"/>
      <c r="T14" s="21"/>
      <c r="U14" s="21"/>
      <c r="V14" s="21"/>
      <c r="AB14" s="17">
        <f t="shared" si="6"/>
        <v>2026</v>
      </c>
      <c r="AC14" s="544">
        <v>763394.09155672102</v>
      </c>
      <c r="AD14" s="1">
        <v>0.46112110705591675</v>
      </c>
    </row>
    <row r="15" spans="1:30" ht="15" customHeight="1" x14ac:dyDescent="0.55000000000000004">
      <c r="B15" s="3" t="s">
        <v>33</v>
      </c>
      <c r="C15" s="76">
        <v>139156</v>
      </c>
      <c r="D15" s="76">
        <v>165536</v>
      </c>
      <c r="E15" s="76">
        <v>233307</v>
      </c>
      <c r="F15" s="76">
        <v>272344</v>
      </c>
      <c r="G15" s="76">
        <v>288831</v>
      </c>
      <c r="H15" s="14">
        <f>H$13*H59</f>
        <v>303166.93975256471</v>
      </c>
      <c r="I15" s="14">
        <f t="shared" ref="I15:L15" si="14">I$13*I59</f>
        <v>333803.84389306518</v>
      </c>
      <c r="J15" s="14">
        <f t="shared" si="14"/>
        <v>371029.87012453325</v>
      </c>
      <c r="K15" s="14">
        <f t="shared" si="14"/>
        <v>411376.96293813997</v>
      </c>
      <c r="L15" s="14">
        <f t="shared" si="14"/>
        <v>454773.74376433581</v>
      </c>
      <c r="N15" s="31">
        <f>IFERROR(D15/C15-1,0)</f>
        <v>0.1895714162522637</v>
      </c>
      <c r="O15" s="31">
        <f>IFERROR(E15/D15-1,0)</f>
        <v>0.40940339261550363</v>
      </c>
      <c r="P15" s="31">
        <f>IFERROR(F15/E15-1,0)</f>
        <v>0.16732031186376739</v>
      </c>
      <c r="Q15" s="31">
        <f>IFERROR(G15/F15-1,0)</f>
        <v>6.0537408571512463E-2</v>
      </c>
      <c r="R15" s="31">
        <f t="shared" ref="R15:V15" si="15">IFERROR(H15/G15-1,0)</f>
        <v>4.9634352796495973E-2</v>
      </c>
      <c r="S15" s="31">
        <f t="shared" si="15"/>
        <v>0.1010562172956766</v>
      </c>
      <c r="T15" s="31">
        <f t="shared" si="15"/>
        <v>0.11152066374464376</v>
      </c>
      <c r="U15" s="31">
        <f t="shared" si="15"/>
        <v>0.10874351652621539</v>
      </c>
      <c r="V15" s="31">
        <f t="shared" si="15"/>
        <v>0.10549151930202161</v>
      </c>
      <c r="AB15" s="17">
        <f t="shared" si="6"/>
        <v>2027</v>
      </c>
      <c r="AC15" s="544">
        <v>842173.59956358478</v>
      </c>
      <c r="AD15" s="1">
        <v>0.45999999999999996</v>
      </c>
    </row>
    <row r="16" spans="1:30" ht="15" customHeight="1" x14ac:dyDescent="0.55000000000000004">
      <c r="N16" s="21"/>
      <c r="O16" s="21"/>
      <c r="P16" s="21"/>
      <c r="Q16" s="21"/>
      <c r="R16" s="21"/>
      <c r="S16" s="21"/>
      <c r="T16" s="21"/>
      <c r="U16" s="21"/>
      <c r="V16" s="21"/>
    </row>
    <row r="17" spans="2:29" ht="15" customHeight="1" x14ac:dyDescent="0.55000000000000004">
      <c r="B17" s="22" t="s">
        <v>34</v>
      </c>
      <c r="C17" s="28">
        <f>C13-C15</f>
        <v>93731</v>
      </c>
      <c r="D17" s="28">
        <f t="shared" ref="D17:L17" si="16">D13-D15</f>
        <v>114986</v>
      </c>
      <c r="E17" s="28">
        <f t="shared" si="16"/>
        <v>152757</v>
      </c>
      <c r="F17" s="28">
        <f t="shared" si="16"/>
        <v>197478</v>
      </c>
      <c r="G17" s="28">
        <f t="shared" si="16"/>
        <v>225152</v>
      </c>
      <c r="H17" s="28">
        <f t="shared" si="16"/>
        <v>256474.05724743527</v>
      </c>
      <c r="I17" s="28">
        <f t="shared" si="16"/>
        <v>288225.65401497897</v>
      </c>
      <c r="J17" s="28">
        <f t="shared" si="16"/>
        <v>318927.35571411467</v>
      </c>
      <c r="K17" s="28">
        <f t="shared" si="16"/>
        <v>352017.12861858105</v>
      </c>
      <c r="L17" s="29">
        <f t="shared" si="16"/>
        <v>387399.85579924897</v>
      </c>
      <c r="N17" s="37">
        <f>IFERROR(D17/C17-1,0)</f>
        <v>0.22676595790080123</v>
      </c>
      <c r="O17" s="35">
        <f>IFERROR(E17/D17-1,0)</f>
        <v>0.32848346755257163</v>
      </c>
      <c r="P17" s="35">
        <f>IFERROR(F17/E17-1,0)</f>
        <v>0.2927590879632358</v>
      </c>
      <c r="Q17" s="35">
        <f>IFERROR(G17/F17-1,0)</f>
        <v>0.14013712919920196</v>
      </c>
      <c r="R17" s="35">
        <f t="shared" ref="R17:V17" si="17">IFERROR(H17/G17-1,0)</f>
        <v>0.13911516330050477</v>
      </c>
      <c r="S17" s="35">
        <f t="shared" si="17"/>
        <v>0.12380042296796945</v>
      </c>
      <c r="T17" s="35">
        <f t="shared" si="17"/>
        <v>0.10651967051322964</v>
      </c>
      <c r="U17" s="35">
        <f t="shared" si="17"/>
        <v>0.10375332285427374</v>
      </c>
      <c r="V17" s="36">
        <f t="shared" si="17"/>
        <v>0.10051422020150036</v>
      </c>
    </row>
    <row r="18" spans="2:29" ht="15" customHeight="1" x14ac:dyDescent="0.55000000000000004">
      <c r="B18" s="24" t="s">
        <v>61</v>
      </c>
      <c r="C18" s="25">
        <f>C17/C$13</f>
        <v>0.40247416128852193</v>
      </c>
      <c r="D18" s="25">
        <f t="shared" ref="D18:G18" si="18">D17/D$13</f>
        <v>0.40990011478600608</v>
      </c>
      <c r="E18" s="25">
        <f t="shared" si="18"/>
        <v>0.3956779186870571</v>
      </c>
      <c r="F18" s="25">
        <f t="shared" si="18"/>
        <v>0.42032514441639601</v>
      </c>
      <c r="G18" s="25">
        <f t="shared" si="18"/>
        <v>0.43805339865326287</v>
      </c>
      <c r="H18" s="25">
        <f t="shared" ref="H18" si="19">H17/H$13</f>
        <v>0.45828318265152984</v>
      </c>
      <c r="I18" s="25">
        <f t="shared" ref="I18" si="20">I17/I$13</f>
        <v>0.46336332116774942</v>
      </c>
      <c r="J18" s="25">
        <f t="shared" ref="J18" si="21">J17/J$13</f>
        <v>0.46224221411183308</v>
      </c>
      <c r="K18" s="25">
        <f t="shared" ref="K18" si="22">K17/K$13</f>
        <v>0.46112110705591675</v>
      </c>
      <c r="L18" s="70">
        <f t="shared" ref="L18" si="23">L17/L$13</f>
        <v>0.45999999999999996</v>
      </c>
      <c r="N18" s="38">
        <f>(D18-C18)*10000</f>
        <v>74.2595349748415</v>
      </c>
      <c r="O18" s="39">
        <f t="shared" ref="O18:Q18" si="24">(E18-D18)*10000</f>
        <v>-142.22196098948982</v>
      </c>
      <c r="P18" s="39">
        <f t="shared" si="24"/>
        <v>246.47225729338916</v>
      </c>
      <c r="Q18" s="39">
        <f t="shared" si="24"/>
        <v>177.28254236866857</v>
      </c>
      <c r="R18" s="39">
        <f t="shared" ref="R18" si="25">(H18-G18)*10000</f>
        <v>202.2978399826697</v>
      </c>
      <c r="S18" s="39">
        <f t="shared" ref="S18" si="26">(I18-H18)*10000</f>
        <v>50.801385162195785</v>
      </c>
      <c r="T18" s="39">
        <f t="shared" ref="T18" si="27">(J18-I18)*10000</f>
        <v>-11.211070559163371</v>
      </c>
      <c r="U18" s="39">
        <f t="shared" ref="U18" si="28">(K18-J18)*10000</f>
        <v>-11.211070559163371</v>
      </c>
      <c r="V18" s="40">
        <f t="shared" ref="V18" si="29">(L18-K18)*10000</f>
        <v>-11.211070559167812</v>
      </c>
    </row>
    <row r="19" spans="2:29" ht="15" customHeight="1" x14ac:dyDescent="0.55000000000000004">
      <c r="N19" s="21"/>
      <c r="O19" s="21"/>
      <c r="P19" s="21"/>
      <c r="Q19" s="21"/>
      <c r="R19" s="21"/>
      <c r="S19" s="21"/>
      <c r="T19" s="21"/>
      <c r="U19" s="21"/>
      <c r="V19" s="21"/>
    </row>
    <row r="20" spans="2:29" ht="15" customHeight="1" x14ac:dyDescent="0.55000000000000004">
      <c r="B20" s="3" t="s">
        <v>91</v>
      </c>
      <c r="C20" s="76">
        <v>34027</v>
      </c>
      <c r="D20" s="76">
        <v>40231</v>
      </c>
      <c r="E20" s="76">
        <v>58516</v>
      </c>
      <c r="F20" s="76">
        <v>75111</v>
      </c>
      <c r="G20" s="76">
        <v>84299</v>
      </c>
      <c r="H20" s="14">
        <f>H$13*H63</f>
        <v>91520.767873729754</v>
      </c>
      <c r="I20" s="14">
        <f t="shared" ref="I20:L20" si="30">I$13*I63</f>
        <v>100103.78826459442</v>
      </c>
      <c r="J20" s="14">
        <f t="shared" si="30"/>
        <v>109671.43065885657</v>
      </c>
      <c r="K20" s="14">
        <f t="shared" si="30"/>
        <v>119835.29759364319</v>
      </c>
      <c r="L20" s="14">
        <f t="shared" si="30"/>
        <v>130536.90793235564</v>
      </c>
      <c r="N20" s="31">
        <f t="shared" ref="N20:N24" si="31">IFERROR(D20/C20-1,0)</f>
        <v>0.18232580009992061</v>
      </c>
      <c r="O20" s="31">
        <f t="shared" ref="O20:O24" si="32">IFERROR(E20/D20-1,0)</f>
        <v>0.45450026099276686</v>
      </c>
      <c r="P20" s="31">
        <f t="shared" ref="P20:P24" si="33">IFERROR(F20/E20-1,0)</f>
        <v>0.28359764850639135</v>
      </c>
      <c r="Q20" s="31">
        <f t="shared" ref="Q20:Q24" si="34">IFERROR(G20/F20-1,0)</f>
        <v>0.12232562474204833</v>
      </c>
      <c r="R20" s="31">
        <f t="shared" ref="R20:R23" si="35">IFERROR(H20/G20-1,0)</f>
        <v>8.566848804528826E-2</v>
      </c>
      <c r="S20" s="31">
        <f t="shared" ref="S20:S23" si="36">IFERROR(I20/H20-1,0)</f>
        <v>9.3782215668323232E-2</v>
      </c>
      <c r="T20" s="31">
        <f t="shared" ref="T20:T25" si="37">IFERROR(J20/I20-1,0)</f>
        <v>9.5577225998410231E-2</v>
      </c>
      <c r="U20" s="31">
        <f t="shared" ref="U20:U25" si="38">IFERROR(K20/J20-1,0)</f>
        <v>9.2675611813639147E-2</v>
      </c>
      <c r="V20" s="31">
        <f t="shared" ref="V20:V25" si="39">IFERROR(L20/K20-1,0)</f>
        <v>8.9302655841863698E-2</v>
      </c>
    </row>
    <row r="21" spans="2:29" ht="15" customHeight="1" x14ac:dyDescent="0.55000000000000004">
      <c r="B21" s="3" t="s">
        <v>115</v>
      </c>
      <c r="C21" s="76">
        <v>16572</v>
      </c>
      <c r="D21" s="76">
        <v>35932</v>
      </c>
      <c r="E21" s="76">
        <v>42738</v>
      </c>
      <c r="F21" s="76">
        <v>56052</v>
      </c>
      <c r="G21" s="76">
        <v>73213</v>
      </c>
      <c r="H21" s="14">
        <f t="shared" ref="H21:L21" si="40">H$13*H64</f>
        <v>81349.801625838809</v>
      </c>
      <c r="I21" s="14">
        <f t="shared" si="40"/>
        <v>91417.759274984171</v>
      </c>
      <c r="J21" s="14">
        <f t="shared" si="40"/>
        <v>102673.4177879312</v>
      </c>
      <c r="K21" s="14">
        <f t="shared" si="40"/>
        <v>115009.62536136208</v>
      </c>
      <c r="L21" s="14">
        <f t="shared" si="40"/>
        <v>128431.47393344667</v>
      </c>
      <c r="N21" s="31">
        <f t="shared" si="31"/>
        <v>1.1682355780835145</v>
      </c>
      <c r="O21" s="31">
        <f t="shared" si="32"/>
        <v>0.18941333630190349</v>
      </c>
      <c r="P21" s="31">
        <f t="shared" si="33"/>
        <v>0.31152604239786608</v>
      </c>
      <c r="Q21" s="31">
        <f t="shared" si="34"/>
        <v>0.3061621351602084</v>
      </c>
      <c r="R21" s="31">
        <f t="shared" si="35"/>
        <v>0.11113875439933896</v>
      </c>
      <c r="S21" s="31">
        <f t="shared" si="36"/>
        <v>0.12376130547253261</v>
      </c>
      <c r="T21" s="31">
        <f t="shared" si="37"/>
        <v>0.12312332529492509</v>
      </c>
      <c r="U21" s="31">
        <f t="shared" si="38"/>
        <v>0.12014996519265519</v>
      </c>
      <c r="V21" s="31">
        <f t="shared" si="39"/>
        <v>0.11670195890050872</v>
      </c>
    </row>
    <row r="22" spans="2:29" ht="15" customHeight="1" x14ac:dyDescent="0.55000000000000004">
      <c r="B22" s="3" t="s">
        <v>116</v>
      </c>
      <c r="C22" s="76">
        <v>26079</v>
      </c>
      <c r="D22" s="76">
        <v>18879</v>
      </c>
      <c r="E22" s="76">
        <v>22010</v>
      </c>
      <c r="F22" s="76">
        <v>32551</v>
      </c>
      <c r="G22" s="76">
        <v>42238</v>
      </c>
      <c r="H22" s="14">
        <f t="shared" ref="H22:L22" si="41">H$13*H65</f>
        <v>43843.280565354085</v>
      </c>
      <c r="I22" s="14">
        <f t="shared" si="41"/>
        <v>46110.508647121074</v>
      </c>
      <c r="J22" s="14">
        <f t="shared" si="41"/>
        <v>51346.218888374497</v>
      </c>
      <c r="K22" s="14">
        <f t="shared" si="41"/>
        <v>57032.952477531362</v>
      </c>
      <c r="L22" s="14">
        <f t="shared" si="41"/>
        <v>63163.019967268854</v>
      </c>
      <c r="N22" s="31">
        <f t="shared" si="31"/>
        <v>-0.27608420568273329</v>
      </c>
      <c r="O22" s="31">
        <f t="shared" si="32"/>
        <v>0.1658456486042692</v>
      </c>
      <c r="P22" s="31">
        <f t="shared" si="33"/>
        <v>0.47891867333030436</v>
      </c>
      <c r="Q22" s="31">
        <f t="shared" si="34"/>
        <v>0.29759454394642249</v>
      </c>
      <c r="R22" s="31">
        <f t="shared" si="35"/>
        <v>3.8005600770729897E-2</v>
      </c>
      <c r="S22" s="31">
        <f t="shared" si="36"/>
        <v>5.1712099380597065E-2</v>
      </c>
      <c r="T22" s="31">
        <f t="shared" si="37"/>
        <v>0.11354700685090613</v>
      </c>
      <c r="U22" s="31">
        <f t="shared" si="38"/>
        <v>0.11075272361378152</v>
      </c>
      <c r="V22" s="31">
        <f t="shared" si="39"/>
        <v>0.10748290634528312</v>
      </c>
      <c r="AC22" s="3" t="s">
        <v>694</v>
      </c>
    </row>
    <row r="23" spans="2:29" ht="15" customHeight="1" x14ac:dyDescent="0.55000000000000004">
      <c r="B23" s="3" t="s">
        <v>117</v>
      </c>
      <c r="C23" s="76">
        <v>4336</v>
      </c>
      <c r="D23" s="76">
        <v>5203</v>
      </c>
      <c r="E23" s="76">
        <v>6668</v>
      </c>
      <c r="F23" s="76">
        <v>8823</v>
      </c>
      <c r="G23" s="76">
        <v>11891</v>
      </c>
      <c r="H23" s="14">
        <f t="shared" ref="H23:L23" si="42">H$13*H66</f>
        <v>11913.777376753487</v>
      </c>
      <c r="I23" s="14">
        <f t="shared" si="42"/>
        <v>10778.113966889036</v>
      </c>
      <c r="J23" s="14">
        <f t="shared" si="42"/>
        <v>10844.902118724151</v>
      </c>
      <c r="K23" s="14">
        <f t="shared" si="42"/>
        <v>10770.81267848182</v>
      </c>
      <c r="L23" s="14">
        <f t="shared" si="42"/>
        <v>10527.169994544811</v>
      </c>
      <c r="N23" s="31">
        <f t="shared" si="31"/>
        <v>0.19995387453874547</v>
      </c>
      <c r="O23" s="31">
        <f t="shared" si="32"/>
        <v>0.28156832596578907</v>
      </c>
      <c r="P23" s="31">
        <f t="shared" si="33"/>
        <v>0.32318536292741462</v>
      </c>
      <c r="Q23" s="31">
        <f t="shared" si="34"/>
        <v>0.34772753031848569</v>
      </c>
      <c r="R23" s="31">
        <f t="shared" si="35"/>
        <v>1.9155139814555078E-3</v>
      </c>
      <c r="S23" s="31">
        <f t="shared" si="36"/>
        <v>-9.5323537946948034E-2</v>
      </c>
      <c r="T23" s="31">
        <f t="shared" si="37"/>
        <v>6.1966455393116515E-3</v>
      </c>
      <c r="U23" s="31">
        <f t="shared" si="38"/>
        <v>-6.8317297317430636E-3</v>
      </c>
      <c r="V23" s="31">
        <f t="shared" si="39"/>
        <v>-2.2620640726930819E-2</v>
      </c>
      <c r="AB23" s="16">
        <v>2018</v>
      </c>
      <c r="AC23" s="545">
        <f t="array" ref="AC23:AC32">TRANSPOSE(C32:L32)</f>
        <v>5.3330585219441187E-2</v>
      </c>
    </row>
    <row r="24" spans="2:29" ht="15" customHeight="1" x14ac:dyDescent="0.55000000000000004">
      <c r="B24" s="3" t="s">
        <v>118</v>
      </c>
      <c r="C24" s="76">
        <v>297</v>
      </c>
      <c r="D24" s="76">
        <v>201</v>
      </c>
      <c r="E24" s="76">
        <v>-74</v>
      </c>
      <c r="F24" s="76">
        <v>62</v>
      </c>
      <c r="G24" s="76">
        <v>1263</v>
      </c>
      <c r="H24" s="14">
        <f>H$13*H67</f>
        <v>1032.1553059139442</v>
      </c>
      <c r="I24" s="14">
        <f t="shared" ref="I24:L24" si="43">I$13*I67</f>
        <v>3217.549736041914</v>
      </c>
      <c r="J24" s="14">
        <f t="shared" si="43"/>
        <v>2609.2637851294517</v>
      </c>
      <c r="K24" s="14">
        <f t="shared" si="43"/>
        <v>1825.1898322040588</v>
      </c>
      <c r="L24" s="14">
        <f t="shared" si="43"/>
        <v>842.17359956358484</v>
      </c>
      <c r="N24" s="31">
        <f t="shared" si="31"/>
        <v>-0.3232323232323232</v>
      </c>
      <c r="O24" s="31">
        <f t="shared" si="32"/>
        <v>-1.3681592039800994</v>
      </c>
      <c r="P24" s="31">
        <f t="shared" si="33"/>
        <v>-1.8378378378378377</v>
      </c>
      <c r="Q24" s="31">
        <f t="shared" si="34"/>
        <v>19.370967741935484</v>
      </c>
      <c r="R24" s="31">
        <f>IFERROR(H24/G24-1,0)</f>
        <v>-0.18277489634683752</v>
      </c>
      <c r="S24" s="31">
        <f>IFERROR(I24/H24-1,0)</f>
        <v>2.1173116270451811</v>
      </c>
      <c r="T24" s="31">
        <f t="shared" si="37"/>
        <v>-0.18905254022918339</v>
      </c>
      <c r="U24" s="31">
        <f t="shared" si="38"/>
        <v>-0.3004962385918728</v>
      </c>
      <c r="V24" s="31">
        <f t="shared" si="39"/>
        <v>-0.53858300944697102</v>
      </c>
      <c r="AB24" s="16">
        <f t="shared" ref="AB24:AB32" si="44">AB23+1</f>
        <v>2019</v>
      </c>
      <c r="AC24" s="545">
        <v>5.1831941879781268E-2</v>
      </c>
    </row>
    <row r="25" spans="2:29" ht="15" customHeight="1" x14ac:dyDescent="0.55000000000000004">
      <c r="B25" s="23" t="s">
        <v>119</v>
      </c>
      <c r="C25" s="26">
        <f>SUM(C20:C24)</f>
        <v>81311</v>
      </c>
      <c r="D25" s="26">
        <f t="shared" ref="D25:G25" si="45">SUM(D20:D24)</f>
        <v>100446</v>
      </c>
      <c r="E25" s="26">
        <f t="shared" si="45"/>
        <v>129858</v>
      </c>
      <c r="F25" s="26">
        <f t="shared" si="45"/>
        <v>172599</v>
      </c>
      <c r="G25" s="26">
        <f t="shared" si="45"/>
        <v>212904</v>
      </c>
      <c r="H25" s="30">
        <f>SUM(H20:H24)</f>
        <v>229659.78274759007</v>
      </c>
      <c r="I25" s="30">
        <f t="shared" ref="I25" si="46">SUM(I20:I24)</f>
        <v>251627.71988963062</v>
      </c>
      <c r="J25" s="30">
        <f t="shared" ref="J25" si="47">SUM(J20:J24)</f>
        <v>277145.23323901586</v>
      </c>
      <c r="K25" s="30">
        <f t="shared" ref="K25" si="48">SUM(K20:K24)</f>
        <v>304473.87794322247</v>
      </c>
      <c r="L25" s="30">
        <f t="shared" ref="L25" si="49">SUM(L20:L24)</f>
        <v>333500.74542717956</v>
      </c>
      <c r="N25" s="41">
        <f>IFERROR(D25/C25-1,0)</f>
        <v>0.235331013024068</v>
      </c>
      <c r="O25" s="41">
        <f>IFERROR(E25/D25-1,0)</f>
        <v>0.29281404933994382</v>
      </c>
      <c r="P25" s="41">
        <f>IFERROR(F25/E25-1,0)</f>
        <v>0.32913644134362152</v>
      </c>
      <c r="Q25" s="41">
        <f>IFERROR(G25/F25-1,0)</f>
        <v>0.23351815479811577</v>
      </c>
      <c r="R25" s="41">
        <f>IFERROR(H25/G25-1,0)</f>
        <v>7.8701117628555917E-2</v>
      </c>
      <c r="S25" s="41">
        <f>IFERROR(I25/H25-1,0)</f>
        <v>9.5654262488720665E-2</v>
      </c>
      <c r="T25" s="41">
        <f t="shared" si="37"/>
        <v>0.10140978649163834</v>
      </c>
      <c r="U25" s="41">
        <f t="shared" si="38"/>
        <v>9.8607666402249938E-2</v>
      </c>
      <c r="V25" s="41">
        <f t="shared" si="39"/>
        <v>9.5334508431524467E-2</v>
      </c>
      <c r="AB25" s="16">
        <f t="shared" si="44"/>
        <v>2020</v>
      </c>
      <c r="AC25" s="2">
        <v>5.9313999751336569E-2</v>
      </c>
    </row>
    <row r="26" spans="2:29" ht="15" customHeight="1" x14ac:dyDescent="0.55000000000000004">
      <c r="E26" s="11"/>
      <c r="F26" s="11"/>
      <c r="G26" s="11"/>
      <c r="N26" s="21"/>
      <c r="O26" s="9"/>
      <c r="P26" s="9"/>
      <c r="Q26" s="9"/>
      <c r="R26" s="21"/>
      <c r="S26" s="21"/>
      <c r="T26" s="21"/>
      <c r="U26" s="21"/>
      <c r="V26" s="21"/>
      <c r="AB26" s="16">
        <f t="shared" si="44"/>
        <v>2021</v>
      </c>
      <c r="AC26" s="2">
        <v>5.2954097509269465E-2</v>
      </c>
    </row>
    <row r="27" spans="2:29" ht="15" customHeight="1" x14ac:dyDescent="0.55000000000000004">
      <c r="B27" s="48" t="s">
        <v>1</v>
      </c>
      <c r="C27" s="49">
        <f>C31+C28</f>
        <v>27761</v>
      </c>
      <c r="D27" s="49">
        <f t="shared" ref="D27:L27" si="50">D31+D28</f>
        <v>36329</v>
      </c>
      <c r="E27" s="49">
        <f t="shared" si="50"/>
        <v>48150</v>
      </c>
      <c r="F27" s="49">
        <f t="shared" si="50"/>
        <v>59175</v>
      </c>
      <c r="G27" s="49">
        <f t="shared" si="50"/>
        <v>53709</v>
      </c>
      <c r="H27" s="49">
        <f>H31+H28</f>
        <v>73152.549051445181</v>
      </c>
      <c r="I27" s="49">
        <f t="shared" si="50"/>
        <v>87565.476110188698</v>
      </c>
      <c r="J27" s="49">
        <f t="shared" si="50"/>
        <v>97565.164184153517</v>
      </c>
      <c r="K27" s="49">
        <f t="shared" si="50"/>
        <v>108261.70823255129</v>
      </c>
      <c r="L27" s="50">
        <f t="shared" si="50"/>
        <v>119588.65113802903</v>
      </c>
      <c r="M27"/>
      <c r="N27" s="54">
        <f t="shared" ref="N27:Q28" si="51">IFERROR(D27/C27-1,0)</f>
        <v>0.30863441518677281</v>
      </c>
      <c r="O27" s="55">
        <f t="shared" si="51"/>
        <v>0.325387431528531</v>
      </c>
      <c r="P27" s="55">
        <f t="shared" si="51"/>
        <v>0.22897196261682251</v>
      </c>
      <c r="Q27" s="55">
        <f t="shared" si="51"/>
        <v>-9.2370088719898602E-2</v>
      </c>
      <c r="R27" s="55">
        <f>IFERROR(H27/G27-1,0)</f>
        <v>0.36201659035627509</v>
      </c>
      <c r="S27" s="55">
        <f>IFERROR(I27/H27-1,0)</f>
        <v>0.19702562994226613</v>
      </c>
      <c r="T27" s="55">
        <f t="shared" ref="T27:V27" si="52">IFERROR(J27/I27-1,0)</f>
        <v>0.11419669621143425</v>
      </c>
      <c r="U27" s="55">
        <f t="shared" si="52"/>
        <v>0.10963486955454838</v>
      </c>
      <c r="V27" s="56">
        <f t="shared" si="52"/>
        <v>0.10462556974573989</v>
      </c>
      <c r="AB27" s="16">
        <f t="shared" si="44"/>
        <v>2022</v>
      </c>
      <c r="AC27" s="2">
        <v>2.3829581912242232E-2</v>
      </c>
    </row>
    <row r="28" spans="2:29" ht="15" customHeight="1" x14ac:dyDescent="0.55000000000000004">
      <c r="B28" s="51" t="s">
        <v>134</v>
      </c>
      <c r="C28" s="254">
        <v>15341</v>
      </c>
      <c r="D28" s="254">
        <v>21789</v>
      </c>
      <c r="E28" s="254">
        <v>25251</v>
      </c>
      <c r="F28" s="254">
        <v>34296</v>
      </c>
      <c r="G28" s="254">
        <v>41461</v>
      </c>
      <c r="H28" s="108">
        <f>AMZN_CFS!H61</f>
        <v>46338.274551599992</v>
      </c>
      <c r="I28" s="108">
        <f>AMZN_CFS!I61</f>
        <v>50967.541984840354</v>
      </c>
      <c r="J28" s="108">
        <f>AMZN_CFS!J61</f>
        <v>55783.041709054691</v>
      </c>
      <c r="K28" s="108">
        <f>AMZN_CFS!K61</f>
        <v>60718.457557192705</v>
      </c>
      <c r="L28" s="109">
        <f>AMZN_CFS!L61</f>
        <v>65689.540765959624</v>
      </c>
      <c r="M28"/>
      <c r="N28" s="57">
        <f t="shared" si="51"/>
        <v>0.42031158333876539</v>
      </c>
      <c r="O28" s="58">
        <f t="shared" si="51"/>
        <v>0.1588875120473634</v>
      </c>
      <c r="P28" s="58">
        <f t="shared" si="51"/>
        <v>0.35820363549958412</v>
      </c>
      <c r="Q28" s="58">
        <f t="shared" si="51"/>
        <v>0.20891649171915083</v>
      </c>
      <c r="R28" s="58">
        <f t="shared" ref="R28" si="53">IFERROR(H28/G28-1,0)</f>
        <v>0.1176352367670821</v>
      </c>
      <c r="S28" s="58">
        <f t="shared" ref="S28" si="54">IFERROR(I28/H28-1,0)</f>
        <v>9.9901592755367696E-2</v>
      </c>
      <c r="T28" s="58">
        <f t="shared" ref="T28" si="55">IFERROR(J28/I28-1,0)</f>
        <v>9.4481694362397173E-2</v>
      </c>
      <c r="U28" s="58">
        <f t="shared" ref="U28" si="56">IFERROR(K28/J28-1,0)</f>
        <v>8.8475201368176659E-2</v>
      </c>
      <c r="V28" s="59">
        <f t="shared" ref="V28" si="57">IFERROR(L28/K28-1,0)</f>
        <v>8.1871039034291826E-2</v>
      </c>
      <c r="AB28" s="17">
        <f t="shared" si="44"/>
        <v>2023</v>
      </c>
      <c r="AC28" s="2">
        <v>4.7913349171317406E-2</v>
      </c>
    </row>
    <row r="29" spans="2:29" s="10" customFormat="1" ht="15" customHeight="1" x14ac:dyDescent="0.55000000000000004">
      <c r="B29" s="52" t="s">
        <v>76</v>
      </c>
      <c r="C29" s="53">
        <f>C27/C$13</f>
        <v>0.11920373399975095</v>
      </c>
      <c r="D29" s="53">
        <f t="shared" ref="D29" si="58">D27/D$13</f>
        <v>0.1295049942606997</v>
      </c>
      <c r="E29" s="53">
        <f t="shared" ref="E29" si="59">E27/E$13</f>
        <v>0.12472025363670272</v>
      </c>
      <c r="F29" s="53">
        <f t="shared" ref="F29" si="60">F27/F$13</f>
        <v>0.1259519562728012</v>
      </c>
      <c r="G29" s="78">
        <f t="shared" ref="G29" si="61">G27/G$13</f>
        <v>0.10449567398143518</v>
      </c>
      <c r="H29" s="78">
        <f>H27/H$13</f>
        <v>0.13071334917131738</v>
      </c>
      <c r="I29" s="78">
        <f t="shared" ref="I29" si="62">I27/I$13</f>
        <v>0.14077383211677474</v>
      </c>
      <c r="J29" s="78">
        <f t="shared" ref="J29" si="63">J27/J$13</f>
        <v>0.14140755474451674</v>
      </c>
      <c r="K29" s="78">
        <f t="shared" ref="K29" si="64">K27/K$13</f>
        <v>0.14181627737225855</v>
      </c>
      <c r="L29" s="79">
        <f t="shared" ref="L29" si="65">L27/L$13</f>
        <v>0.14199999999999999</v>
      </c>
      <c r="M29" s="80"/>
      <c r="N29" s="60">
        <f>(D29-C29)*10000</f>
        <v>103.01260260948742</v>
      </c>
      <c r="O29" s="61">
        <f t="shared" ref="O29:V29" si="66">(E29-D29)*10000</f>
        <v>-47.84740623996975</v>
      </c>
      <c r="P29" s="61">
        <f t="shared" si="66"/>
        <v>12.317026360984807</v>
      </c>
      <c r="Q29" s="61">
        <f t="shared" si="66"/>
        <v>-214.56282291366023</v>
      </c>
      <c r="R29" s="61">
        <f>(H29-G29)*10000</f>
        <v>262.17675189882203</v>
      </c>
      <c r="S29" s="61">
        <f>(I29-H29)*10000</f>
        <v>100.6048294545736</v>
      </c>
      <c r="T29" s="61">
        <f t="shared" si="66"/>
        <v>6.3372262774200045</v>
      </c>
      <c r="U29" s="61">
        <f t="shared" si="66"/>
        <v>4.0872262774180328</v>
      </c>
      <c r="V29" s="62">
        <f t="shared" si="66"/>
        <v>1.8372262774143944</v>
      </c>
      <c r="AB29" s="17">
        <f t="shared" si="44"/>
        <v>2024</v>
      </c>
      <c r="AC29" s="2">
        <v>5.8836332116774775E-2</v>
      </c>
    </row>
    <row r="30" spans="2:29" ht="15" customHeight="1" x14ac:dyDescent="0.55000000000000004">
      <c r="E30" s="11"/>
      <c r="F30" s="11"/>
      <c r="G30" s="11"/>
      <c r="N30" s="21"/>
      <c r="O30" s="9"/>
      <c r="P30" s="9"/>
      <c r="Q30" s="9"/>
      <c r="R30" s="21"/>
      <c r="S30" s="21"/>
      <c r="T30" s="21"/>
      <c r="U30" s="21"/>
      <c r="V30" s="21"/>
      <c r="AB30" s="17">
        <f t="shared" si="44"/>
        <v>2025</v>
      </c>
      <c r="AC30" s="2">
        <v>6.0557554744516733E-2</v>
      </c>
    </row>
    <row r="31" spans="2:29" ht="15" customHeight="1" x14ac:dyDescent="0.55000000000000004">
      <c r="B31" s="22" t="s">
        <v>120</v>
      </c>
      <c r="C31" s="28">
        <f>C17-C25</f>
        <v>12420</v>
      </c>
      <c r="D31" s="28">
        <f t="shared" ref="D31:L31" si="67">D17-D25</f>
        <v>14540</v>
      </c>
      <c r="E31" s="28">
        <f t="shared" si="67"/>
        <v>22899</v>
      </c>
      <c r="F31" s="28">
        <f t="shared" si="67"/>
        <v>24879</v>
      </c>
      <c r="G31" s="28">
        <f t="shared" si="67"/>
        <v>12248</v>
      </c>
      <c r="H31" s="28">
        <f>H17-H25</f>
        <v>26814.274499845196</v>
      </c>
      <c r="I31" s="28">
        <f t="shared" si="67"/>
        <v>36597.934125348344</v>
      </c>
      <c r="J31" s="28">
        <f t="shared" si="67"/>
        <v>41782.122475098819</v>
      </c>
      <c r="K31" s="28">
        <f t="shared" si="67"/>
        <v>47543.250675358577</v>
      </c>
      <c r="L31" s="29">
        <f t="shared" si="67"/>
        <v>53899.110372069408</v>
      </c>
      <c r="N31" s="37">
        <f t="shared" ref="N31:S31" si="68">IFERROR(D31/C31-1,0)</f>
        <v>0.17069243156199687</v>
      </c>
      <c r="O31" s="35">
        <f t="shared" si="68"/>
        <v>0.57489683631361754</v>
      </c>
      <c r="P31" s="35">
        <f t="shared" si="68"/>
        <v>8.6466657932660729E-2</v>
      </c>
      <c r="Q31" s="35">
        <f t="shared" si="68"/>
        <v>-0.50769725471281002</v>
      </c>
      <c r="R31" s="35">
        <f t="shared" si="68"/>
        <v>1.1892778004445783</v>
      </c>
      <c r="S31" s="35">
        <f t="shared" si="68"/>
        <v>0.3648675866863238</v>
      </c>
      <c r="T31" s="35">
        <f t="shared" ref="T31:V31" si="69">IFERROR(J31/I31-1,0)</f>
        <v>0.1416524859571191</v>
      </c>
      <c r="U31" s="35">
        <f t="shared" si="69"/>
        <v>0.13788500581063734</v>
      </c>
      <c r="V31" s="36">
        <f t="shared" si="69"/>
        <v>0.13368584618058188</v>
      </c>
      <c r="AB31" s="17">
        <f t="shared" si="44"/>
        <v>2026</v>
      </c>
      <c r="AC31" s="2">
        <v>6.2278777372258537E-2</v>
      </c>
    </row>
    <row r="32" spans="2:29" ht="15" customHeight="1" x14ac:dyDescent="0.55000000000000004">
      <c r="B32" s="24" t="s">
        <v>90</v>
      </c>
      <c r="C32" s="25">
        <f>C31/C$13</f>
        <v>5.3330585219441187E-2</v>
      </c>
      <c r="D32" s="25">
        <f t="shared" ref="D32" si="70">D31/D$13</f>
        <v>5.1831941879781268E-2</v>
      </c>
      <c r="E32" s="25">
        <f t="shared" ref="E32" si="71">E31/E$13</f>
        <v>5.9313999751336569E-2</v>
      </c>
      <c r="F32" s="25">
        <f t="shared" ref="F32" si="72">F31/F$13</f>
        <v>5.2954097509269465E-2</v>
      </c>
      <c r="G32" s="25">
        <f t="shared" ref="G32" si="73">G31/G$13</f>
        <v>2.3829581912242232E-2</v>
      </c>
      <c r="H32" s="25">
        <f>H31/H$13</f>
        <v>4.7913349171317406E-2</v>
      </c>
      <c r="I32" s="25">
        <f t="shared" ref="I32" si="74">I31/I$13</f>
        <v>5.8836332116774775E-2</v>
      </c>
      <c r="J32" s="25">
        <f t="shared" ref="J32" si="75">J31/J$13</f>
        <v>6.0557554744516733E-2</v>
      </c>
      <c r="K32" s="25">
        <f t="shared" ref="K32" si="76">K31/K$13</f>
        <v>6.2278777372258537E-2</v>
      </c>
      <c r="L32" s="70">
        <f t="shared" ref="L32" si="77">L31/L$13</f>
        <v>6.3999999999999974E-2</v>
      </c>
      <c r="N32" s="38">
        <f>(D32-C32)*10000</f>
        <v>-14.986433396599191</v>
      </c>
      <c r="O32" s="39">
        <f t="shared" ref="O32" si="78">(E32-D32)*10000</f>
        <v>74.820578715552998</v>
      </c>
      <c r="P32" s="39">
        <f t="shared" ref="P32" si="79">(F32-E32)*10000</f>
        <v>-63.599022420671034</v>
      </c>
      <c r="Q32" s="39">
        <f t="shared" ref="Q32" si="80">(G32-F32)*10000</f>
        <v>-291.24515597027232</v>
      </c>
      <c r="R32" s="39">
        <f>(H32-G32)*10000</f>
        <v>240.83767259075174</v>
      </c>
      <c r="S32" s="39">
        <f>(I32-H32)*10000</f>
        <v>109.2298294545737</v>
      </c>
      <c r="T32" s="39">
        <f t="shared" ref="T32" si="81">(J32-I32)*10000</f>
        <v>17.212226277419571</v>
      </c>
      <c r="U32" s="39">
        <f t="shared" ref="U32" si="82">(K32-J32)*10000</f>
        <v>17.212226277418043</v>
      </c>
      <c r="V32" s="40">
        <f t="shared" ref="V32" si="83">(L32-K32)*10000</f>
        <v>17.212226277414366</v>
      </c>
      <c r="AB32" s="17">
        <f t="shared" si="44"/>
        <v>2027</v>
      </c>
      <c r="AC32" s="2">
        <v>6.3999999999999974E-2</v>
      </c>
    </row>
    <row r="33" spans="2:30" ht="15" customHeight="1" x14ac:dyDescent="0.55000000000000004">
      <c r="N33" s="21"/>
      <c r="O33" s="21"/>
      <c r="P33" s="21"/>
      <c r="Q33" s="21"/>
      <c r="R33" s="21"/>
      <c r="S33" s="21"/>
      <c r="T33" s="21"/>
      <c r="U33" s="21"/>
      <c r="V33" s="21"/>
    </row>
    <row r="34" spans="2:30" ht="15" customHeight="1" x14ac:dyDescent="0.55000000000000004">
      <c r="B34" s="3" t="s">
        <v>122</v>
      </c>
      <c r="C34" s="76">
        <v>441</v>
      </c>
      <c r="D34" s="76">
        <v>833</v>
      </c>
      <c r="E34" s="76">
        <v>555</v>
      </c>
      <c r="F34" s="76">
        <v>448</v>
      </c>
      <c r="G34" s="76">
        <v>989</v>
      </c>
      <c r="H34" s="14">
        <f>H$13*H76</f>
        <v>1119.2819939999999</v>
      </c>
      <c r="I34" s="14">
        <f t="shared" ref="I34:L34" si="84">I$13*I76</f>
        <v>1244.0589958160883</v>
      </c>
      <c r="J34" s="14">
        <f t="shared" si="84"/>
        <v>1379.9144516772958</v>
      </c>
      <c r="K34" s="14">
        <f t="shared" si="84"/>
        <v>1526.7881831134421</v>
      </c>
      <c r="L34" s="14">
        <f t="shared" si="84"/>
        <v>1684.3471991271697</v>
      </c>
      <c r="N34" s="31">
        <f t="shared" ref="N34:N36" si="85">IFERROR(D34/C34-1,0)</f>
        <v>0.88888888888888884</v>
      </c>
      <c r="O34" s="31">
        <f t="shared" ref="O34:O36" si="86">IFERROR(E34/D34-1,0)</f>
        <v>-0.33373349339735892</v>
      </c>
      <c r="P34" s="31">
        <f t="shared" ref="P34:P36" si="87">IFERROR(F34/E34-1,0)</f>
        <v>-0.19279279279279282</v>
      </c>
      <c r="Q34" s="31">
        <f t="shared" ref="Q34:Q36" si="88">IFERROR(G34/F34-1,0)</f>
        <v>1.2075892857142856</v>
      </c>
      <c r="R34" s="31">
        <f t="shared" ref="R34:R36" si="89">IFERROR(H34/G34-1,0)</f>
        <v>0.13173103538928199</v>
      </c>
      <c r="S34" s="31">
        <f t="shared" ref="S34:S36" si="90">IFERROR(I34/H34-1,0)</f>
        <v>0.11147950425805608</v>
      </c>
      <c r="T34" s="31">
        <f t="shared" ref="T34:T36" si="91">IFERROR(J34/I34-1,0)</f>
        <v>0.10920338691179832</v>
      </c>
      <c r="U34" s="31">
        <f t="shared" ref="U34:U36" si="92">IFERROR(K34/J34-1,0)</f>
        <v>0.10643683835445028</v>
      </c>
      <c r="V34" s="31">
        <f t="shared" ref="V34:V36" si="93">IFERROR(L34/K34-1,0)</f>
        <v>0.10319638163064093</v>
      </c>
    </row>
    <row r="35" spans="2:30" ht="15" customHeight="1" x14ac:dyDescent="0.55000000000000004">
      <c r="B35" s="3" t="s">
        <v>121</v>
      </c>
      <c r="C35" s="76">
        <v>-1418</v>
      </c>
      <c r="D35" s="76">
        <v>-1600</v>
      </c>
      <c r="E35" s="76">
        <v>-1647</v>
      </c>
      <c r="F35" s="76">
        <v>-1809</v>
      </c>
      <c r="G35" s="76">
        <v>-2367</v>
      </c>
      <c r="H35" s="14">
        <f ca="1">H77*AMZN_BS!H30</f>
        <v>-2661.2027613628816</v>
      </c>
      <c r="I35" s="14">
        <f ca="1">I77*AMZN_BS!I30</f>
        <v>-3503.7111308397825</v>
      </c>
      <c r="J35" s="14">
        <f ca="1">J77*AMZN_BS!J30</f>
        <v>-4329.5825903755094</v>
      </c>
      <c r="K35" s="14">
        <f ca="1">K77*AMZN_BS!K30</f>
        <v>-5170.55594625087</v>
      </c>
      <c r="L35" s="14">
        <f ca="1">L77*AMZN_BS!L30</f>
        <v>-6017.9011618948352</v>
      </c>
      <c r="N35" s="31">
        <f t="shared" si="85"/>
        <v>0.12834978843441469</v>
      </c>
      <c r="O35" s="31">
        <f t="shared" si="86"/>
        <v>2.9374999999999929E-2</v>
      </c>
      <c r="P35" s="31">
        <f t="shared" si="87"/>
        <v>9.8360655737705027E-2</v>
      </c>
      <c r="Q35" s="31">
        <f t="shared" si="88"/>
        <v>0.308457711442786</v>
      </c>
      <c r="R35" s="31">
        <f ca="1">IFERROR(H35/G35-1,0)</f>
        <v>0.12429351979842895</v>
      </c>
      <c r="S35" s="31">
        <f ca="1">IFERROR(I35/H35-1,0)</f>
        <v>0.31658931882568297</v>
      </c>
      <c r="T35" s="31">
        <f ca="1">IFERROR(J35/I35-1,0)</f>
        <v>0.23571334185240866</v>
      </c>
      <c r="U35" s="31">
        <f ca="1">IFERROR(K35/J35-1,0)</f>
        <v>0.1942388990903674</v>
      </c>
      <c r="V35" s="31">
        <f ca="1">IFERROR(L35/K35-1,0)</f>
        <v>0.16387893767175443</v>
      </c>
    </row>
    <row r="36" spans="2:30" ht="15" customHeight="1" x14ac:dyDescent="0.55000000000000004">
      <c r="B36" s="3" t="s">
        <v>123</v>
      </c>
      <c r="C36" s="76">
        <v>-182</v>
      </c>
      <c r="D36" s="76">
        <v>202</v>
      </c>
      <c r="E36" s="76">
        <v>2371</v>
      </c>
      <c r="F36" s="76">
        <v>14633</v>
      </c>
      <c r="G36" s="76">
        <v>-16806</v>
      </c>
      <c r="H36" s="14">
        <f t="shared" ref="H36:L36" si="94">H$13*H78</f>
        <v>-16789.229909999998</v>
      </c>
      <c r="I36" s="14">
        <f t="shared" si="94"/>
        <v>-18660.884937241324</v>
      </c>
      <c r="J36" s="14">
        <f t="shared" si="94"/>
        <v>-20698.716775159435</v>
      </c>
      <c r="K36" s="14">
        <f t="shared" si="94"/>
        <v>-22901.82274670163</v>
      </c>
      <c r="L36" s="14">
        <f t="shared" si="94"/>
        <v>-25265.207986907542</v>
      </c>
      <c r="N36" s="31">
        <f t="shared" si="85"/>
        <v>-2.1098901098901099</v>
      </c>
      <c r="O36" s="31">
        <f t="shared" si="86"/>
        <v>10.737623762376238</v>
      </c>
      <c r="P36" s="31">
        <f t="shared" si="87"/>
        <v>5.1716575284690007</v>
      </c>
      <c r="Q36" s="31">
        <f t="shared" si="88"/>
        <v>-2.1484999658306565</v>
      </c>
      <c r="R36" s="31">
        <f t="shared" si="89"/>
        <v>-9.9786326312045759E-4</v>
      </c>
      <c r="S36" s="31">
        <f t="shared" si="90"/>
        <v>0.11147950425805608</v>
      </c>
      <c r="T36" s="31">
        <f t="shared" si="91"/>
        <v>0.10920338691179809</v>
      </c>
      <c r="U36" s="31">
        <f t="shared" si="92"/>
        <v>0.10643683835445028</v>
      </c>
      <c r="V36" s="31">
        <f t="shared" si="93"/>
        <v>0.10319638163064093</v>
      </c>
    </row>
    <row r="37" spans="2:30" ht="15" customHeight="1" x14ac:dyDescent="0.55000000000000004">
      <c r="B37" s="23" t="s">
        <v>124</v>
      </c>
      <c r="C37" s="26">
        <f t="shared" ref="C37:F37" si="95">C31+SUM(C34:C36)</f>
        <v>11261</v>
      </c>
      <c r="D37" s="26">
        <f t="shared" si="95"/>
        <v>13975</v>
      </c>
      <c r="E37" s="26">
        <f t="shared" si="95"/>
        <v>24178</v>
      </c>
      <c r="F37" s="26">
        <f t="shared" si="95"/>
        <v>38151</v>
      </c>
      <c r="G37" s="26">
        <f t="shared" ref="G37" si="96">G31+SUM(G34:G36)</f>
        <v>-5936</v>
      </c>
      <c r="H37" s="26">
        <f ca="1">H31+SUM(H34:H36)</f>
        <v>8483.1238224823173</v>
      </c>
      <c r="I37" s="26">
        <f ca="1">I31+SUM(I34:I36)</f>
        <v>15677.397053083325</v>
      </c>
      <c r="J37" s="26">
        <f ca="1">J31+SUM(J34:J36)</f>
        <v>18133.737561241171</v>
      </c>
      <c r="K37" s="26">
        <f ca="1">K31+SUM(K34:K36)</f>
        <v>20997.660165519519</v>
      </c>
      <c r="L37" s="26">
        <f ca="1">L31+SUM(L34:L36)</f>
        <v>24300.3484223942</v>
      </c>
      <c r="N37" s="41">
        <f t="shared" ref="N37:Q37" si="97">IFERROR(D37/C37-1,0)</f>
        <v>0.24100879140396048</v>
      </c>
      <c r="O37" s="41">
        <f t="shared" si="97"/>
        <v>0.73008944543828269</v>
      </c>
      <c r="P37" s="41">
        <f t="shared" si="97"/>
        <v>0.57792207792207795</v>
      </c>
      <c r="Q37" s="41">
        <f t="shared" si="97"/>
        <v>-1.1555922518413673</v>
      </c>
      <c r="R37" s="41">
        <f ca="1">IFERROR(H37/G37-1,0)</f>
        <v>-2.429097678989609</v>
      </c>
      <c r="S37" s="41">
        <f ca="1">IFERROR(I37/H37-1,0)</f>
        <v>0.84806886957543326</v>
      </c>
      <c r="T37" s="41">
        <f ca="1">IFERROR(J37/I37-1,0)</f>
        <v>0.15668037875424923</v>
      </c>
      <c r="U37" s="41">
        <f ca="1">IFERROR(K37/J37-1,0)</f>
        <v>0.15793338767622078</v>
      </c>
      <c r="V37" s="41">
        <f ca="1">IFERROR(L37/K37-1,0)</f>
        <v>0.1572883945563639</v>
      </c>
    </row>
    <row r="38" spans="2:30" ht="15" customHeight="1" x14ac:dyDescent="0.55000000000000004">
      <c r="N38" s="21"/>
      <c r="O38" s="21"/>
      <c r="P38" s="21"/>
      <c r="Q38" s="21"/>
      <c r="R38" s="21"/>
      <c r="S38" s="21"/>
      <c r="T38" s="21"/>
      <c r="U38" s="21"/>
      <c r="V38" s="21"/>
    </row>
    <row r="39" spans="2:30" ht="15" customHeight="1" x14ac:dyDescent="0.55000000000000004">
      <c r="B39" s="3" t="s">
        <v>125</v>
      </c>
      <c r="C39" s="76">
        <v>-1196</v>
      </c>
      <c r="D39" s="76">
        <v>-2373</v>
      </c>
      <c r="E39" s="76">
        <v>-2863</v>
      </c>
      <c r="F39" s="76">
        <v>-4791</v>
      </c>
      <c r="G39" s="76">
        <v>3217</v>
      </c>
      <c r="H39" s="169">
        <f ca="1">H$37*H84</f>
        <v>-1781.4560027212865</v>
      </c>
      <c r="I39" s="169">
        <f ca="1">I$37*I84</f>
        <v>-3292.2533811474982</v>
      </c>
      <c r="J39" s="169">
        <f ca="1">J$37*J84</f>
        <v>-3808.0848878606457</v>
      </c>
      <c r="K39" s="169">
        <f ca="1">K$37*K84</f>
        <v>-4409.5086347590986</v>
      </c>
      <c r="L39" s="169">
        <f ca="1">L$37*L84</f>
        <v>-5103.0731687027819</v>
      </c>
      <c r="N39" s="31">
        <f t="shared" ref="N39:N40" si="98">IFERROR(D39/C39-1,0)</f>
        <v>0.98411371237458201</v>
      </c>
      <c r="O39" s="31">
        <f t="shared" ref="O39:O40" si="99">IFERROR(E39/D39-1,0)</f>
        <v>0.20648967551622421</v>
      </c>
      <c r="P39" s="31">
        <f t="shared" ref="P39:P40" si="100">IFERROR(F39/E39-1,0)</f>
        <v>0.67341949004540691</v>
      </c>
      <c r="Q39" s="31">
        <f t="shared" ref="Q39:Q40" si="101">IFERROR(G39/F39-1,0)</f>
        <v>-1.6714673345856816</v>
      </c>
      <c r="R39" s="31">
        <f ca="1">IFERROR(H39/G39-1,0)</f>
        <v>-1.5537631341999647</v>
      </c>
      <c r="S39" s="31">
        <f ca="1">IFERROR(I39/H39-1,0)</f>
        <v>0.84806886957543348</v>
      </c>
      <c r="T39" s="31">
        <f ca="1">IFERROR(J39/I39-1,0)</f>
        <v>0.15668037875424923</v>
      </c>
      <c r="U39" s="31">
        <f ca="1">IFERROR(K39/J39-1,0)</f>
        <v>0.15793338767622078</v>
      </c>
      <c r="V39" s="31">
        <f ca="1">IFERROR(L39/K39-1,0)</f>
        <v>0.15728839455636412</v>
      </c>
    </row>
    <row r="40" spans="2:30" ht="15" customHeight="1" x14ac:dyDescent="0.55000000000000004">
      <c r="B40" s="3" t="s">
        <v>126</v>
      </c>
      <c r="C40" s="76">
        <v>8</v>
      </c>
      <c r="D40" s="76">
        <v>-14</v>
      </c>
      <c r="E40" s="76">
        <v>16</v>
      </c>
      <c r="F40" s="76">
        <v>4</v>
      </c>
      <c r="G40" s="76">
        <v>-3</v>
      </c>
      <c r="H40" s="14">
        <f>H$13*H82</f>
        <v>0</v>
      </c>
      <c r="I40" s="14">
        <f t="shared" ref="I40:L40" si="102">I$13*I82</f>
        <v>0</v>
      </c>
      <c r="J40" s="14">
        <f t="shared" si="102"/>
        <v>-114.99287097310798</v>
      </c>
      <c r="K40" s="14">
        <f t="shared" si="102"/>
        <v>-254.46469718557367</v>
      </c>
      <c r="L40" s="14">
        <f t="shared" si="102"/>
        <v>-421.08679978179242</v>
      </c>
      <c r="N40" s="31">
        <f t="shared" si="98"/>
        <v>-2.75</v>
      </c>
      <c r="O40" s="31">
        <f t="shared" si="99"/>
        <v>-2.1428571428571428</v>
      </c>
      <c r="P40" s="31">
        <f t="shared" si="100"/>
        <v>-0.75</v>
      </c>
      <c r="Q40" s="31">
        <f t="shared" si="101"/>
        <v>-1.75</v>
      </c>
      <c r="R40" s="31">
        <f t="shared" ref="R40" si="103">IFERROR(H40/G40-1,0)</f>
        <v>-1</v>
      </c>
      <c r="S40" s="31">
        <f t="shared" ref="S40" si="104">IFERROR(I40/H40-1,0)</f>
        <v>0</v>
      </c>
      <c r="T40" s="31">
        <f t="shared" ref="T40" si="105">IFERROR(J40/I40-1,0)</f>
        <v>0</v>
      </c>
      <c r="U40" s="31">
        <f t="shared" ref="U40" si="106">IFERROR(K40/J40-1,0)</f>
        <v>1.2128736767089006</v>
      </c>
      <c r="V40" s="31">
        <f t="shared" ref="V40" si="107">IFERROR(L40/K40-1,0)</f>
        <v>0.6547945724459614</v>
      </c>
    </row>
    <row r="41" spans="2:30" ht="15" customHeight="1" x14ac:dyDescent="0.55000000000000004">
      <c r="N41" s="21"/>
      <c r="O41" s="21"/>
      <c r="P41" s="21"/>
      <c r="Q41" s="21"/>
      <c r="R41" s="21"/>
      <c r="S41" s="21"/>
      <c r="T41" s="21"/>
      <c r="U41" s="21"/>
      <c r="V41" s="21"/>
      <c r="AC41" s="3" t="s">
        <v>569</v>
      </c>
      <c r="AD41" s="3" t="s">
        <v>75</v>
      </c>
    </row>
    <row r="42" spans="2:30" ht="15" customHeight="1" x14ac:dyDescent="0.55000000000000004">
      <c r="B42" s="22" t="s">
        <v>127</v>
      </c>
      <c r="C42" s="28">
        <f>C37+SUM(C39:C40)</f>
        <v>10073</v>
      </c>
      <c r="D42" s="28">
        <f t="shared" ref="D42:G42" si="108">D37+SUM(D39:D40)</f>
        <v>11588</v>
      </c>
      <c r="E42" s="28">
        <f t="shared" si="108"/>
        <v>21331</v>
      </c>
      <c r="F42" s="28">
        <f t="shared" si="108"/>
        <v>33364</v>
      </c>
      <c r="G42" s="28">
        <f t="shared" si="108"/>
        <v>-2722</v>
      </c>
      <c r="H42" s="28">
        <f ca="1">H37+SUM(H39:H40)</f>
        <v>6701.6678197610308</v>
      </c>
      <c r="I42" s="28">
        <f ca="1">I37+SUM(I39:I40)</f>
        <v>12385.143671935826</v>
      </c>
      <c r="J42" s="28">
        <f ca="1">J37+SUM(J39:J40)</f>
        <v>14210.659802407417</v>
      </c>
      <c r="K42" s="28">
        <f ca="1">K37+SUM(K39:K40)</f>
        <v>16333.686833574848</v>
      </c>
      <c r="L42" s="29">
        <f ca="1">L37+SUM(L39:L40)</f>
        <v>18776.188453909625</v>
      </c>
      <c r="N42" s="37">
        <f t="shared" ref="N42:Q42" si="109">IFERROR(D42/C42-1,0)</f>
        <v>0.1504020649260398</v>
      </c>
      <c r="O42" s="35">
        <f t="shared" si="109"/>
        <v>0.84078356920952713</v>
      </c>
      <c r="P42" s="35">
        <f t="shared" si="109"/>
        <v>0.56410857437532225</v>
      </c>
      <c r="Q42" s="35">
        <f t="shared" si="109"/>
        <v>-1.0815849418534949</v>
      </c>
      <c r="R42" s="35">
        <f ca="1">IFERROR(H42/G42-1,0)</f>
        <v>-3.4620381409849488</v>
      </c>
      <c r="S42" s="35">
        <f ca="1">IFERROR(I42/H42-1,0)</f>
        <v>0.84806886957543326</v>
      </c>
      <c r="T42" s="35">
        <f ca="1">IFERROR(J42/I42-1,0)</f>
        <v>0.14739563616109908</v>
      </c>
      <c r="U42" s="35">
        <f ca="1">IFERROR(K42/J42-1,0)</f>
        <v>0.14939679513035498</v>
      </c>
      <c r="V42" s="36">
        <f ca="1">IFERROR(L42/K42-1,0)</f>
        <v>0.14953767910586313</v>
      </c>
      <c r="AB42" s="16">
        <v>2018</v>
      </c>
      <c r="AC42" s="543">
        <f t="array" ref="AC42:AC51">TRANSPOSE(C21:L21)</f>
        <v>16572</v>
      </c>
      <c r="AD42" s="545">
        <f t="array" ref="AD42:AD51">TRANSPOSE(C64:L64)</f>
        <v>7.1158974094732638E-2</v>
      </c>
    </row>
    <row r="43" spans="2:30" ht="15" customHeight="1" x14ac:dyDescent="0.55000000000000004">
      <c r="B43" s="24" t="s">
        <v>128</v>
      </c>
      <c r="C43" s="25">
        <f>C42/C$13</f>
        <v>4.3252736305590261E-2</v>
      </c>
      <c r="D43" s="25">
        <f t="shared" ref="D43" si="110">D42/D$13</f>
        <v>4.1308703060722513E-2</v>
      </c>
      <c r="E43" s="25">
        <f t="shared" ref="E43" si="111">E42/E$13</f>
        <v>5.5252496995316841E-2</v>
      </c>
      <c r="F43" s="25">
        <f t="shared" ref="F43" si="112">F42/F$13</f>
        <v>7.1014128755145567E-2</v>
      </c>
      <c r="G43" s="25">
        <f t="shared" ref="G43" si="113">G42/G$13</f>
        <v>-5.2958950004183018E-3</v>
      </c>
      <c r="H43" s="25">
        <f ca="1">H42/H$13</f>
        <v>1.1974940820429264E-2</v>
      </c>
      <c r="I43" s="25">
        <f ca="1">I42/I$13</f>
        <v>1.9910862288024075E-2</v>
      </c>
      <c r="J43" s="25">
        <f ca="1">J42/J$13</f>
        <v>2.0596435938668892E-2</v>
      </c>
      <c r="K43" s="25">
        <f ca="1">K42/K$13</f>
        <v>2.1396139967846787E-2</v>
      </c>
      <c r="L43" s="70">
        <f ca="1">L42/L$13</f>
        <v>2.2294914568254651E-2</v>
      </c>
      <c r="N43" s="38">
        <f>(D43-C43)*10000</f>
        <v>-19.440332448677488</v>
      </c>
      <c r="O43" s="39">
        <f t="shared" ref="O43" si="114">(E43-D43)*10000</f>
        <v>139.43793934594328</v>
      </c>
      <c r="P43" s="39">
        <f t="shared" ref="P43" si="115">(F43-E43)*10000</f>
        <v>157.61631759828725</v>
      </c>
      <c r="Q43" s="39">
        <f t="shared" ref="Q43" si="116">(G43-F43)*10000</f>
        <v>-763.10023755563861</v>
      </c>
      <c r="R43" s="39">
        <f ca="1">(H43-G43)*10000</f>
        <v>172.70835820847566</v>
      </c>
      <c r="S43" s="39">
        <f ca="1">(I43-H43)*10000</f>
        <v>79.35921467594811</v>
      </c>
      <c r="T43" s="39">
        <f ca="1">(J43-I43)*10000</f>
        <v>6.8557365064481761</v>
      </c>
      <c r="U43" s="39">
        <f ca="1">(K43-J43)*10000</f>
        <v>7.9970402917789452</v>
      </c>
      <c r="V43" s="40">
        <f ca="1">(L43-K43)*10000</f>
        <v>8.9877460040786374</v>
      </c>
      <c r="AB43" s="16">
        <f t="shared" ref="AB43:AB51" si="117">AB42+1</f>
        <v>2019</v>
      </c>
      <c r="AC43" s="543">
        <v>35932</v>
      </c>
      <c r="AD43" s="545">
        <v>0.12808977548997941</v>
      </c>
    </row>
    <row r="44" spans="2:30" ht="15" customHeight="1" x14ac:dyDescent="0.55000000000000004">
      <c r="AB44" s="16">
        <f t="shared" si="117"/>
        <v>2020</v>
      </c>
      <c r="AC44" s="544">
        <v>42738</v>
      </c>
      <c r="AD44" s="2">
        <v>0.11070185254258361</v>
      </c>
    </row>
    <row r="45" spans="2:30" ht="15" customHeight="1" x14ac:dyDescent="0.55000000000000004">
      <c r="B45" s="3" t="s">
        <v>612</v>
      </c>
      <c r="E45" s="11">
        <v>10198</v>
      </c>
      <c r="F45" s="11">
        <v>10296</v>
      </c>
      <c r="G45" s="11">
        <v>10189</v>
      </c>
      <c r="H45" s="11">
        <v>10347</v>
      </c>
      <c r="I45" s="11">
        <f>H45</f>
        <v>10347</v>
      </c>
      <c r="J45" s="11">
        <f t="shared" ref="J45:L45" si="118">I45</f>
        <v>10347</v>
      </c>
      <c r="K45" s="11">
        <f t="shared" si="118"/>
        <v>10347</v>
      </c>
      <c r="L45" s="11">
        <f t="shared" si="118"/>
        <v>10347</v>
      </c>
      <c r="AB45" s="16">
        <f t="shared" si="117"/>
        <v>2021</v>
      </c>
      <c r="AC45" s="544">
        <v>56052</v>
      </c>
      <c r="AD45" s="2">
        <v>0.11930475797216818</v>
      </c>
    </row>
    <row r="46" spans="2:30" ht="15" customHeight="1" x14ac:dyDescent="0.55000000000000004">
      <c r="B46" s="3" t="s">
        <v>613</v>
      </c>
      <c r="E46" s="170">
        <f t="shared" ref="E46:L46" si="119">E42/E45</f>
        <v>2.0916846440478527</v>
      </c>
      <c r="F46" s="170">
        <f t="shared" si="119"/>
        <v>3.2404817404817403</v>
      </c>
      <c r="G46" s="170">
        <f t="shared" si="119"/>
        <v>-0.2671508489547551</v>
      </c>
      <c r="H46" s="170">
        <f t="shared" ca="1" si="119"/>
        <v>0.6476918739500368</v>
      </c>
      <c r="I46" s="170">
        <f t="shared" ca="1" si="119"/>
        <v>1.1969791893240385</v>
      </c>
      <c r="J46" s="170">
        <f t="shared" ca="1" si="119"/>
        <v>1.3734086984060518</v>
      </c>
      <c r="K46" s="170">
        <f t="shared" ca="1" si="119"/>
        <v>1.578591556352068</v>
      </c>
      <c r="L46" s="170">
        <f t="shared" ca="1" si="119"/>
        <v>1.8146504739450686</v>
      </c>
      <c r="AB46" s="16">
        <f t="shared" si="117"/>
        <v>2022</v>
      </c>
      <c r="AC46" s="544">
        <v>73213</v>
      </c>
      <c r="AD46" s="2">
        <v>0.14244245432241923</v>
      </c>
    </row>
    <row r="47" spans="2:30" ht="15" customHeight="1" x14ac:dyDescent="0.55000000000000004">
      <c r="AB47" s="17">
        <f t="shared" si="117"/>
        <v>2023</v>
      </c>
      <c r="AC47" s="544">
        <v>81349.801625838809</v>
      </c>
      <c r="AD47" s="2">
        <v>0.14536069026736942</v>
      </c>
    </row>
    <row r="48" spans="2:30" ht="15" customHeight="1" x14ac:dyDescent="0.55000000000000004">
      <c r="AB48" s="17">
        <f t="shared" si="117"/>
        <v>2024</v>
      </c>
      <c r="AC48" s="544">
        <v>91417.759274984171</v>
      </c>
      <c r="AD48" s="2">
        <v>0.14696691970787959</v>
      </c>
    </row>
    <row r="49" spans="2:30" ht="15" customHeight="1" x14ac:dyDescent="0.55000000000000004">
      <c r="B49" s="6" t="s">
        <v>75</v>
      </c>
      <c r="C49" s="16">
        <v>2018</v>
      </c>
      <c r="D49" s="16">
        <f t="shared" ref="D49" si="120">C49+1</f>
        <v>2019</v>
      </c>
      <c r="E49" s="16">
        <f t="shared" ref="E49" si="121">D49+1</f>
        <v>2020</v>
      </c>
      <c r="F49" s="16">
        <f t="shared" ref="F49" si="122">E49+1</f>
        <v>2021</v>
      </c>
      <c r="G49" s="16">
        <f t="shared" ref="G49" si="123">F49+1</f>
        <v>2022</v>
      </c>
      <c r="H49" s="17">
        <f t="shared" ref="H49" si="124">G49+1</f>
        <v>2023</v>
      </c>
      <c r="I49" s="17">
        <f t="shared" ref="I49" si="125">H49+1</f>
        <v>2024</v>
      </c>
      <c r="J49" s="17">
        <f t="shared" ref="J49" si="126">I49+1</f>
        <v>2025</v>
      </c>
      <c r="K49" s="17">
        <f t="shared" ref="K49" si="127">J49+1</f>
        <v>2026</v>
      </c>
      <c r="L49" s="17">
        <f t="shared" ref="L49" si="128">K49+1</f>
        <v>2027</v>
      </c>
      <c r="AB49" s="17">
        <f t="shared" si="117"/>
        <v>2025</v>
      </c>
      <c r="AC49" s="544">
        <v>102673.4177879312</v>
      </c>
      <c r="AD49" s="2">
        <v>0.14881127980525305</v>
      </c>
    </row>
    <row r="50" spans="2:30" ht="15" customHeight="1" x14ac:dyDescent="0.55000000000000004">
      <c r="B50" s="21" t="s">
        <v>25</v>
      </c>
      <c r="C50" s="31">
        <f t="shared" ref="C50:L50" si="129">IFERROR(C6/C$13,"")</f>
        <v>0.52809731758320555</v>
      </c>
      <c r="D50" s="31">
        <f t="shared" si="129"/>
        <v>0.50351487583861521</v>
      </c>
      <c r="E50" s="31">
        <f t="shared" si="129"/>
        <v>0.51117431306726346</v>
      </c>
      <c r="F50" s="31">
        <f t="shared" si="129"/>
        <v>0.47267901460553147</v>
      </c>
      <c r="G50" s="31">
        <f t="shared" si="129"/>
        <v>0.42803750318590306</v>
      </c>
      <c r="H50" s="31">
        <f t="shared" si="129"/>
        <v>0.3933590930258456</v>
      </c>
      <c r="I50" s="31">
        <f t="shared" si="129"/>
        <v>0.36735067894445739</v>
      </c>
      <c r="J50" s="31">
        <f t="shared" si="129"/>
        <v>0.34288384305212483</v>
      </c>
      <c r="K50" s="31">
        <f t="shared" si="129"/>
        <v>0.32002148176715361</v>
      </c>
      <c r="L50" s="31">
        <f t="shared" si="129"/>
        <v>0.29878825901599848</v>
      </c>
      <c r="AB50" s="17">
        <f t="shared" si="117"/>
        <v>2026</v>
      </c>
      <c r="AC50" s="544">
        <v>115009.62536136208</v>
      </c>
      <c r="AD50" s="2">
        <v>0.15065563990262654</v>
      </c>
    </row>
    <row r="51" spans="2:30" ht="15" customHeight="1" x14ac:dyDescent="0.55000000000000004">
      <c r="B51" s="21" t="s">
        <v>21</v>
      </c>
      <c r="C51" s="31">
        <f t="shared" ref="C51:L51" si="130">IFERROR(C7/C$13,"")</f>
        <v>7.3958615122355478E-2</v>
      </c>
      <c r="D51" s="31">
        <f t="shared" si="130"/>
        <v>6.1285745859504782E-2</v>
      </c>
      <c r="E51" s="31">
        <f t="shared" si="130"/>
        <v>4.2031891085415891E-2</v>
      </c>
      <c r="F51" s="31">
        <f t="shared" si="130"/>
        <v>3.6343551387546774E-2</v>
      </c>
      <c r="G51" s="31">
        <f t="shared" si="130"/>
        <v>3.68942163456768E-2</v>
      </c>
      <c r="H51" s="31">
        <f t="shared" si="130"/>
        <v>3.6174140401654668E-2</v>
      </c>
      <c r="I51" s="31">
        <f t="shared" si="130"/>
        <v>3.4839811611712249E-2</v>
      </c>
      <c r="J51" s="31">
        <f t="shared" si="130"/>
        <v>3.3513819312068573E-2</v>
      </c>
      <c r="K51" s="31">
        <f t="shared" si="130"/>
        <v>3.2213078388771806E-2</v>
      </c>
      <c r="L51" s="31">
        <f t="shared" si="130"/>
        <v>3.0951754067237717E-2</v>
      </c>
      <c r="AB51" s="17">
        <f t="shared" si="117"/>
        <v>2027</v>
      </c>
      <c r="AC51" s="544">
        <v>128431.47393344667</v>
      </c>
      <c r="AD51" s="2">
        <v>0.1525</v>
      </c>
    </row>
    <row r="52" spans="2:30" ht="15" customHeight="1" x14ac:dyDescent="0.55000000000000004">
      <c r="B52" s="21" t="s">
        <v>24</v>
      </c>
      <c r="C52" s="31">
        <f t="shared" ref="C52:L52" si="131">IFERROR(C8/C$13,"")</f>
        <v>0.18354395049959851</v>
      </c>
      <c r="D52" s="31">
        <f t="shared" si="131"/>
        <v>0.19164628799167266</v>
      </c>
      <c r="E52" s="31">
        <f t="shared" si="131"/>
        <v>0.20841363090057607</v>
      </c>
      <c r="F52" s="31">
        <f t="shared" si="131"/>
        <v>0.22001098288287904</v>
      </c>
      <c r="G52" s="31">
        <f t="shared" si="131"/>
        <v>0.22902703007687025</v>
      </c>
      <c r="H52" s="31">
        <f t="shared" si="131"/>
        <v>0.24436281604294266</v>
      </c>
      <c r="I52" s="31">
        <f t="shared" si="131"/>
        <v>0.25246893392058395</v>
      </c>
      <c r="J52" s="31">
        <f t="shared" si="131"/>
        <v>0.25998697740387011</v>
      </c>
      <c r="K52" s="31">
        <f t="shared" si="131"/>
        <v>0.26696105004037629</v>
      </c>
      <c r="L52" s="31">
        <f t="shared" si="131"/>
        <v>0.27344722260576221</v>
      </c>
    </row>
    <row r="53" spans="2:30" ht="15" customHeight="1" x14ac:dyDescent="0.55000000000000004">
      <c r="B53" s="21" t="s">
        <v>22</v>
      </c>
      <c r="C53" s="31">
        <f t="shared" ref="C53:L53" si="132">IFERROR(C9/C$13,"")</f>
        <v>6.0832077359406066E-2</v>
      </c>
      <c r="D53" s="31">
        <f t="shared" si="132"/>
        <v>6.8479477545433154E-2</v>
      </c>
      <c r="E53" s="31">
        <f t="shared" si="132"/>
        <v>6.5292283144763569E-2</v>
      </c>
      <c r="F53" s="31">
        <f t="shared" si="132"/>
        <v>6.7617097539067986E-2</v>
      </c>
      <c r="G53" s="31">
        <f t="shared" si="132"/>
        <v>6.8519775945897046E-2</v>
      </c>
      <c r="H53" s="31">
        <f t="shared" si="132"/>
        <v>7.2343163236841992E-2</v>
      </c>
      <c r="I53" s="31">
        <f t="shared" si="132"/>
        <v>7.4850357027413703E-2</v>
      </c>
      <c r="J53" s="31">
        <f t="shared" si="132"/>
        <v>7.6928548919078299E-2</v>
      </c>
      <c r="K53" s="31">
        <f t="shared" si="132"/>
        <v>7.8566852860615294E-2</v>
      </c>
      <c r="L53" s="31">
        <f t="shared" si="132"/>
        <v>7.9763564011897339E-2</v>
      </c>
    </row>
    <row r="54" spans="2:30" ht="15" customHeight="1" x14ac:dyDescent="0.55000000000000004">
      <c r="B54" s="21" t="s">
        <v>23</v>
      </c>
      <c r="C54" s="34">
        <f t="shared" ref="C54:L54" si="133">IFERROR(C10/C$13,"")</f>
        <v>0</v>
      </c>
      <c r="D54" s="34">
        <f t="shared" si="133"/>
        <v>0</v>
      </c>
      <c r="E54" s="31">
        <f t="shared" si="133"/>
        <v>5.1216896680343155E-2</v>
      </c>
      <c r="F54" s="31">
        <f t="shared" si="133"/>
        <v>6.632299040913367E-2</v>
      </c>
      <c r="G54" s="31">
        <f t="shared" si="133"/>
        <v>7.3424607428650368E-2</v>
      </c>
      <c r="H54" s="31">
        <f t="shared" si="133"/>
        <v>8.0786397426848983E-2</v>
      </c>
      <c r="I54" s="31">
        <f t="shared" si="133"/>
        <v>8.6914649838667785E-2</v>
      </c>
      <c r="J54" s="31">
        <f t="shared" si="133"/>
        <v>9.2764756683237248E-2</v>
      </c>
      <c r="K54" s="31">
        <f t="shared" si="133"/>
        <v>9.8255866850175858E-2</v>
      </c>
      <c r="L54" s="31">
        <f t="shared" si="133"/>
        <v>0.10331506470111353</v>
      </c>
    </row>
    <row r="55" spans="2:30" ht="15" customHeight="1" x14ac:dyDescent="0.55000000000000004">
      <c r="B55" s="21" t="s">
        <v>89</v>
      </c>
      <c r="C55" s="31">
        <f t="shared" ref="C55:L55" si="134">IFERROR(C11/C$13,"")</f>
        <v>0.1101650156513674</v>
      </c>
      <c r="D55" s="31">
        <f t="shared" si="134"/>
        <v>0.12486008227518697</v>
      </c>
      <c r="E55" s="31">
        <f t="shared" si="134"/>
        <v>0.11751937502590244</v>
      </c>
      <c r="F55" s="31">
        <f t="shared" si="134"/>
        <v>0.13239482186870771</v>
      </c>
      <c r="G55" s="31">
        <f t="shared" si="134"/>
        <v>0.15583394781539467</v>
      </c>
      <c r="H55" s="31">
        <f t="shared" si="134"/>
        <v>0.16261810783672809</v>
      </c>
      <c r="I55" s="31">
        <f t="shared" si="134"/>
        <v>0.17239449119477721</v>
      </c>
      <c r="J55" s="31">
        <f t="shared" si="134"/>
        <v>0.18192652492132647</v>
      </c>
      <c r="K55" s="31">
        <f t="shared" si="134"/>
        <v>0.19118859906967611</v>
      </c>
      <c r="L55" s="31">
        <f t="shared" si="134"/>
        <v>0.20016638524419056</v>
      </c>
    </row>
    <row r="56" spans="2:30" ht="15" customHeight="1" x14ac:dyDescent="0.55000000000000004">
      <c r="B56" s="21" t="s">
        <v>111</v>
      </c>
      <c r="C56" s="31">
        <f t="shared" ref="C56:L56" si="135">IFERROR(C12/C$13,"")</f>
        <v>4.3403023784066949E-2</v>
      </c>
      <c r="D56" s="31">
        <f t="shared" si="135"/>
        <v>5.0213530489587273E-2</v>
      </c>
      <c r="E56" s="31">
        <f t="shared" si="135"/>
        <v>4.3516100957354219E-3</v>
      </c>
      <c r="F56" s="31">
        <f t="shared" si="135"/>
        <v>4.6315413071333399E-3</v>
      </c>
      <c r="G56" s="31">
        <f t="shared" si="135"/>
        <v>8.2629192016078351E-3</v>
      </c>
      <c r="H56" s="31">
        <f t="shared" si="135"/>
        <v>1.0356282029138048E-2</v>
      </c>
      <c r="I56" s="31">
        <f t="shared" si="135"/>
        <v>1.1181077462387749E-2</v>
      </c>
      <c r="J56" s="31">
        <f t="shared" si="135"/>
        <v>1.1995529708294561E-2</v>
      </c>
      <c r="K56" s="31">
        <f t="shared" si="135"/>
        <v>1.279307102323095E-2</v>
      </c>
      <c r="L56" s="31">
        <f t="shared" si="135"/>
        <v>1.3567750353800184E-2</v>
      </c>
    </row>
    <row r="57" spans="2:30" ht="15" customHeight="1" x14ac:dyDescent="0.55000000000000004">
      <c r="B57" s="18" t="s">
        <v>30</v>
      </c>
      <c r="C57" s="33">
        <f>SUM(C50:C56)</f>
        <v>0.99999999999999989</v>
      </c>
      <c r="D57" s="33">
        <f t="shared" ref="D57:L57" si="136">SUM(D50:D56)</f>
        <v>1</v>
      </c>
      <c r="E57" s="33">
        <f t="shared" si="136"/>
        <v>1</v>
      </c>
      <c r="F57" s="33">
        <f t="shared" si="136"/>
        <v>1</v>
      </c>
      <c r="G57" s="33">
        <f t="shared" si="136"/>
        <v>1.0000000000000002</v>
      </c>
      <c r="H57" s="33">
        <f t="shared" si="136"/>
        <v>1</v>
      </c>
      <c r="I57" s="33">
        <f t="shared" si="136"/>
        <v>1.0000000000000002</v>
      </c>
      <c r="J57" s="33">
        <f t="shared" si="136"/>
        <v>1</v>
      </c>
      <c r="K57" s="33">
        <f t="shared" si="136"/>
        <v>0.99999999999999978</v>
      </c>
      <c r="L57" s="33">
        <f t="shared" si="136"/>
        <v>1</v>
      </c>
    </row>
    <row r="58" spans="2:30" ht="15" customHeight="1" x14ac:dyDescent="0.55000000000000004">
      <c r="C58" s="21"/>
      <c r="D58" s="21"/>
      <c r="E58" s="21"/>
      <c r="F58" s="21"/>
      <c r="G58" s="21"/>
      <c r="H58" s="21"/>
      <c r="I58" s="21"/>
      <c r="J58" s="21"/>
      <c r="K58" s="21"/>
      <c r="L58" s="21"/>
    </row>
    <row r="59" spans="2:30" ht="15" customHeight="1" x14ac:dyDescent="0.55000000000000004">
      <c r="B59" s="3" t="s">
        <v>33</v>
      </c>
      <c r="C59" s="31">
        <f>C15/C$13</f>
        <v>0.59752583871147813</v>
      </c>
      <c r="D59" s="31">
        <f>D15/D$13</f>
        <v>0.59009988521399392</v>
      </c>
      <c r="E59" s="31">
        <f>E15/E$13</f>
        <v>0.60432208131294296</v>
      </c>
      <c r="F59" s="31">
        <f>F15/F$13</f>
        <v>0.57967485558360399</v>
      </c>
      <c r="G59" s="31">
        <f>G15/G$13</f>
        <v>0.56194660134673713</v>
      </c>
      <c r="H59" s="69">
        <f>H57-H61</f>
        <v>0.5417168173484701</v>
      </c>
      <c r="I59" s="69">
        <f t="shared" ref="I59:L59" si="137">I57-I61</f>
        <v>0.53663667883225064</v>
      </c>
      <c r="J59" s="69">
        <f t="shared" si="137"/>
        <v>0.53775778588816692</v>
      </c>
      <c r="K59" s="69">
        <f t="shared" si="137"/>
        <v>0.53887889294408331</v>
      </c>
      <c r="L59" s="69">
        <f t="shared" si="137"/>
        <v>0.54</v>
      </c>
    </row>
    <row r="60" spans="2:30" ht="15" customHeight="1" x14ac:dyDescent="0.55000000000000004">
      <c r="C60" s="21"/>
      <c r="D60" s="21"/>
      <c r="E60" s="21"/>
      <c r="F60" s="21"/>
      <c r="G60" s="21"/>
      <c r="H60" s="21"/>
      <c r="I60" s="21"/>
      <c r="J60" s="21"/>
      <c r="K60" s="21"/>
      <c r="L60" s="21"/>
    </row>
    <row r="61" spans="2:30" ht="15" customHeight="1" x14ac:dyDescent="0.55000000000000004">
      <c r="B61" s="21" t="s">
        <v>61</v>
      </c>
      <c r="C61" s="31">
        <f>IFERROR(C17/C$13,"")</f>
        <v>0.40247416128852193</v>
      </c>
      <c r="D61" s="31">
        <f>IFERROR(D17/D$13,"")</f>
        <v>0.40990011478600608</v>
      </c>
      <c r="E61" s="31">
        <f>IFERROR(E17/E$13,"")</f>
        <v>0.3956779186870571</v>
      </c>
      <c r="F61" s="31">
        <f>IFERROR(F17/F$13,"")</f>
        <v>0.42032514441639601</v>
      </c>
      <c r="G61" s="31">
        <f>IFERROR(G17/G$13,"")</f>
        <v>0.43805339865326287</v>
      </c>
      <c r="H61" s="63">
        <f>CHOOSE(DCF!$E$4,Scenarios!H17,Scenarios!H42,Scenarios!H91)</f>
        <v>0.45828318265152995</v>
      </c>
      <c r="I61" s="63">
        <f>CHOOSE(DCF!$E$4,Scenarios!I17,Scenarios!I42,Scenarios!I91)</f>
        <v>0.46336332116774959</v>
      </c>
      <c r="J61" s="63">
        <f>CHOOSE(DCF!$E$4,Scenarios!J17,Scenarios!J42,Scenarios!J91)</f>
        <v>0.46224221411183308</v>
      </c>
      <c r="K61" s="63">
        <f>CHOOSE(DCF!$E$4,Scenarios!K17,Scenarios!K42,Scenarios!K91)</f>
        <v>0.46112110705591652</v>
      </c>
      <c r="L61" s="63">
        <f>CHOOSE(DCF!$E$4,Scenarios!L17,Scenarios!L42,Scenarios!L91)</f>
        <v>0.46</v>
      </c>
    </row>
    <row r="62" spans="2:30" ht="15" customHeight="1" x14ac:dyDescent="0.55000000000000004">
      <c r="C62" s="21"/>
      <c r="D62" s="21"/>
      <c r="E62" s="21"/>
      <c r="F62" s="21"/>
      <c r="G62" s="21"/>
      <c r="H62" s="21"/>
      <c r="I62" s="21"/>
      <c r="J62" s="21"/>
      <c r="K62" s="21"/>
      <c r="L62" s="21"/>
    </row>
    <row r="63" spans="2:30" ht="15" customHeight="1" x14ac:dyDescent="0.55000000000000004">
      <c r="B63" s="3" t="s">
        <v>91</v>
      </c>
      <c r="C63" s="31">
        <f t="shared" ref="C63:G68" si="138">IFERROR(C20/C$13,"")</f>
        <v>0.14610948657503425</v>
      </c>
      <c r="D63" s="31">
        <f t="shared" si="138"/>
        <v>0.14341477673765338</v>
      </c>
      <c r="E63" s="31">
        <f t="shared" si="138"/>
        <v>0.15157072402503211</v>
      </c>
      <c r="F63" s="31">
        <f t="shared" si="138"/>
        <v>0.15987118525739535</v>
      </c>
      <c r="G63" s="31">
        <f t="shared" si="138"/>
        <v>0.16401126107283703</v>
      </c>
      <c r="H63" s="63">
        <f>CHOOSE(DCF!$E$4,Scenarios!H19,Scenarios!H44,Scenarios!H93)</f>
        <v>0.16353478098340563</v>
      </c>
      <c r="I63" s="63">
        <f>CHOOSE(DCF!$E$4,Scenarios!I19,Scenarios!I44,Scenarios!I93)</f>
        <v>0.16093093430658004</v>
      </c>
      <c r="J63" s="63">
        <f>CHOOSE(DCF!$E$4,Scenarios!J19,Scenarios!J44,Scenarios!J93)</f>
        <v>0.15895395620438668</v>
      </c>
      <c r="K63" s="63">
        <f>CHOOSE(DCF!$E$4,Scenarios!K19,Scenarios!K44,Scenarios!K93)</f>
        <v>0.15697697810219335</v>
      </c>
      <c r="L63" s="63">
        <f>CHOOSE(DCF!$E$4,Scenarios!L19,Scenarios!L44,Scenarios!L93)</f>
        <v>0.155</v>
      </c>
    </row>
    <row r="64" spans="2:30" ht="15" customHeight="1" x14ac:dyDescent="0.55000000000000004">
      <c r="B64" s="3" t="s">
        <v>115</v>
      </c>
      <c r="C64" s="31">
        <f t="shared" si="138"/>
        <v>7.1158974094732638E-2</v>
      </c>
      <c r="D64" s="31">
        <f t="shared" si="138"/>
        <v>0.12808977548997941</v>
      </c>
      <c r="E64" s="31">
        <f t="shared" si="138"/>
        <v>0.11070185254258361</v>
      </c>
      <c r="F64" s="31">
        <f t="shared" si="138"/>
        <v>0.11930475797216818</v>
      </c>
      <c r="G64" s="31">
        <f t="shared" si="138"/>
        <v>0.14244245432241923</v>
      </c>
      <c r="H64" s="63">
        <f>CHOOSE(DCF!$E$4,Scenarios!H20,Scenarios!H45,Scenarios!H94)</f>
        <v>0.14536069026736942</v>
      </c>
      <c r="I64" s="63">
        <f>CHOOSE(DCF!$E$4,Scenarios!I20,Scenarios!I45,Scenarios!I94)</f>
        <v>0.14696691970787959</v>
      </c>
      <c r="J64" s="63">
        <f>CHOOSE(DCF!$E$4,Scenarios!J20,Scenarios!J45,Scenarios!J94)</f>
        <v>0.14881127980525305</v>
      </c>
      <c r="K64" s="63">
        <f>CHOOSE(DCF!$E$4,Scenarios!K20,Scenarios!K45,Scenarios!K94)</f>
        <v>0.15065563990262654</v>
      </c>
      <c r="L64" s="63">
        <f>CHOOSE(DCF!$E$4,Scenarios!L20,Scenarios!L45,Scenarios!L94)</f>
        <v>0.1525</v>
      </c>
    </row>
    <row r="65" spans="2:22" ht="15" customHeight="1" x14ac:dyDescent="0.55000000000000004">
      <c r="B65" s="3" t="s">
        <v>116</v>
      </c>
      <c r="C65" s="31">
        <f t="shared" si="138"/>
        <v>0.11198134717695707</v>
      </c>
      <c r="D65" s="31">
        <f t="shared" si="138"/>
        <v>6.7299534439366607E-2</v>
      </c>
      <c r="E65" s="31">
        <f t="shared" si="138"/>
        <v>5.7011272742343237E-2</v>
      </c>
      <c r="F65" s="31">
        <f t="shared" si="138"/>
        <v>6.9283686161993263E-2</v>
      </c>
      <c r="G65" s="31">
        <f t="shared" si="138"/>
        <v>8.2177815219569517E-2</v>
      </c>
      <c r="H65" s="63">
        <f>CHOOSE(DCF!$E$4,Scenarios!H21,Scenarios!H46,Scenarios!H95)</f>
        <v>7.8341795544607115E-2</v>
      </c>
      <c r="I65" s="63">
        <f>CHOOSE(DCF!$E$4,Scenarios!I21,Scenarios!I46,Scenarios!I95)</f>
        <v>7.4129135036515068E-2</v>
      </c>
      <c r="J65" s="63">
        <f>CHOOSE(DCF!$E$4,Scenarios!J21,Scenarios!J46,Scenarios!J95)</f>
        <v>7.4419423357676706E-2</v>
      </c>
      <c r="K65" s="63">
        <f>CHOOSE(DCF!$E$4,Scenarios!K21,Scenarios!K46,Scenarios!K95)</f>
        <v>7.4709711678838359E-2</v>
      </c>
      <c r="L65" s="63">
        <f>CHOOSE(DCF!$E$4,Scenarios!L21,Scenarios!L46,Scenarios!L95)</f>
        <v>7.4999999999999997E-2</v>
      </c>
    </row>
    <row r="66" spans="2:22" ht="15" customHeight="1" x14ac:dyDescent="0.55000000000000004">
      <c r="B66" s="3" t="s">
        <v>117</v>
      </c>
      <c r="C66" s="31">
        <f t="shared" si="138"/>
        <v>1.8618471619283171E-2</v>
      </c>
      <c r="D66" s="31">
        <f t="shared" si="138"/>
        <v>1.8547564896870834E-2</v>
      </c>
      <c r="E66" s="31">
        <f t="shared" si="138"/>
        <v>1.7271747689502258E-2</v>
      </c>
      <c r="F66" s="31">
        <f t="shared" si="138"/>
        <v>1.8779452643767215E-2</v>
      </c>
      <c r="G66" s="31">
        <f t="shared" si="138"/>
        <v>2.3135006410717866E-2</v>
      </c>
      <c r="H66" s="63">
        <f>CHOOSE(DCF!$E$4,Scenarios!H22,Scenarios!H47,Scenarios!H96)</f>
        <v>2.1288249861282926E-2</v>
      </c>
      <c r="I66" s="63">
        <f>CHOOSE(DCF!$E$4,Scenarios!I22,Scenarios!I47,Scenarios!I96)</f>
        <v>1.7327335766450076E-2</v>
      </c>
      <c r="J66" s="63">
        <f>CHOOSE(DCF!$E$4,Scenarios!J22,Scenarios!J47,Scenarios!J96)</f>
        <v>1.571822384430005E-2</v>
      </c>
      <c r="K66" s="63">
        <f>CHOOSE(DCF!$E$4,Scenarios!K22,Scenarios!K47,Scenarios!K96)</f>
        <v>1.4109111922150025E-2</v>
      </c>
      <c r="L66" s="63">
        <f>CHOOSE(DCF!$E$4,Scenarios!L22,Scenarios!L47,Scenarios!L96)</f>
        <v>1.2500000000000001E-2</v>
      </c>
    </row>
    <row r="67" spans="2:22" ht="15" customHeight="1" x14ac:dyDescent="0.55000000000000004">
      <c r="B67" s="3" t="s">
        <v>118</v>
      </c>
      <c r="C67" s="31">
        <f t="shared" si="138"/>
        <v>1.2752966030735936E-3</v>
      </c>
      <c r="D67" s="31">
        <f t="shared" si="138"/>
        <v>7.1652134235461028E-4</v>
      </c>
      <c r="E67" s="31">
        <f t="shared" si="138"/>
        <v>-1.9167806374072692E-4</v>
      </c>
      <c r="F67" s="31">
        <f t="shared" si="138"/>
        <v>1.3196487180251244E-4</v>
      </c>
      <c r="G67" s="31">
        <f t="shared" si="138"/>
        <v>2.4572797154769712E-3</v>
      </c>
      <c r="H67" s="63">
        <f>CHOOSE(DCF!$E$4,Scenarios!H23,Scenarios!H48,Scenarios!H97)</f>
        <v>1.8443168235474075E-3</v>
      </c>
      <c r="I67" s="63">
        <f>CHOOSE(DCF!$E$4,Scenarios!I23,Scenarios!I48,Scenarios!I97)</f>
        <v>5.1726642335498544E-3</v>
      </c>
      <c r="J67" s="63">
        <f>CHOOSE(DCF!$E$4,Scenarios!J23,Scenarios!J48,Scenarios!J97)</f>
        <v>3.7817761556999032E-3</v>
      </c>
      <c r="K67" s="63">
        <f>CHOOSE(DCF!$E$4,Scenarios!K23,Scenarios!K48,Scenarios!K97)</f>
        <v>2.3908880778499516E-3</v>
      </c>
      <c r="L67" s="63">
        <f>CHOOSE(DCF!$E$4,Scenarios!L23,Scenarios!L48,Scenarios!L97)</f>
        <v>1E-3</v>
      </c>
    </row>
    <row r="68" spans="2:22" ht="15" customHeight="1" x14ac:dyDescent="0.55000000000000004">
      <c r="B68" s="23" t="s">
        <v>119</v>
      </c>
      <c r="C68" s="43">
        <f t="shared" si="138"/>
        <v>0.3491435760690807</v>
      </c>
      <c r="D68" s="43">
        <f t="shared" si="138"/>
        <v>0.35806817290622484</v>
      </c>
      <c r="E68" s="43">
        <f t="shared" si="138"/>
        <v>0.33636391893572049</v>
      </c>
      <c r="F68" s="43">
        <f t="shared" si="138"/>
        <v>0.36737104690712652</v>
      </c>
      <c r="G68" s="43">
        <f t="shared" si="138"/>
        <v>0.4142238167410206</v>
      </c>
      <c r="H68" s="43">
        <f>IFERROR(H25/H$13,"")</f>
        <v>0.41036983348021244</v>
      </c>
      <c r="I68" s="43">
        <f>IFERROR(I25/I$13,"")</f>
        <v>0.40452698905097462</v>
      </c>
      <c r="J68" s="43">
        <f>IFERROR(J25/J$13,"")</f>
        <v>0.40168465936731634</v>
      </c>
      <c r="K68" s="43">
        <f>IFERROR(K25/K$13,"")</f>
        <v>0.39884232968365818</v>
      </c>
      <c r="L68" s="43">
        <f>IFERROR(L25/L$13,"")</f>
        <v>0.39599999999999996</v>
      </c>
    </row>
    <row r="69" spans="2:22" ht="15" customHeight="1" x14ac:dyDescent="0.55000000000000004">
      <c r="E69" s="11"/>
      <c r="F69" s="11"/>
      <c r="G69" s="11"/>
      <c r="N69" s="21"/>
      <c r="O69" s="9"/>
      <c r="P69" s="9"/>
      <c r="Q69" s="9"/>
      <c r="R69" s="21"/>
      <c r="S69" s="21"/>
      <c r="T69" s="21"/>
      <c r="U69" s="21"/>
      <c r="V69" s="21"/>
    </row>
    <row r="70" spans="2:22" ht="15" customHeight="1" x14ac:dyDescent="0.55000000000000004">
      <c r="B70" s="3" t="s">
        <v>76</v>
      </c>
      <c r="C70" s="31">
        <f t="shared" ref="C70:L70" si="139">IFERROR(C27/C$13,"")</f>
        <v>0.11920373399975095</v>
      </c>
      <c r="D70" s="31">
        <f t="shared" si="139"/>
        <v>0.1295049942606997</v>
      </c>
      <c r="E70" s="31">
        <f t="shared" si="139"/>
        <v>0.12472025363670272</v>
      </c>
      <c r="F70" s="31">
        <f t="shared" si="139"/>
        <v>0.1259519562728012</v>
      </c>
      <c r="G70" s="31">
        <f t="shared" si="139"/>
        <v>0.10449567398143518</v>
      </c>
      <c r="H70" s="31">
        <f>IFERROR(H27/H$13,"")</f>
        <v>0.13071334917131738</v>
      </c>
      <c r="I70" s="31">
        <f t="shared" si="139"/>
        <v>0.14077383211677474</v>
      </c>
      <c r="J70" s="31">
        <f t="shared" si="139"/>
        <v>0.14140755474451674</v>
      </c>
      <c r="K70" s="31">
        <f t="shared" si="139"/>
        <v>0.14181627737225855</v>
      </c>
      <c r="L70" s="31">
        <f t="shared" si="139"/>
        <v>0.14199999999999999</v>
      </c>
      <c r="M70"/>
      <c r="N70"/>
      <c r="O70"/>
      <c r="P70"/>
      <c r="Q70"/>
      <c r="R70"/>
      <c r="S70"/>
      <c r="T70"/>
      <c r="U70"/>
      <c r="V70"/>
    </row>
    <row r="71" spans="2:22" ht="15" customHeight="1" x14ac:dyDescent="0.55000000000000004">
      <c r="B71" s="3" t="s">
        <v>134</v>
      </c>
      <c r="C71" s="31">
        <f t="shared" ref="C71:L71" si="140">IFERROR(C28/C$13,"")</f>
        <v>6.5873148780309768E-2</v>
      </c>
      <c r="D71" s="31">
        <f t="shared" si="140"/>
        <v>7.7673052380918428E-2</v>
      </c>
      <c r="E71" s="31">
        <f t="shared" si="140"/>
        <v>6.5406253885366153E-2</v>
      </c>
      <c r="F71" s="31">
        <f t="shared" si="140"/>
        <v>7.2997858763531723E-2</v>
      </c>
      <c r="G71" s="31">
        <f t="shared" si="140"/>
        <v>8.0666092069192952E-2</v>
      </c>
      <c r="H71" s="31">
        <f t="shared" si="140"/>
        <v>8.2799999999999985E-2</v>
      </c>
      <c r="I71" s="31">
        <f t="shared" si="140"/>
        <v>8.1937499999999983E-2</v>
      </c>
      <c r="J71" s="31">
        <f t="shared" si="140"/>
        <v>8.0850000000000005E-2</v>
      </c>
      <c r="K71" s="31">
        <f t="shared" si="140"/>
        <v>7.9537500000000011E-2</v>
      </c>
      <c r="L71" s="31">
        <f t="shared" si="140"/>
        <v>7.8000000000000014E-2</v>
      </c>
      <c r="M71"/>
      <c r="N71"/>
      <c r="O71"/>
      <c r="P71"/>
      <c r="Q71"/>
      <c r="R71"/>
      <c r="S71"/>
      <c r="T71"/>
      <c r="U71"/>
      <c r="V71"/>
    </row>
    <row r="72" spans="2:22" ht="15" customHeight="1" x14ac:dyDescent="0.55000000000000004">
      <c r="E72" s="11"/>
      <c r="F72" s="11"/>
      <c r="G72" s="11"/>
      <c r="N72" s="21"/>
      <c r="O72" s="9"/>
      <c r="P72" s="9"/>
      <c r="Q72" s="9"/>
      <c r="R72" s="21"/>
      <c r="S72" s="21"/>
      <c r="T72" s="21"/>
      <c r="U72" s="21"/>
      <c r="V72" s="21"/>
    </row>
    <row r="73" spans="2:22" ht="15" customHeight="1" x14ac:dyDescent="0.55000000000000004">
      <c r="C73" s="21"/>
      <c r="D73" s="9"/>
      <c r="E73" s="9"/>
      <c r="F73" s="9"/>
      <c r="G73" s="21"/>
      <c r="H73" s="21"/>
      <c r="I73" s="21"/>
      <c r="J73" s="21"/>
      <c r="K73" s="21"/>
      <c r="L73" s="21"/>
    </row>
    <row r="74" spans="2:22" ht="15" customHeight="1" x14ac:dyDescent="0.55000000000000004">
      <c r="B74" s="3" t="s">
        <v>120</v>
      </c>
      <c r="C74" s="31">
        <f t="shared" ref="C74:L74" si="141">C31/C$13</f>
        <v>5.3330585219441187E-2</v>
      </c>
      <c r="D74" s="31">
        <f t="shared" si="141"/>
        <v>5.1831941879781268E-2</v>
      </c>
      <c r="E74" s="31">
        <f t="shared" si="141"/>
        <v>5.9313999751336569E-2</v>
      </c>
      <c r="F74" s="31">
        <f t="shared" si="141"/>
        <v>5.2954097509269465E-2</v>
      </c>
      <c r="G74" s="31">
        <f t="shared" si="141"/>
        <v>2.3829581912242232E-2</v>
      </c>
      <c r="H74" s="31">
        <f>H31/H$13</f>
        <v>4.7913349171317406E-2</v>
      </c>
      <c r="I74" s="31">
        <f t="shared" si="141"/>
        <v>5.8836332116774775E-2</v>
      </c>
      <c r="J74" s="31">
        <f t="shared" si="141"/>
        <v>6.0557554744516733E-2</v>
      </c>
      <c r="K74" s="31">
        <f t="shared" si="141"/>
        <v>6.2278777372258537E-2</v>
      </c>
      <c r="L74" s="31">
        <f t="shared" si="141"/>
        <v>6.3999999999999974E-2</v>
      </c>
    </row>
    <row r="75" spans="2:22" ht="15" customHeight="1" x14ac:dyDescent="0.55000000000000004">
      <c r="C75" s="21"/>
      <c r="D75" s="21"/>
      <c r="E75" s="21"/>
      <c r="F75" s="21"/>
      <c r="G75" s="21"/>
      <c r="H75" s="21"/>
      <c r="I75" s="21"/>
      <c r="J75" s="21"/>
      <c r="K75" s="21"/>
      <c r="L75" s="21"/>
    </row>
    <row r="76" spans="2:22" ht="15" customHeight="1" x14ac:dyDescent="0.55000000000000004">
      <c r="B76" s="3" t="s">
        <v>122</v>
      </c>
      <c r="C76" s="31">
        <f>C34/C$13</f>
        <v>1.8936222288062452E-3</v>
      </c>
      <c r="D76" s="31">
        <f>D34/D$13</f>
        <v>2.9694640705541812E-3</v>
      </c>
      <c r="E76" s="31">
        <f>E34/E$13</f>
        <v>1.4375854780554519E-3</v>
      </c>
      <c r="F76" s="31">
        <f>F34/F$13</f>
        <v>9.5355262205686412E-4</v>
      </c>
      <c r="G76" s="31">
        <f>G34/G$13</f>
        <v>1.9241881540829171E-3</v>
      </c>
      <c r="H76" s="63">
        <f>CHOOSE(DCF!$E$4,Scenarios!H25,Scenarios!H50,Scenarios!H99)</f>
        <v>2E-3</v>
      </c>
      <c r="I76" s="63">
        <f>CHOOSE(DCF!$E$4,Scenarios!I25,Scenarios!I50,Scenarios!I99)</f>
        <v>2E-3</v>
      </c>
      <c r="J76" s="63">
        <f>CHOOSE(DCF!$E$4,Scenarios!J25,Scenarios!J50,Scenarios!J99)</f>
        <v>2E-3</v>
      </c>
      <c r="K76" s="63">
        <f>CHOOSE(DCF!$E$4,Scenarios!K25,Scenarios!K50,Scenarios!K99)</f>
        <v>2E-3</v>
      </c>
      <c r="L76" s="63">
        <f>CHOOSE(DCF!$E$4,Scenarios!L25,Scenarios!L50,Scenarios!L99)</f>
        <v>2E-3</v>
      </c>
      <c r="N76" s="267"/>
    </row>
    <row r="77" spans="2:22" ht="15" customHeight="1" x14ac:dyDescent="0.55000000000000004">
      <c r="B77" s="3" t="s">
        <v>121</v>
      </c>
      <c r="C77" s="31">
        <f>C35/AMZN_BS!C30</f>
        <v>-6.0353266652479254E-2</v>
      </c>
      <c r="D77" s="31">
        <f>D35/AMZN_BS!D30</f>
        <v>-6.8335184077902109E-2</v>
      </c>
      <c r="E77" s="31">
        <f>E35/AMZN_BS!E30</f>
        <v>-5.1766406839326123E-2</v>
      </c>
      <c r="F77" s="31">
        <f>F35/AMZN_BS!F30</f>
        <v>-3.7112259970457903E-2</v>
      </c>
      <c r="G77" s="31">
        <f>G35/AMZN_BS!G30</f>
        <v>-3.524944154877141E-2</v>
      </c>
      <c r="H77" s="63">
        <f>CHOOSE(DCF!$E$4,Scenarios!H26,Scenarios!H51,Scenarios!H100)</f>
        <v>-3.5000000000000003E-2</v>
      </c>
      <c r="I77" s="63">
        <f>CHOOSE(DCF!$E$4,Scenarios!I26,Scenarios!I51,Scenarios!I100)</f>
        <v>-3.5000000000000003E-2</v>
      </c>
      <c r="J77" s="63">
        <f>CHOOSE(DCF!$E$4,Scenarios!J26,Scenarios!J51,Scenarios!J100)</f>
        <v>-3.5000000000000003E-2</v>
      </c>
      <c r="K77" s="63">
        <f>CHOOSE(DCF!$E$4,Scenarios!K26,Scenarios!K51,Scenarios!K100)</f>
        <v>-3.5000000000000003E-2</v>
      </c>
      <c r="L77" s="63">
        <f>CHOOSE(DCF!$E$4,Scenarios!L26,Scenarios!L51,Scenarios!L100)</f>
        <v>-3.5000000000000003E-2</v>
      </c>
      <c r="N77" s="267"/>
    </row>
    <row r="78" spans="2:22" ht="15" customHeight="1" x14ac:dyDescent="0.55000000000000004">
      <c r="B78" s="3" t="s">
        <v>123</v>
      </c>
      <c r="C78" s="31">
        <f t="shared" ref="C78:G79" si="142">C36/C$13</f>
        <v>-7.8149488807876784E-4</v>
      </c>
      <c r="D78" s="31">
        <f t="shared" si="142"/>
        <v>7.2008612515239451E-4</v>
      </c>
      <c r="E78" s="31">
        <f t="shared" si="142"/>
        <v>6.141468772017075E-3</v>
      </c>
      <c r="F78" s="31">
        <f t="shared" si="142"/>
        <v>3.1145838211067169E-2</v>
      </c>
      <c r="G78" s="31">
        <f t="shared" si="142"/>
        <v>-3.2697579491928724E-2</v>
      </c>
      <c r="H78" s="63">
        <f>CHOOSE(DCF!$E$4,Scenarios!H27,Scenarios!H52,Scenarios!H101)</f>
        <v>-0.03</v>
      </c>
      <c r="I78" s="63">
        <f>CHOOSE(DCF!$E$4,Scenarios!I27,Scenarios!I52,Scenarios!I101)</f>
        <v>-0.03</v>
      </c>
      <c r="J78" s="63">
        <f>CHOOSE(DCF!$E$4,Scenarios!J27,Scenarios!J52,Scenarios!J101)</f>
        <v>-0.03</v>
      </c>
      <c r="K78" s="63">
        <f>CHOOSE(DCF!$E$4,Scenarios!K27,Scenarios!K52,Scenarios!K101)</f>
        <v>-0.03</v>
      </c>
      <c r="L78" s="63">
        <f>CHOOSE(DCF!$E$4,Scenarios!L27,Scenarios!L52,Scenarios!L101)</f>
        <v>-0.03</v>
      </c>
    </row>
    <row r="79" spans="2:22" ht="15" customHeight="1" x14ac:dyDescent="0.55000000000000004">
      <c r="B79" s="23" t="s">
        <v>129</v>
      </c>
      <c r="C79" s="41">
        <f t="shared" si="142"/>
        <v>4.8353922717884641E-2</v>
      </c>
      <c r="D79" s="41">
        <f t="shared" si="142"/>
        <v>4.9817839599033228E-2</v>
      </c>
      <c r="E79" s="41">
        <f t="shared" si="142"/>
        <v>6.2626921961125612E-2</v>
      </c>
      <c r="F79" s="41">
        <f t="shared" si="142"/>
        <v>8.1203093937704071E-2</v>
      </c>
      <c r="G79" s="41">
        <f t="shared" si="142"/>
        <v>-1.1549020103777752E-2</v>
      </c>
      <c r="H79" s="41">
        <f ca="1">H37/H$13</f>
        <v>1.5158152937252232E-2</v>
      </c>
      <c r="I79" s="41">
        <f ca="1">I37/I$13</f>
        <v>2.5203623149397565E-2</v>
      </c>
      <c r="J79" s="41">
        <f ca="1">J37/J$13</f>
        <v>2.6282408361184249E-2</v>
      </c>
      <c r="K79" s="41">
        <f ca="1">K37/K$13</f>
        <v>2.7505662406557111E-2</v>
      </c>
      <c r="L79" s="41">
        <f ca="1">L37/L$13</f>
        <v>2.8854322238297026E-2</v>
      </c>
    </row>
    <row r="80" spans="2:22" ht="15" customHeight="1" x14ac:dyDescent="0.55000000000000004">
      <c r="C80" s="21"/>
      <c r="D80" s="21"/>
      <c r="E80" s="21"/>
      <c r="F80" s="21"/>
      <c r="G80" s="21"/>
      <c r="H80" s="21"/>
      <c r="I80" s="21"/>
      <c r="J80" s="21"/>
      <c r="K80" s="21"/>
      <c r="L80" s="21"/>
    </row>
    <row r="81" spans="2:12" ht="15" customHeight="1" x14ac:dyDescent="0.55000000000000004">
      <c r="B81" s="3" t="s">
        <v>125</v>
      </c>
      <c r="C81" s="31">
        <f t="shared" ref="C81:G81" si="143">C39/C$13</f>
        <v>-5.1355378359461889E-3</v>
      </c>
      <c r="D81" s="31">
        <f t="shared" si="143"/>
        <v>-8.4592295791417436E-3</v>
      </c>
      <c r="E81" s="31">
        <f t="shared" si="143"/>
        <v>-7.4158688714824486E-3</v>
      </c>
      <c r="F81" s="31">
        <f t="shared" si="143"/>
        <v>-1.0197479045255437E-2</v>
      </c>
      <c r="G81" s="31">
        <f t="shared" si="143"/>
        <v>6.2589618722798225E-3</v>
      </c>
      <c r="H81" s="31">
        <f ca="1">H39/H$13</f>
        <v>-3.1832121168229683E-3</v>
      </c>
      <c r="I81" s="31">
        <f ca="1">I39/I$13</f>
        <v>-5.2927608613734887E-3</v>
      </c>
      <c r="J81" s="31">
        <f ca="1">J39/J$13</f>
        <v>-5.5193057558486922E-3</v>
      </c>
      <c r="K81" s="31">
        <f ca="1">K39/K$13</f>
        <v>-5.7761891053769929E-3</v>
      </c>
      <c r="L81" s="31">
        <f ca="1">L39/L$13</f>
        <v>-6.0594076700423759E-3</v>
      </c>
    </row>
    <row r="82" spans="2:12" ht="15" customHeight="1" x14ac:dyDescent="0.55000000000000004">
      <c r="B82" s="3" t="s">
        <v>126</v>
      </c>
      <c r="C82" s="31">
        <f>C40/C$13</f>
        <v>3.4351423651813971E-5</v>
      </c>
      <c r="D82" s="31">
        <f>D40/D$13</f>
        <v>-4.9906959168977831E-5</v>
      </c>
      <c r="E82" s="31">
        <f>E40/E$13</f>
        <v>4.1443905673670685E-5</v>
      </c>
      <c r="F82" s="31">
        <f>F40/F$13</f>
        <v>8.5138626969362858E-6</v>
      </c>
      <c r="G82" s="31">
        <f>G40/G$13</f>
        <v>-5.8367689203728526E-6</v>
      </c>
      <c r="H82" s="63">
        <f>CHOOSE(DCF!$E$4,Scenarios!H29,Scenarios!H54,Scenarios!H103)</f>
        <v>0</v>
      </c>
      <c r="I82" s="63">
        <f>CHOOSE(DCF!$E$4,Scenarios!I29,Scenarios!I54,Scenarios!I103)</f>
        <v>0</v>
      </c>
      <c r="J82" s="63">
        <f>CHOOSE(DCF!$E$4,Scenarios!J29,Scenarios!J54,Scenarios!J103)</f>
        <v>-1.6666666666666666E-4</v>
      </c>
      <c r="K82" s="63">
        <f>CHOOSE(DCF!$E$4,Scenarios!K29,Scenarios!K54,Scenarios!K103)</f>
        <v>-3.3333333333333332E-4</v>
      </c>
      <c r="L82" s="63">
        <f>CHOOSE(DCF!$E$4,Scenarios!L29,Scenarios!L54,Scenarios!L103)</f>
        <v>-5.0000000000000001E-4</v>
      </c>
    </row>
    <row r="83" spans="2:12" ht="15" customHeight="1" x14ac:dyDescent="0.55000000000000004">
      <c r="C83" s="21"/>
      <c r="D83" s="21"/>
      <c r="E83" s="21"/>
      <c r="F83" s="21"/>
      <c r="G83" s="21"/>
      <c r="H83" s="21"/>
      <c r="I83" s="21"/>
      <c r="J83" s="21"/>
      <c r="K83" s="21"/>
      <c r="L83" s="21"/>
    </row>
    <row r="84" spans="2:12" ht="15" customHeight="1" x14ac:dyDescent="0.55000000000000004">
      <c r="B84" s="3" t="s">
        <v>130</v>
      </c>
      <c r="C84" s="31">
        <f>C39/C$37</f>
        <v>-0.106207264008525</v>
      </c>
      <c r="D84" s="31">
        <f>D39/D$37</f>
        <v>-0.16980322003577816</v>
      </c>
      <c r="E84" s="31">
        <f>E39/E$37</f>
        <v>-0.1184134337000579</v>
      </c>
      <c r="F84" s="31">
        <f>F39/F$37</f>
        <v>-0.12557993237398757</v>
      </c>
      <c r="G84" s="31">
        <f>G39/G$37</f>
        <v>-0.54194743935309975</v>
      </c>
      <c r="H84" s="45">
        <v>-0.21</v>
      </c>
      <c r="I84" s="71">
        <f>H84</f>
        <v>-0.21</v>
      </c>
      <c r="J84" s="71">
        <f t="shared" ref="J84:L84" si="144">I84</f>
        <v>-0.21</v>
      </c>
      <c r="K84" s="71">
        <f t="shared" si="144"/>
        <v>-0.21</v>
      </c>
      <c r="L84" s="71">
        <f t="shared" si="144"/>
        <v>-0.21</v>
      </c>
    </row>
    <row r="85" spans="2:12" ht="15" customHeight="1" x14ac:dyDescent="0.55000000000000004">
      <c r="C85" s="31"/>
      <c r="D85" s="31"/>
      <c r="E85" s="31"/>
      <c r="F85" s="31"/>
      <c r="G85" s="31"/>
      <c r="H85" s="45"/>
      <c r="I85" s="71"/>
      <c r="J85" s="71"/>
      <c r="K85" s="71"/>
      <c r="L85" s="71"/>
    </row>
    <row r="86" spans="2:12" ht="15" customHeight="1" x14ac:dyDescent="0.55000000000000004">
      <c r="B86" s="3" t="s">
        <v>128</v>
      </c>
      <c r="C86" s="31">
        <f t="shared" ref="C86:G86" si="145">C42/C$13</f>
        <v>4.3252736305590261E-2</v>
      </c>
      <c r="D86" s="31">
        <f t="shared" si="145"/>
        <v>4.1308703060722513E-2</v>
      </c>
      <c r="E86" s="31">
        <f t="shared" si="145"/>
        <v>5.5252496995316841E-2</v>
      </c>
      <c r="F86" s="31">
        <f t="shared" si="145"/>
        <v>7.1014128755145567E-2</v>
      </c>
      <c r="G86" s="31">
        <f t="shared" si="145"/>
        <v>-5.2958950004183018E-3</v>
      </c>
      <c r="H86" s="31">
        <f ca="1">H42/H$13</f>
        <v>1.1974940820429264E-2</v>
      </c>
      <c r="I86" s="31">
        <f ca="1">I42/I$13</f>
        <v>1.9910862288024075E-2</v>
      </c>
      <c r="J86" s="31">
        <f ca="1">J42/J$13</f>
        <v>2.0596435938668892E-2</v>
      </c>
      <c r="K86" s="31">
        <f ca="1">K42/K$13</f>
        <v>2.1396139967846787E-2</v>
      </c>
      <c r="L86" s="31">
        <f ca="1">L42/L$13</f>
        <v>2.2294914568254651E-2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FBAB-8E0E-46C1-9C94-96A40804F63F}">
  <dimension ref="A2:AC73"/>
  <sheetViews>
    <sheetView showGridLines="0" zoomScaleNormal="100" workbookViewId="0">
      <pane xSplit="2" ySplit="5" topLeftCell="C6" activePane="bottomRight" state="frozen"/>
      <selection activeCell="S6" sqref="S6"/>
      <selection pane="topRight" activeCell="S6" sqref="S6"/>
      <selection pane="bottomLeft" activeCell="S6" sqref="S6"/>
      <selection pane="bottomRight" activeCell="F69" sqref="F69"/>
    </sheetView>
  </sheetViews>
  <sheetFormatPr defaultColWidth="9.59765625" defaultRowHeight="15" x14ac:dyDescent="0.55000000000000004"/>
  <cols>
    <col min="1" max="1" width="3.59765625" style="3" customWidth="1"/>
    <col min="2" max="2" width="43.73046875" style="3" bestFit="1" customWidth="1"/>
    <col min="3" max="3" width="9.6640625" style="3" customWidth="1"/>
    <col min="4" max="12" width="9.6640625" style="3" bestFit="1" customWidth="1"/>
    <col min="17" max="17" width="41.1328125" bestFit="1" customWidth="1"/>
    <col min="18" max="18" width="12" bestFit="1" customWidth="1"/>
    <col min="21" max="21" width="10.33203125" bestFit="1" customWidth="1"/>
    <col min="30" max="16384" width="9.59765625" style="3"/>
  </cols>
  <sheetData>
    <row r="2" spans="1:29" s="4" customFormat="1" ht="15" customHeight="1" x14ac:dyDescent="0.55000000000000004">
      <c r="B2" s="5" t="s">
        <v>141</v>
      </c>
      <c r="M2"/>
      <c r="N2"/>
      <c r="O2"/>
      <c r="P2"/>
      <c r="Q2"/>
      <c r="R2"/>
      <c r="S2"/>
      <c r="T2"/>
      <c r="U2"/>
      <c r="V2"/>
      <c r="W2"/>
      <c r="X2"/>
      <c r="Y2"/>
      <c r="Z2"/>
      <c r="AA2"/>
      <c r="AB2"/>
      <c r="AC2"/>
    </row>
    <row r="3" spans="1:29" ht="15" customHeight="1" x14ac:dyDescent="0.55000000000000004">
      <c r="B3" s="73" t="s">
        <v>139</v>
      </c>
      <c r="C3" s="73" t="str">
        <f>DCF!D4</f>
        <v>Street Case</v>
      </c>
      <c r="D3" s="74"/>
      <c r="E3" s="73">
        <f>VLOOKUP($C$3,Scenarios!$Q$1:$R$5,2,0)</f>
        <v>1</v>
      </c>
    </row>
    <row r="4" spans="1:29" ht="15" customHeight="1" x14ac:dyDescent="0.55000000000000004">
      <c r="H4" s="3">
        <v>1</v>
      </c>
      <c r="I4" s="3">
        <f>H4+1</f>
        <v>2</v>
      </c>
      <c r="J4" s="3">
        <f t="shared" ref="J4:L4" si="0">I4+1</f>
        <v>3</v>
      </c>
      <c r="K4" s="3">
        <f t="shared" si="0"/>
        <v>4</v>
      </c>
      <c r="L4" s="3">
        <f t="shared" si="0"/>
        <v>5</v>
      </c>
    </row>
    <row r="5" spans="1:29" s="8" customFormat="1" ht="15" customHeight="1" x14ac:dyDescent="0.55000000000000004">
      <c r="A5" s="8" t="s">
        <v>9</v>
      </c>
      <c r="B5" s="6" t="s">
        <v>28</v>
      </c>
      <c r="C5" s="16">
        <v>2018</v>
      </c>
      <c r="D5" s="16">
        <f t="shared" ref="D5:L5" si="1">C5+1</f>
        <v>2019</v>
      </c>
      <c r="E5" s="16">
        <f t="shared" si="1"/>
        <v>2020</v>
      </c>
      <c r="F5" s="16">
        <f t="shared" si="1"/>
        <v>2021</v>
      </c>
      <c r="G5" s="16">
        <f t="shared" si="1"/>
        <v>2022</v>
      </c>
      <c r="H5" s="17">
        <f t="shared" si="1"/>
        <v>2023</v>
      </c>
      <c r="I5" s="17">
        <f t="shared" si="1"/>
        <v>2024</v>
      </c>
      <c r="J5" s="17">
        <f t="shared" si="1"/>
        <v>2025</v>
      </c>
      <c r="K5" s="17">
        <f t="shared" si="1"/>
        <v>2026</v>
      </c>
      <c r="L5" s="17">
        <f t="shared" si="1"/>
        <v>2027</v>
      </c>
      <c r="M5"/>
      <c r="N5"/>
      <c r="O5"/>
      <c r="P5"/>
      <c r="AC5"/>
    </row>
    <row r="6" spans="1:29" s="8" customFormat="1" ht="15" customHeight="1" x14ac:dyDescent="0.55000000000000004">
      <c r="B6" s="81" t="s">
        <v>142</v>
      </c>
      <c r="C6" s="76"/>
      <c r="D6" s="76"/>
      <c r="E6" s="76"/>
      <c r="F6" s="76"/>
      <c r="G6" s="76"/>
      <c r="H6" s="14"/>
      <c r="I6" s="14"/>
      <c r="J6" s="14"/>
      <c r="K6" s="14"/>
      <c r="L6" s="14"/>
      <c r="M6"/>
      <c r="N6"/>
      <c r="O6"/>
      <c r="P6"/>
      <c r="AC6"/>
    </row>
    <row r="7" spans="1:29" ht="15" customHeight="1" x14ac:dyDescent="0.55000000000000004">
      <c r="B7" s="21" t="s">
        <v>150</v>
      </c>
      <c r="C7" s="76"/>
      <c r="D7" s="76"/>
      <c r="E7" s="76"/>
      <c r="F7" s="76"/>
      <c r="G7" s="76"/>
      <c r="H7" s="14"/>
      <c r="I7" s="14"/>
      <c r="J7" s="14"/>
      <c r="K7" s="14"/>
      <c r="L7" s="14"/>
    </row>
    <row r="8" spans="1:29" ht="15" customHeight="1" x14ac:dyDescent="0.55000000000000004">
      <c r="B8" s="82" t="s">
        <v>143</v>
      </c>
      <c r="C8" s="76">
        <v>31750</v>
      </c>
      <c r="D8" s="76">
        <v>36092</v>
      </c>
      <c r="E8" s="76">
        <v>42122</v>
      </c>
      <c r="F8" s="76">
        <v>36220</v>
      </c>
      <c r="G8" s="76">
        <v>53888</v>
      </c>
      <c r="H8" s="14">
        <f>(AMZN_IS!H13/365)*AMZN_BS!H56</f>
        <v>61330.520219178077</v>
      </c>
      <c r="I8" s="14">
        <f>(AMZN_IS!I13/365)*AMZN_BS!I56</f>
        <v>68167.616209100728</v>
      </c>
      <c r="J8" s="14">
        <f>(AMZN_IS!J13/365)*AMZN_BS!J56</f>
        <v>75611.750776838133</v>
      </c>
      <c r="K8" s="14">
        <f>(AMZN_IS!K13/365)*AMZN_BS!K56</f>
        <v>83659.626471969415</v>
      </c>
      <c r="L8" s="14">
        <f>(AMZN_IS!L13/365)*AMZN_BS!L56</f>
        <v>92292.997212447648</v>
      </c>
    </row>
    <row r="9" spans="1:29" ht="15" customHeight="1" x14ac:dyDescent="0.55000000000000004">
      <c r="B9" s="82" t="s">
        <v>92</v>
      </c>
      <c r="C9" s="76">
        <v>9500</v>
      </c>
      <c r="D9" s="76">
        <v>18929</v>
      </c>
      <c r="E9" s="76">
        <v>42274</v>
      </c>
      <c r="F9" s="76">
        <v>59829</v>
      </c>
      <c r="G9" s="76">
        <v>16138</v>
      </c>
      <c r="H9" s="14">
        <f>(AMZN_IS!H13/365)*AMZN_BS!H57</f>
        <v>18399.156065753425</v>
      </c>
      <c r="I9" s="14">
        <f>(AMZN_IS!I13/365)*AMZN_BS!I57</f>
        <v>19598.189660116459</v>
      </c>
      <c r="J9" s="14">
        <f>(AMZN_IS!J13/365)*AMZN_BS!J57</f>
        <v>20793.231463630484</v>
      </c>
      <c r="K9" s="14">
        <f>(AMZN_IS!K13/365)*AMZN_BS!K57</f>
        <v>21960.651948891973</v>
      </c>
      <c r="L9" s="14">
        <f>(AMZN_IS!L13/365)*AMZN_BS!L57</f>
        <v>23073.249303111912</v>
      </c>
    </row>
    <row r="10" spans="1:29" ht="15" customHeight="1" x14ac:dyDescent="0.55000000000000004">
      <c r="B10" s="82" t="s">
        <v>6</v>
      </c>
      <c r="C10" s="76">
        <v>17174</v>
      </c>
      <c r="D10" s="76">
        <v>20497</v>
      </c>
      <c r="E10" s="76">
        <v>23795</v>
      </c>
      <c r="F10" s="76">
        <v>32640</v>
      </c>
      <c r="G10" s="76">
        <v>34405</v>
      </c>
      <c r="H10" s="14">
        <f>(AMZN_IS!H15/365)*AMZN_BS!H58</f>
        <v>37376.745996891543</v>
      </c>
      <c r="I10" s="14">
        <f>(AMZN_IS!I15/365)*AMZN_BS!I58</f>
        <v>40468.00025278941</v>
      </c>
      <c r="J10" s="14">
        <f>(AMZN_IS!J15/365)*AMZN_BS!J58</f>
        <v>44218.628357307389</v>
      </c>
      <c r="K10" s="14">
        <f>(AMZN_IS!K15/365)*AMZN_BS!K58</f>
        <v>48181.822371521877</v>
      </c>
      <c r="L10" s="14">
        <f>(AMZN_IS!L15/365)*AMZN_BS!L58</f>
        <v>52330.129419457822</v>
      </c>
    </row>
    <row r="11" spans="1:29" ht="15" customHeight="1" x14ac:dyDescent="0.55000000000000004">
      <c r="A11" s="3" t="s">
        <v>9</v>
      </c>
      <c r="B11" s="82" t="s">
        <v>93</v>
      </c>
      <c r="C11" s="76">
        <v>16677</v>
      </c>
      <c r="D11" s="76">
        <v>20816</v>
      </c>
      <c r="E11" s="76">
        <v>24542</v>
      </c>
      <c r="F11" s="76">
        <v>32891</v>
      </c>
      <c r="G11" s="76">
        <v>42360</v>
      </c>
      <c r="H11" s="14">
        <f>(AMZN_IS!H13/365)*AMZN_BS!H59</f>
        <v>38331.575136986299</v>
      </c>
      <c r="I11" s="14">
        <f>(AMZN_IS!I13/365)*AMZN_BS!I59</f>
        <v>43882.902934608588</v>
      </c>
      <c r="J11" s="14">
        <f>(AMZN_IS!J13/365)*AMZN_BS!J59</f>
        <v>50092.78488965526</v>
      </c>
      <c r="K11" s="14">
        <f>(AMZN_IS!K13/365)*AMZN_BS!K59</f>
        <v>56993.120534029171</v>
      </c>
      <c r="L11" s="14">
        <f>(AMZN_IS!L13/365)*AMZN_BS!L59</f>
        <v>64605.098048713349</v>
      </c>
    </row>
    <row r="12" spans="1:29" ht="15" customHeight="1" x14ac:dyDescent="0.55000000000000004">
      <c r="B12" s="84" t="s">
        <v>77</v>
      </c>
      <c r="C12" s="85">
        <f>SUM(C8:C11)</f>
        <v>75101</v>
      </c>
      <c r="D12" s="85">
        <f t="shared" ref="D12:G12" si="2">SUM(D8:D11)</f>
        <v>96334</v>
      </c>
      <c r="E12" s="85">
        <f t="shared" si="2"/>
        <v>132733</v>
      </c>
      <c r="F12" s="85">
        <f t="shared" si="2"/>
        <v>161580</v>
      </c>
      <c r="G12" s="85">
        <f t="shared" si="2"/>
        <v>146791</v>
      </c>
      <c r="H12" s="85">
        <f t="shared" ref="H12" si="3">SUM(H8:H11)</f>
        <v>155437.99741880933</v>
      </c>
      <c r="I12" s="85">
        <f t="shared" ref="I12" si="4">SUM(I8:I11)</f>
        <v>172116.70905661519</v>
      </c>
      <c r="J12" s="85">
        <f t="shared" ref="J12" si="5">SUM(J8:J11)</f>
        <v>190716.39548743126</v>
      </c>
      <c r="K12" s="85">
        <f t="shared" ref="K12" si="6">SUM(K8:K11)</f>
        <v>210795.22132641243</v>
      </c>
      <c r="L12" s="85">
        <f t="shared" ref="L12" si="7">SUM(L8:L11)</f>
        <v>232301.47398373071</v>
      </c>
    </row>
    <row r="13" spans="1:29" ht="15" customHeight="1" x14ac:dyDescent="0.55000000000000004"/>
    <row r="14" spans="1:29" ht="15" customHeight="1" x14ac:dyDescent="0.55000000000000004">
      <c r="B14" s="21" t="s">
        <v>149</v>
      </c>
    </row>
    <row r="15" spans="1:29" ht="15" customHeight="1" x14ac:dyDescent="0.55000000000000004">
      <c r="B15" s="82" t="s">
        <v>144</v>
      </c>
      <c r="C15" s="76">
        <v>61797</v>
      </c>
      <c r="D15" s="76">
        <v>72705</v>
      </c>
      <c r="E15" s="76">
        <v>113114</v>
      </c>
      <c r="F15" s="76">
        <v>160281</v>
      </c>
      <c r="G15" s="76">
        <v>186715</v>
      </c>
      <c r="H15" s="27">
        <f>G15-AMZN_CFS!H27-AMZN_CFS!H12</f>
        <v>207533.64508839999</v>
      </c>
      <c r="I15" s="27">
        <f>H15-AMZN_CFS!I27-AMZN_CFS!I12</f>
        <v>228099.49536298472</v>
      </c>
      <c r="J15" s="27">
        <f>I15-AMZN_CFS!J27-AMZN_CFS!J12</f>
        <v>248211.7484961813</v>
      </c>
      <c r="K15" s="27">
        <f>J15-AMZN_CFS!K27-AMZN_CFS!K12</f>
        <v>267649.6705524443</v>
      </c>
      <c r="L15" s="27">
        <f>K15-AMZN_CFS!L27-AMZN_CFS!L12</f>
        <v>286177.4897428432</v>
      </c>
    </row>
    <row r="16" spans="1:29" ht="15" customHeight="1" x14ac:dyDescent="0.55000000000000004">
      <c r="B16" s="82" t="s">
        <v>36</v>
      </c>
      <c r="C16" s="76">
        <v>14548</v>
      </c>
      <c r="D16" s="76">
        <v>14754</v>
      </c>
      <c r="E16" s="76">
        <v>15017</v>
      </c>
      <c r="F16" s="76">
        <v>15371</v>
      </c>
      <c r="G16" s="76">
        <v>20288</v>
      </c>
      <c r="H16" s="14">
        <f>(H63*AMZN_IS!H13)-AMZN_CFS!H66</f>
        <v>21855.639879999999</v>
      </c>
      <c r="I16" s="14">
        <f>I63*AMZN_IS!I13</f>
        <v>24881.179916321766</v>
      </c>
      <c r="J16" s="14">
        <f>J63*AMZN_IS!J13</f>
        <v>27598.289033545916</v>
      </c>
      <c r="K16" s="14">
        <f>K63*AMZN_IS!K13</f>
        <v>30535.763662268841</v>
      </c>
      <c r="L16" s="14">
        <f>L63*AMZN_IS!L13</f>
        <v>33686.943982543395</v>
      </c>
    </row>
    <row r="17" spans="1:29" ht="15" customHeight="1" x14ac:dyDescent="0.55000000000000004">
      <c r="B17" s="82" t="s">
        <v>175</v>
      </c>
      <c r="C17" s="76">
        <v>11202</v>
      </c>
      <c r="D17" s="76">
        <f>25141+16314</f>
        <v>41455</v>
      </c>
      <c r="E17" s="76">
        <f>37553+22778</f>
        <v>60331</v>
      </c>
      <c r="F17" s="76">
        <f>56082+27235</f>
        <v>83317</v>
      </c>
      <c r="G17" s="76">
        <f>66123+42758</f>
        <v>108881</v>
      </c>
      <c r="H17" s="14">
        <f>H64*AMZN_IS!H13</f>
        <v>111928.1994</v>
      </c>
      <c r="I17" s="14">
        <f>I64*AMZN_IS!I13</f>
        <v>127516.04707114906</v>
      </c>
      <c r="J17" s="14">
        <f>J64*AMZN_IS!J13</f>
        <v>144891.01742611607</v>
      </c>
      <c r="K17" s="14">
        <f>K64*AMZN_IS!K13</f>
        <v>164129.72968469502</v>
      </c>
      <c r="L17" s="14">
        <f>L64*AMZN_IS!L13</f>
        <v>185278.19190398866</v>
      </c>
    </row>
    <row r="18" spans="1:29" ht="15" customHeight="1" x14ac:dyDescent="0.55000000000000004">
      <c r="A18" s="3" t="s">
        <v>9</v>
      </c>
      <c r="B18" s="86" t="s">
        <v>94</v>
      </c>
      <c r="C18" s="83">
        <f t="shared" ref="C18:L18" si="8">SUM(C15:C17)</f>
        <v>87547</v>
      </c>
      <c r="D18" s="83">
        <f t="shared" si="8"/>
        <v>128914</v>
      </c>
      <c r="E18" s="83">
        <f t="shared" si="8"/>
        <v>188462</v>
      </c>
      <c r="F18" s="83">
        <f t="shared" si="8"/>
        <v>258969</v>
      </c>
      <c r="G18" s="83">
        <f t="shared" si="8"/>
        <v>315884</v>
      </c>
      <c r="H18" s="83">
        <f t="shared" si="8"/>
        <v>341317.48436840001</v>
      </c>
      <c r="I18" s="83">
        <f t="shared" si="8"/>
        <v>380496.72235045553</v>
      </c>
      <c r="J18" s="83">
        <f t="shared" si="8"/>
        <v>420701.05495584325</v>
      </c>
      <c r="K18" s="83">
        <f t="shared" si="8"/>
        <v>462315.16389940813</v>
      </c>
      <c r="L18" s="83">
        <f t="shared" si="8"/>
        <v>505142.62562937528</v>
      </c>
    </row>
    <row r="19" spans="1:29" ht="15" customHeight="1" x14ac:dyDescent="0.55000000000000004">
      <c r="B19" s="18" t="s">
        <v>27</v>
      </c>
      <c r="C19" s="19">
        <f t="shared" ref="C19:L19" si="9">C12+C18</f>
        <v>162648</v>
      </c>
      <c r="D19" s="19">
        <f t="shared" si="9"/>
        <v>225248</v>
      </c>
      <c r="E19" s="19">
        <f t="shared" si="9"/>
        <v>321195</v>
      </c>
      <c r="F19" s="19">
        <f t="shared" si="9"/>
        <v>420549</v>
      </c>
      <c r="G19" s="19">
        <f t="shared" si="9"/>
        <v>462675</v>
      </c>
      <c r="H19" s="19">
        <f t="shared" si="9"/>
        <v>496755.48178720934</v>
      </c>
      <c r="I19" s="19">
        <f t="shared" si="9"/>
        <v>552613.43140707072</v>
      </c>
      <c r="J19" s="19">
        <f t="shared" si="9"/>
        <v>611417.45044327457</v>
      </c>
      <c r="K19" s="19">
        <f t="shared" si="9"/>
        <v>673110.38522582059</v>
      </c>
      <c r="L19" s="19">
        <f t="shared" si="9"/>
        <v>737444.09961310599</v>
      </c>
    </row>
    <row r="20" spans="1:29" s="8" customFormat="1" ht="15" customHeight="1" x14ac:dyDescent="0.55000000000000004">
      <c r="B20" s="3"/>
      <c r="C20" s="3"/>
      <c r="D20" s="3"/>
      <c r="E20" s="3"/>
      <c r="F20" s="3"/>
      <c r="G20" s="3"/>
      <c r="H20" s="3"/>
      <c r="I20" s="3"/>
      <c r="J20" s="3"/>
      <c r="K20" s="3"/>
      <c r="L20" s="3"/>
      <c r="M20"/>
      <c r="N20"/>
      <c r="O20"/>
      <c r="P20"/>
      <c r="AC20"/>
    </row>
    <row r="21" spans="1:29" s="8" customFormat="1" ht="15" customHeight="1" x14ac:dyDescent="0.55000000000000004">
      <c r="B21" s="81" t="s">
        <v>146</v>
      </c>
      <c r="C21" s="76"/>
      <c r="D21" s="76"/>
      <c r="E21" s="76"/>
      <c r="F21" s="76"/>
      <c r="G21" s="76"/>
      <c r="H21" s="14"/>
      <c r="I21" s="14"/>
      <c r="J21" s="14"/>
      <c r="K21" s="14"/>
      <c r="L21" s="14"/>
      <c r="M21"/>
      <c r="N21"/>
      <c r="O21"/>
      <c r="P21"/>
      <c r="AC21"/>
    </row>
    <row r="22" spans="1:29" ht="15" customHeight="1" x14ac:dyDescent="0.55000000000000004">
      <c r="B22" s="21" t="s">
        <v>147</v>
      </c>
      <c r="C22" s="76"/>
      <c r="D22" s="76"/>
      <c r="E22" s="76"/>
      <c r="F22" s="76"/>
      <c r="G22" s="76"/>
      <c r="H22" s="14"/>
      <c r="I22" s="14"/>
      <c r="J22" s="14"/>
      <c r="K22" s="14"/>
      <c r="L22" s="14"/>
    </row>
    <row r="23" spans="1:29" ht="15" customHeight="1" x14ac:dyDescent="0.55000000000000004">
      <c r="B23" s="82" t="s">
        <v>5</v>
      </c>
      <c r="C23" s="76">
        <v>38192</v>
      </c>
      <c r="D23" s="76">
        <v>47183</v>
      </c>
      <c r="E23" s="76">
        <v>72539</v>
      </c>
      <c r="F23" s="76">
        <v>78664</v>
      </c>
      <c r="G23" s="76">
        <v>79600</v>
      </c>
      <c r="H23" s="14">
        <f>(AMZN_IS!H15/365)*AMZN_BS!H60</f>
        <v>87212.407326080254</v>
      </c>
      <c r="I23" s="14">
        <f>(AMZN_IS!I15/365)*AMZN_BS!I60</f>
        <v>96025.763311703675</v>
      </c>
      <c r="J23" s="14">
        <f>(AMZN_IS!J15/365)*AMZN_BS!J60</f>
        <v>106734.62017281093</v>
      </c>
      <c r="K23" s="14">
        <f>(AMZN_IS!K15/365)*AMZN_BS!K60</f>
        <v>118341.31810549233</v>
      </c>
      <c r="L23" s="14">
        <f>(AMZN_IS!L15/365)*AMZN_BS!L60</f>
        <v>130825.32354864455</v>
      </c>
    </row>
    <row r="24" spans="1:29" ht="15" customHeight="1" x14ac:dyDescent="0.55000000000000004">
      <c r="B24" s="82" t="s">
        <v>4</v>
      </c>
      <c r="C24" s="76">
        <v>23663</v>
      </c>
      <c r="D24" s="76">
        <v>32439</v>
      </c>
      <c r="E24" s="76">
        <v>44138</v>
      </c>
      <c r="F24" s="76">
        <v>51775</v>
      </c>
      <c r="G24" s="76">
        <v>62566</v>
      </c>
      <c r="H24" s="14">
        <f>H66*AMZN_IS!H13</f>
        <v>64358.714655000003</v>
      </c>
      <c r="I24" s="14">
        <f>I66*AMZN_IS!I13</f>
        <v>70755.855387040021</v>
      </c>
      <c r="J24" s="14">
        <f>J66*AMZN_IS!J13</f>
        <v>77620.187906847888</v>
      </c>
      <c r="K24" s="14">
        <f>K66*AMZN_IS!K13</f>
        <v>84927.592685685217</v>
      </c>
      <c r="L24" s="14">
        <f>L66*AMZN_IS!L13</f>
        <v>92639.095951994328</v>
      </c>
    </row>
    <row r="25" spans="1:29" ht="15" customHeight="1" x14ac:dyDescent="0.55000000000000004">
      <c r="A25" s="3" t="s">
        <v>9</v>
      </c>
      <c r="B25" s="82" t="s">
        <v>3</v>
      </c>
      <c r="C25" s="76">
        <v>6536</v>
      </c>
      <c r="D25" s="76">
        <v>8190</v>
      </c>
      <c r="E25" s="76">
        <v>9708</v>
      </c>
      <c r="F25" s="76">
        <v>11827</v>
      </c>
      <c r="G25" s="76">
        <v>13227</v>
      </c>
      <c r="H25" s="14">
        <f>H67*AMZN_IS!H13</f>
        <v>13991.024925</v>
      </c>
      <c r="I25" s="14">
        <f>I67*AMZN_IS!I13</f>
        <v>15395.230073224093</v>
      </c>
      <c r="J25" s="14">
        <f>J67*AMZN_IS!J13</f>
        <v>16903.952033046873</v>
      </c>
      <c r="K25" s="14">
        <f>K67*AMZN_IS!K13</f>
        <v>18512.306720250486</v>
      </c>
      <c r="L25" s="14">
        <f>L67*AMZN_IS!L13</f>
        <v>20212.166389526035</v>
      </c>
    </row>
    <row r="26" spans="1:29" ht="15" customHeight="1" x14ac:dyDescent="0.55000000000000004">
      <c r="B26" s="84" t="s">
        <v>152</v>
      </c>
      <c r="C26" s="85">
        <f t="shared" ref="C26:L26" si="10">SUM(C23:C25)</f>
        <v>68391</v>
      </c>
      <c r="D26" s="85">
        <f t="shared" si="10"/>
        <v>87812</v>
      </c>
      <c r="E26" s="85">
        <f t="shared" si="10"/>
        <v>126385</v>
      </c>
      <c r="F26" s="85">
        <f t="shared" si="10"/>
        <v>142266</v>
      </c>
      <c r="G26" s="85">
        <f t="shared" si="10"/>
        <v>155393</v>
      </c>
      <c r="H26" s="85">
        <f t="shared" si="10"/>
        <v>165562.14690608028</v>
      </c>
      <c r="I26" s="85">
        <f t="shared" si="10"/>
        <v>182176.84877196778</v>
      </c>
      <c r="J26" s="85">
        <f t="shared" si="10"/>
        <v>201258.7601127057</v>
      </c>
      <c r="K26" s="85">
        <f t="shared" si="10"/>
        <v>221781.21751142803</v>
      </c>
      <c r="L26" s="85">
        <f t="shared" si="10"/>
        <v>243676.58589016492</v>
      </c>
    </row>
    <row r="27" spans="1:29" ht="15" customHeight="1" x14ac:dyDescent="0.55000000000000004"/>
    <row r="28" spans="1:29" ht="15" customHeight="1" x14ac:dyDescent="0.55000000000000004">
      <c r="B28" s="21" t="s">
        <v>148</v>
      </c>
    </row>
    <row r="29" spans="1:29" ht="15" customHeight="1" x14ac:dyDescent="0.55000000000000004">
      <c r="B29" s="82" t="s">
        <v>95</v>
      </c>
      <c r="C29" s="76">
        <v>9650</v>
      </c>
      <c r="D29" s="76">
        <v>39791</v>
      </c>
      <c r="E29" s="76">
        <v>52573</v>
      </c>
      <c r="F29" s="76">
        <v>67651</v>
      </c>
      <c r="G29" s="76">
        <v>72968</v>
      </c>
      <c r="H29" s="14">
        <f>H69*AMZN_IS!H13</f>
        <v>79469.021573999984</v>
      </c>
      <c r="I29" s="14">
        <f>I69*AMZN_IS!I13</f>
        <v>81796.878974907813</v>
      </c>
      <c r="J29" s="14">
        <f>J69*AMZN_IS!J13</f>
        <v>83484.824326476402</v>
      </c>
      <c r="K29" s="14">
        <f>K69*AMZN_IS!K13</f>
        <v>84355.047117017675</v>
      </c>
      <c r="L29" s="14">
        <f>L69*AMZN_IS!L13</f>
        <v>84217.359956358487</v>
      </c>
    </row>
    <row r="30" spans="1:29" ht="15" customHeight="1" x14ac:dyDescent="0.55000000000000004">
      <c r="B30" s="82" t="s">
        <v>37</v>
      </c>
      <c r="C30" s="76">
        <v>23495</v>
      </c>
      <c r="D30" s="76">
        <v>23414</v>
      </c>
      <c r="E30" s="76">
        <v>31816</v>
      </c>
      <c r="F30" s="76">
        <v>48744</v>
      </c>
      <c r="G30" s="76">
        <v>67150</v>
      </c>
      <c r="H30" s="14">
        <f ca="1">H19-(SUM(H23:H25,H29,H31,H36:H40))</f>
        <v>76034.364610368037</v>
      </c>
      <c r="I30" s="14">
        <f t="shared" ref="I30:L30" ca="1" si="11">I19-(SUM(I23:I25,I29,I31,I36:I40))</f>
        <v>100106.03230970807</v>
      </c>
      <c r="J30" s="14">
        <f t="shared" ca="1" si="11"/>
        <v>123702.35972501454</v>
      </c>
      <c r="K30" s="14">
        <f t="shared" ca="1" si="11"/>
        <v>147730.169892882</v>
      </c>
      <c r="L30" s="14">
        <f t="shared" ca="1" si="11"/>
        <v>171940.03319699527</v>
      </c>
    </row>
    <row r="31" spans="1:29" ht="15" customHeight="1" x14ac:dyDescent="0.55000000000000004">
      <c r="B31" s="82" t="s">
        <v>96</v>
      </c>
      <c r="C31" s="76">
        <v>17563</v>
      </c>
      <c r="D31" s="76">
        <v>12171</v>
      </c>
      <c r="E31" s="76">
        <v>17017</v>
      </c>
      <c r="F31" s="76">
        <v>23643</v>
      </c>
      <c r="G31" s="76">
        <v>21121</v>
      </c>
      <c r="H31" s="14">
        <f>H70*AMZN_IS!H13</f>
        <v>22945.280877000001</v>
      </c>
      <c r="I31" s="14">
        <f>I70*AMZN_IS!I13</f>
        <v>23403.859858790162</v>
      </c>
      <c r="J31" s="14">
        <f>J70*AMZN_IS!J13</f>
        <v>23631.034984973692</v>
      </c>
      <c r="K31" s="14">
        <f>K70*AMZN_IS!K13</f>
        <v>23569.792576813761</v>
      </c>
      <c r="L31" s="14">
        <f>L70*AMZN_IS!L13</f>
        <v>23159.773987998582</v>
      </c>
    </row>
    <row r="32" spans="1:29" ht="15" customHeight="1" x14ac:dyDescent="0.55000000000000004">
      <c r="A32" s="3" t="s">
        <v>9</v>
      </c>
      <c r="B32" s="86" t="s">
        <v>151</v>
      </c>
      <c r="C32" s="83">
        <f t="shared" ref="C32:L32" si="12">SUM(C29:C31)</f>
        <v>50708</v>
      </c>
      <c r="D32" s="83">
        <f t="shared" si="12"/>
        <v>75376</v>
      </c>
      <c r="E32" s="83">
        <f t="shared" si="12"/>
        <v>101406</v>
      </c>
      <c r="F32" s="83">
        <f t="shared" si="12"/>
        <v>140038</v>
      </c>
      <c r="G32" s="83">
        <f t="shared" si="12"/>
        <v>161239</v>
      </c>
      <c r="H32" s="83">
        <f t="shared" ca="1" si="12"/>
        <v>178448.66706136803</v>
      </c>
      <c r="I32" s="83">
        <f t="shared" ca="1" si="12"/>
        <v>205306.77114340602</v>
      </c>
      <c r="J32" s="83">
        <f t="shared" ca="1" si="12"/>
        <v>230818.21903646464</v>
      </c>
      <c r="K32" s="83">
        <f t="shared" ca="1" si="12"/>
        <v>255655.00958671342</v>
      </c>
      <c r="L32" s="83">
        <f t="shared" ca="1" si="12"/>
        <v>279317.16714135237</v>
      </c>
    </row>
    <row r="33" spans="1:29" x14ac:dyDescent="0.55000000000000004">
      <c r="B33" s="18" t="s">
        <v>26</v>
      </c>
      <c r="C33" s="19">
        <f t="shared" ref="C33:L33" si="13">C26+C32</f>
        <v>119099</v>
      </c>
      <c r="D33" s="19">
        <f t="shared" si="13"/>
        <v>163188</v>
      </c>
      <c r="E33" s="19">
        <f t="shared" si="13"/>
        <v>227791</v>
      </c>
      <c r="F33" s="19">
        <f t="shared" si="13"/>
        <v>282304</v>
      </c>
      <c r="G33" s="19">
        <f t="shared" si="13"/>
        <v>316632</v>
      </c>
      <c r="H33" s="19">
        <f t="shared" ca="1" si="13"/>
        <v>344010.81396744831</v>
      </c>
      <c r="I33" s="19">
        <f t="shared" ca="1" si="13"/>
        <v>387483.6199153738</v>
      </c>
      <c r="J33" s="19">
        <f t="shared" ca="1" si="13"/>
        <v>432076.97914917034</v>
      </c>
      <c r="K33" s="19">
        <f t="shared" ca="1" si="13"/>
        <v>477436.22709814145</v>
      </c>
      <c r="L33" s="19">
        <f t="shared" ca="1" si="13"/>
        <v>522993.75303151726</v>
      </c>
    </row>
    <row r="34" spans="1:29" s="8" customFormat="1" ht="15" customHeight="1" x14ac:dyDescent="0.55000000000000004">
      <c r="B34" s="3"/>
      <c r="C34" s="3"/>
      <c r="D34" s="3"/>
      <c r="E34" s="3"/>
      <c r="F34" s="3"/>
      <c r="G34" s="3"/>
      <c r="H34" s="3"/>
      <c r="I34" s="3"/>
      <c r="J34" s="3"/>
      <c r="K34" s="3"/>
      <c r="L34" s="3"/>
      <c r="M34"/>
      <c r="N34"/>
      <c r="O34"/>
      <c r="P34"/>
      <c r="AC34"/>
    </row>
    <row r="35" spans="1:29" ht="15" customHeight="1" x14ac:dyDescent="0.55000000000000004">
      <c r="B35" s="21" t="s">
        <v>153</v>
      </c>
      <c r="C35" s="76"/>
      <c r="D35" s="76"/>
      <c r="E35" s="76"/>
      <c r="F35" s="76"/>
      <c r="G35" s="76"/>
      <c r="H35" s="14"/>
      <c r="I35" s="14"/>
      <c r="J35" s="14"/>
      <c r="K35" s="14"/>
      <c r="L35" s="14"/>
    </row>
    <row r="36" spans="1:29" ht="15" customHeight="1" x14ac:dyDescent="0.55000000000000004">
      <c r="B36" s="82" t="s">
        <v>154</v>
      </c>
      <c r="C36" s="76">
        <v>5</v>
      </c>
      <c r="D36" s="76">
        <v>5</v>
      </c>
      <c r="E36" s="76">
        <v>5</v>
      </c>
      <c r="F36" s="76">
        <v>106</v>
      </c>
      <c r="G36" s="76">
        <v>108</v>
      </c>
      <c r="H36" s="13">
        <f>G36</f>
        <v>108</v>
      </c>
      <c r="I36" s="13">
        <f t="shared" ref="I36:L39" si="14">H36</f>
        <v>108</v>
      </c>
      <c r="J36" s="13">
        <f t="shared" si="14"/>
        <v>108</v>
      </c>
      <c r="K36" s="13">
        <f t="shared" si="14"/>
        <v>108</v>
      </c>
      <c r="L36" s="13">
        <f t="shared" si="14"/>
        <v>108</v>
      </c>
    </row>
    <row r="37" spans="1:29" ht="15" customHeight="1" x14ac:dyDescent="0.55000000000000004">
      <c r="B37" s="82" t="s">
        <v>155</v>
      </c>
      <c r="C37" s="76">
        <v>-1837</v>
      </c>
      <c r="D37" s="76">
        <v>-1837</v>
      </c>
      <c r="E37" s="76">
        <v>-1837</v>
      </c>
      <c r="F37" s="76">
        <v>-1837</v>
      </c>
      <c r="G37" s="76">
        <v>-7837</v>
      </c>
      <c r="H37" s="13">
        <f>G37</f>
        <v>-7837</v>
      </c>
      <c r="I37" s="13">
        <f t="shared" si="14"/>
        <v>-7837</v>
      </c>
      <c r="J37" s="13">
        <f t="shared" si="14"/>
        <v>-7837</v>
      </c>
      <c r="K37" s="13">
        <f t="shared" si="14"/>
        <v>-7837</v>
      </c>
      <c r="L37" s="13">
        <f t="shared" si="14"/>
        <v>-7837</v>
      </c>
    </row>
    <row r="38" spans="1:29" ht="15" customHeight="1" x14ac:dyDescent="0.55000000000000004">
      <c r="B38" s="82" t="s">
        <v>156</v>
      </c>
      <c r="C38" s="76">
        <v>26791</v>
      </c>
      <c r="D38" s="76">
        <v>33658</v>
      </c>
      <c r="E38" s="76">
        <v>42865</v>
      </c>
      <c r="F38" s="76">
        <v>55437</v>
      </c>
      <c r="G38" s="76">
        <v>75066</v>
      </c>
      <c r="H38" s="13">
        <f>G38</f>
        <v>75066</v>
      </c>
      <c r="I38" s="13">
        <f t="shared" si="14"/>
        <v>75066</v>
      </c>
      <c r="J38" s="13">
        <f t="shared" si="14"/>
        <v>75066</v>
      </c>
      <c r="K38" s="13">
        <f t="shared" si="14"/>
        <v>75066</v>
      </c>
      <c r="L38" s="13">
        <f t="shared" si="14"/>
        <v>75066</v>
      </c>
    </row>
    <row r="39" spans="1:29" ht="15" customHeight="1" x14ac:dyDescent="0.55000000000000004">
      <c r="B39" s="82" t="s">
        <v>157</v>
      </c>
      <c r="C39" s="76">
        <v>-1035</v>
      </c>
      <c r="D39" s="76">
        <v>-986</v>
      </c>
      <c r="E39" s="76">
        <v>-180</v>
      </c>
      <c r="F39" s="76">
        <v>-1376</v>
      </c>
      <c r="G39" s="76">
        <v>-4487</v>
      </c>
      <c r="H39" s="13">
        <f>G39</f>
        <v>-4487</v>
      </c>
      <c r="I39" s="13">
        <f t="shared" si="14"/>
        <v>-4487</v>
      </c>
      <c r="J39" s="13">
        <f t="shared" si="14"/>
        <v>-4487</v>
      </c>
      <c r="K39" s="13">
        <f t="shared" si="14"/>
        <v>-4487</v>
      </c>
      <c r="L39" s="13">
        <f t="shared" si="14"/>
        <v>-4487</v>
      </c>
    </row>
    <row r="40" spans="1:29" ht="15" customHeight="1" x14ac:dyDescent="0.55000000000000004">
      <c r="A40" s="3" t="s">
        <v>9</v>
      </c>
      <c r="B40" s="82" t="s">
        <v>78</v>
      </c>
      <c r="C40" s="76">
        <v>19625</v>
      </c>
      <c r="D40" s="76">
        <v>31220</v>
      </c>
      <c r="E40" s="76">
        <v>52551</v>
      </c>
      <c r="F40" s="76">
        <v>85915</v>
      </c>
      <c r="G40" s="76">
        <v>83193</v>
      </c>
      <c r="H40" s="14">
        <f ca="1">G40+AMZN_IS!H42</f>
        <v>89894.667819761031</v>
      </c>
      <c r="I40" s="14">
        <f ca="1">H40+AMZN_IS!I42</f>
        <v>102279.81149169686</v>
      </c>
      <c r="J40" s="14">
        <f ca="1">I40+AMZN_IS!J42</f>
        <v>116490.47129410428</v>
      </c>
      <c r="K40" s="14">
        <f ca="1">J40+AMZN_IS!K42</f>
        <v>132824.15812767914</v>
      </c>
      <c r="L40" s="14">
        <f ca="1">K40+AMZN_IS!L42</f>
        <v>151600.34658158876</v>
      </c>
    </row>
    <row r="41" spans="1:29" ht="15" customHeight="1" x14ac:dyDescent="0.55000000000000004">
      <c r="A41" s="3" t="s">
        <v>9</v>
      </c>
      <c r="B41" s="84" t="s">
        <v>158</v>
      </c>
      <c r="C41" s="85">
        <f>SUM(C36:C40)</f>
        <v>43549</v>
      </c>
      <c r="D41" s="85">
        <f t="shared" ref="D41:L41" si="15">SUM(D36:D40)</f>
        <v>62060</v>
      </c>
      <c r="E41" s="85">
        <f t="shared" si="15"/>
        <v>93404</v>
      </c>
      <c r="F41" s="85">
        <f t="shared" si="15"/>
        <v>138245</v>
      </c>
      <c r="G41" s="85">
        <f t="shared" si="15"/>
        <v>146043</v>
      </c>
      <c r="H41" s="85">
        <f t="shared" ca="1" si="15"/>
        <v>152744.66781976103</v>
      </c>
      <c r="I41" s="85">
        <f t="shared" ca="1" si="15"/>
        <v>165129.81149169686</v>
      </c>
      <c r="J41" s="85">
        <f t="shared" ca="1" si="15"/>
        <v>179340.4712941043</v>
      </c>
      <c r="K41" s="85">
        <f t="shared" ca="1" si="15"/>
        <v>195674.15812767914</v>
      </c>
      <c r="L41" s="85">
        <f t="shared" ca="1" si="15"/>
        <v>214450.34658158876</v>
      </c>
    </row>
    <row r="42" spans="1:29" x14ac:dyDescent="0.55000000000000004">
      <c r="B42" s="18" t="s">
        <v>159</v>
      </c>
      <c r="C42" s="19">
        <f>C33+C41</f>
        <v>162648</v>
      </c>
      <c r="D42" s="19">
        <f t="shared" ref="D42:L42" si="16">D33+D41</f>
        <v>225248</v>
      </c>
      <c r="E42" s="19">
        <f t="shared" si="16"/>
        <v>321195</v>
      </c>
      <c r="F42" s="19">
        <f t="shared" si="16"/>
        <v>420549</v>
      </c>
      <c r="G42" s="19">
        <f t="shared" si="16"/>
        <v>462675</v>
      </c>
      <c r="H42" s="19">
        <f t="shared" ca="1" si="16"/>
        <v>496755.48178720934</v>
      </c>
      <c r="I42" s="19">
        <f t="shared" ca="1" si="16"/>
        <v>552613.43140707072</v>
      </c>
      <c r="J42" s="19">
        <f t="shared" ca="1" si="16"/>
        <v>611417.45044327457</v>
      </c>
      <c r="K42" s="19">
        <f t="shared" ca="1" si="16"/>
        <v>673110.38522582059</v>
      </c>
      <c r="L42" s="19">
        <f t="shared" ca="1" si="16"/>
        <v>737444.09961310599</v>
      </c>
    </row>
    <row r="43" spans="1:29" customFormat="1" x14ac:dyDescent="0.55000000000000004">
      <c r="B43" s="82" t="s">
        <v>203</v>
      </c>
      <c r="C43" s="114">
        <f>C42-C19</f>
        <v>0</v>
      </c>
      <c r="D43" s="114">
        <f t="shared" ref="D43:L43" si="17">D42-D19</f>
        <v>0</v>
      </c>
      <c r="E43" s="114">
        <f t="shared" si="17"/>
        <v>0</v>
      </c>
      <c r="F43" s="114">
        <f t="shared" si="17"/>
        <v>0</v>
      </c>
      <c r="G43" s="114">
        <f t="shared" si="17"/>
        <v>0</v>
      </c>
      <c r="H43" s="114">
        <f t="shared" ca="1" si="17"/>
        <v>0</v>
      </c>
      <c r="I43" s="114">
        <f t="shared" ca="1" si="17"/>
        <v>0</v>
      </c>
      <c r="J43" s="114">
        <f t="shared" ca="1" si="17"/>
        <v>0</v>
      </c>
      <c r="K43" s="114">
        <f t="shared" ca="1" si="17"/>
        <v>0</v>
      </c>
      <c r="L43" s="114">
        <f t="shared" ca="1" si="17"/>
        <v>0</v>
      </c>
    </row>
    <row r="44" spans="1:29" customFormat="1" ht="14.25" x14ac:dyDescent="0.45"/>
    <row r="45" spans="1:29" x14ac:dyDescent="0.55000000000000004">
      <c r="A45" s="3" t="s">
        <v>9</v>
      </c>
      <c r="B45" s="6" t="s">
        <v>97</v>
      </c>
      <c r="C45" s="16">
        <v>2018</v>
      </c>
      <c r="D45" s="16">
        <f t="shared" ref="D45" si="18">C45+1</f>
        <v>2019</v>
      </c>
      <c r="E45" s="16">
        <f t="shared" ref="E45" si="19">D45+1</f>
        <v>2020</v>
      </c>
      <c r="F45" s="16">
        <f t="shared" ref="F45" si="20">E45+1</f>
        <v>2021</v>
      </c>
      <c r="G45" s="16">
        <f t="shared" ref="G45" si="21">F45+1</f>
        <v>2022</v>
      </c>
      <c r="H45" s="17">
        <f t="shared" ref="H45" si="22">G45+1</f>
        <v>2023</v>
      </c>
      <c r="I45" s="17">
        <f t="shared" ref="I45" si="23">H45+1</f>
        <v>2024</v>
      </c>
      <c r="J45" s="17">
        <f t="shared" ref="J45" si="24">I45+1</f>
        <v>2025</v>
      </c>
      <c r="K45" s="17">
        <f t="shared" ref="K45" si="25">J45+1</f>
        <v>2026</v>
      </c>
      <c r="L45" s="17">
        <f t="shared" ref="L45" si="26">K45+1</f>
        <v>2027</v>
      </c>
    </row>
    <row r="46" spans="1:29" x14ac:dyDescent="0.55000000000000004">
      <c r="B46" s="3" t="s">
        <v>98</v>
      </c>
      <c r="C46" s="13">
        <f>C8+C9</f>
        <v>41250</v>
      </c>
      <c r="D46" s="13">
        <f>D8+D9</f>
        <v>55021</v>
      </c>
      <c r="E46" s="13">
        <f>E8+E9</f>
        <v>84396</v>
      </c>
      <c r="F46" s="13">
        <f>F8+F9</f>
        <v>96049</v>
      </c>
      <c r="G46" s="13">
        <f>G8+G9</f>
        <v>70026</v>
      </c>
      <c r="H46" s="13">
        <f t="shared" ref="H46:L46" si="27">H8+H9</f>
        <v>79729.676284931498</v>
      </c>
      <c r="I46" s="13">
        <f t="shared" si="27"/>
        <v>87765.805869217191</v>
      </c>
      <c r="J46" s="13">
        <f t="shared" si="27"/>
        <v>96404.982240468613</v>
      </c>
      <c r="K46" s="13">
        <f t="shared" si="27"/>
        <v>105620.27842086139</v>
      </c>
      <c r="L46" s="13">
        <f t="shared" si="27"/>
        <v>115366.24651555956</v>
      </c>
    </row>
    <row r="47" spans="1:29" x14ac:dyDescent="0.55000000000000004">
      <c r="B47" s="3" t="s">
        <v>19</v>
      </c>
      <c r="C47" s="13">
        <f>C30</f>
        <v>23495</v>
      </c>
      <c r="D47" s="13">
        <f>D30</f>
        <v>23414</v>
      </c>
      <c r="E47" s="13">
        <f>E30</f>
        <v>31816</v>
      </c>
      <c r="F47" s="13">
        <f>F30</f>
        <v>48744</v>
      </c>
      <c r="G47" s="13">
        <f>G30</f>
        <v>67150</v>
      </c>
      <c r="H47" s="13">
        <f t="shared" ref="H47:L47" ca="1" si="28">H30</f>
        <v>76034.364610368037</v>
      </c>
      <c r="I47" s="13">
        <f t="shared" ca="1" si="28"/>
        <v>100106.03230970807</v>
      </c>
      <c r="J47" s="13">
        <f t="shared" ca="1" si="28"/>
        <v>123702.35972501454</v>
      </c>
      <c r="K47" s="13">
        <f t="shared" ca="1" si="28"/>
        <v>147730.169892882</v>
      </c>
      <c r="L47" s="13">
        <f t="shared" ca="1" si="28"/>
        <v>171940.03319699527</v>
      </c>
    </row>
    <row r="48" spans="1:29" x14ac:dyDescent="0.55000000000000004">
      <c r="B48" s="3" t="s">
        <v>171</v>
      </c>
      <c r="C48" s="14">
        <f>C47-C46</f>
        <v>-17755</v>
      </c>
      <c r="D48" s="14">
        <f t="shared" ref="D48:G48" si="29">D47-D46</f>
        <v>-31607</v>
      </c>
      <c r="E48" s="14">
        <f t="shared" si="29"/>
        <v>-52580</v>
      </c>
      <c r="F48" s="14">
        <f t="shared" si="29"/>
        <v>-47305</v>
      </c>
      <c r="G48" s="14">
        <f t="shared" si="29"/>
        <v>-2876</v>
      </c>
      <c r="H48" s="14">
        <f t="shared" ref="H48" ca="1" si="30">H47-H46</f>
        <v>-3695.3116745634616</v>
      </c>
      <c r="I48" s="14">
        <f t="shared" ref="I48" ca="1" si="31">I47-I46</f>
        <v>12340.226440490878</v>
      </c>
      <c r="J48" s="14">
        <f t="shared" ref="J48" ca="1" si="32">J47-J46</f>
        <v>27297.377484545927</v>
      </c>
      <c r="K48" s="14">
        <f t="shared" ref="K48" ca="1" si="33">K47-K46</f>
        <v>42109.891472020608</v>
      </c>
      <c r="L48" s="14">
        <f t="shared" ref="L48" ca="1" si="34">L47-L46</f>
        <v>56573.786681435711</v>
      </c>
    </row>
    <row r="49" spans="2:12" x14ac:dyDescent="0.55000000000000004">
      <c r="B49" s="3" t="s">
        <v>173</v>
      </c>
      <c r="C49" s="76">
        <f>504*20</f>
        <v>10080</v>
      </c>
      <c r="D49" s="76">
        <f>510*20</f>
        <v>10200</v>
      </c>
      <c r="E49" s="76">
        <v>10198</v>
      </c>
      <c r="F49" s="76">
        <v>10296</v>
      </c>
      <c r="G49" s="76">
        <v>10189</v>
      </c>
      <c r="H49" s="76">
        <v>10189</v>
      </c>
      <c r="I49" s="76">
        <v>10189</v>
      </c>
      <c r="J49" s="76">
        <v>10189</v>
      </c>
      <c r="K49" s="76">
        <v>10189</v>
      </c>
      <c r="L49" s="76">
        <v>10189</v>
      </c>
    </row>
    <row r="50" spans="2:12" x14ac:dyDescent="0.55000000000000004">
      <c r="B50" s="3" t="s">
        <v>172</v>
      </c>
      <c r="C50" s="95">
        <f>C48/C49</f>
        <v>-1.7614087301587302</v>
      </c>
      <c r="D50" s="95">
        <f t="shared" ref="D50:G50" si="35">D48/D49</f>
        <v>-3.0987254901960783</v>
      </c>
      <c r="E50" s="95">
        <f t="shared" si="35"/>
        <v>-5.1559129241027648</v>
      </c>
      <c r="F50" s="95">
        <f t="shared" si="35"/>
        <v>-4.5945027195027199</v>
      </c>
      <c r="G50" s="95">
        <f t="shared" si="35"/>
        <v>-0.28226518794778682</v>
      </c>
      <c r="H50" s="95">
        <f t="shared" ref="H50" ca="1" si="36">H48/H49</f>
        <v>-0.36267658009259607</v>
      </c>
      <c r="I50" s="95">
        <f t="shared" ref="I50" ca="1" si="37">I48/I49</f>
        <v>1.2111322446256627</v>
      </c>
      <c r="J50" s="95">
        <f t="shared" ref="J50" ca="1" si="38">J48/J49</f>
        <v>2.6791027072868707</v>
      </c>
      <c r="K50" s="95">
        <f t="shared" ref="K50" ca="1" si="39">K48/K49</f>
        <v>4.1328777575837288</v>
      </c>
      <c r="L50" s="95">
        <f t="shared" ref="L50" ca="1" si="40">L48/L49</f>
        <v>5.5524375975498783</v>
      </c>
    </row>
    <row r="51" spans="2:12" x14ac:dyDescent="0.55000000000000004">
      <c r="B51" s="3" t="s">
        <v>99</v>
      </c>
      <c r="C51" s="27">
        <f>AMZN_IS!C27</f>
        <v>27761</v>
      </c>
      <c r="D51" s="27">
        <f>AMZN_IS!D27</f>
        <v>36329</v>
      </c>
      <c r="E51" s="27">
        <f>AMZN_IS!E27</f>
        <v>48150</v>
      </c>
      <c r="F51" s="27">
        <f>AMZN_IS!F27</f>
        <v>59175</v>
      </c>
      <c r="G51" s="27">
        <f>AMZN_IS!G27</f>
        <v>53709</v>
      </c>
      <c r="H51" s="27">
        <f>AMZN_IS!H27</f>
        <v>73152.549051445181</v>
      </c>
      <c r="I51" s="27">
        <f>AMZN_IS!I27</f>
        <v>87565.476110188698</v>
      </c>
      <c r="J51" s="27">
        <f>AMZN_IS!J27</f>
        <v>97565.164184153517</v>
      </c>
      <c r="K51" s="27">
        <f>AMZN_IS!K27</f>
        <v>108261.70823255129</v>
      </c>
      <c r="L51" s="27">
        <f>AMZN_IS!L27</f>
        <v>119588.65113802903</v>
      </c>
    </row>
    <row r="52" spans="2:12" x14ac:dyDescent="0.55000000000000004">
      <c r="B52" s="3" t="s">
        <v>63</v>
      </c>
      <c r="C52" s="96">
        <f>C47/C51</f>
        <v>0.84633118403515728</v>
      </c>
      <c r="D52" s="96">
        <f t="shared" ref="D52:G52" si="41">D47/D51</f>
        <v>0.64449888518814169</v>
      </c>
      <c r="E52" s="96">
        <f t="shared" si="41"/>
        <v>0.66076843198338531</v>
      </c>
      <c r="F52" s="96">
        <f t="shared" si="41"/>
        <v>0.82372623574144488</v>
      </c>
      <c r="G52" s="96">
        <f t="shared" si="41"/>
        <v>1.2502560092349513</v>
      </c>
      <c r="H52" s="96">
        <f t="shared" ref="H52" ca="1" si="42">H47/H51</f>
        <v>1.0393946020513405</v>
      </c>
      <c r="I52" s="96">
        <f t="shared" ref="I52" ca="1" si="43">I47/I51</f>
        <v>1.1432134758650643</v>
      </c>
      <c r="J52" s="96">
        <f t="shared" ref="J52" ca="1" si="44">J47/J51</f>
        <v>1.267894752798522</v>
      </c>
      <c r="K52" s="96">
        <f t="shared" ref="K52" ca="1" si="45">K47/K51</f>
        <v>1.3645652955664673</v>
      </c>
      <c r="L52" s="96">
        <f t="shared" ref="L52" ca="1" si="46">L47/L51</f>
        <v>1.4377621250911372</v>
      </c>
    </row>
    <row r="53" spans="2:12" x14ac:dyDescent="0.55000000000000004">
      <c r="B53" s="3" t="s">
        <v>100</v>
      </c>
      <c r="C53" s="96">
        <f>C48/C51</f>
        <v>-0.63956629804401854</v>
      </c>
      <c r="D53" s="96">
        <f t="shared" ref="D53:G53" si="47">D48/D51</f>
        <v>-0.87002119518841692</v>
      </c>
      <c r="E53" s="96">
        <f t="shared" si="47"/>
        <v>-1.0920041536863967</v>
      </c>
      <c r="F53" s="96">
        <f t="shared" si="47"/>
        <v>-0.79940853400929446</v>
      </c>
      <c r="G53" s="96">
        <f t="shared" si="47"/>
        <v>-5.3547822525088905E-2</v>
      </c>
      <c r="H53" s="96">
        <f t="shared" ref="H53:L53" ca="1" si="48">H48/H51</f>
        <v>-5.0515145712348324E-2</v>
      </c>
      <c r="I53" s="96">
        <f t="shared" ca="1" si="48"/>
        <v>0.14092570484014108</v>
      </c>
      <c r="J53" s="96">
        <f t="shared" ca="1" si="48"/>
        <v>0.27978610719111108</v>
      </c>
      <c r="K53" s="96">
        <f t="shared" ca="1" si="48"/>
        <v>0.38896385582210252</v>
      </c>
      <c r="L53" s="96">
        <f t="shared" ca="1" si="48"/>
        <v>0.47306986192308781</v>
      </c>
    </row>
    <row r="55" spans="2:12" x14ac:dyDescent="0.55000000000000004">
      <c r="B55" s="6" t="s">
        <v>79</v>
      </c>
      <c r="C55" s="16">
        <v>2018</v>
      </c>
      <c r="D55" s="16">
        <f t="shared" ref="D55" si="49">C55+1</f>
        <v>2019</v>
      </c>
      <c r="E55" s="16">
        <f t="shared" ref="E55" si="50">D55+1</f>
        <v>2020</v>
      </c>
      <c r="F55" s="16">
        <f t="shared" ref="F55" si="51">E55+1</f>
        <v>2021</v>
      </c>
      <c r="G55" s="16">
        <f t="shared" ref="G55" si="52">F55+1</f>
        <v>2022</v>
      </c>
      <c r="H55" s="17">
        <f t="shared" ref="H55" si="53">G55+1</f>
        <v>2023</v>
      </c>
      <c r="I55" s="17">
        <f t="shared" ref="I55" si="54">H55+1</f>
        <v>2024</v>
      </c>
      <c r="J55" s="17">
        <f t="shared" ref="J55" si="55">I55+1</f>
        <v>2025</v>
      </c>
      <c r="K55" s="17">
        <f t="shared" ref="K55" si="56">J55+1</f>
        <v>2026</v>
      </c>
      <c r="L55" s="17">
        <f t="shared" ref="L55" si="57">K55+1</f>
        <v>2027</v>
      </c>
    </row>
    <row r="56" spans="2:12" x14ac:dyDescent="0.55000000000000004">
      <c r="B56" s="3" t="s">
        <v>200</v>
      </c>
      <c r="C56" s="111">
        <f>(AMZN_BS!C8/AMZN_IS!C13)*365</f>
        <v>49.761257605619889</v>
      </c>
      <c r="D56" s="111">
        <f>(AMZN_BS!D8/AMZN_IS!D13)*365</f>
        <v>46.960951369233072</v>
      </c>
      <c r="E56" s="111">
        <f>(AMZN_BS!E8/AMZN_IS!E13)*365</f>
        <v>39.823785693563764</v>
      </c>
      <c r="F56" s="111">
        <f>(AMZN_BS!F8/AMZN_IS!F13)*365</f>
        <v>28.138954753076696</v>
      </c>
      <c r="G56" s="111">
        <f>(AMZN_BS!G8/AMZN_IS!G13)*365</f>
        <v>38.268036102361364</v>
      </c>
      <c r="H56" s="112">
        <v>40</v>
      </c>
      <c r="I56" s="171">
        <f>$H56-1*($H56-$L56)/4</f>
        <v>40</v>
      </c>
      <c r="J56" s="171">
        <f>$H56-2*($H56-$L56)/4</f>
        <v>40</v>
      </c>
      <c r="K56" s="171">
        <f>$H56-3*($H56-$L56)/4</f>
        <v>40</v>
      </c>
      <c r="L56" s="112">
        <v>40</v>
      </c>
    </row>
    <row r="57" spans="2:12" x14ac:dyDescent="0.55000000000000004">
      <c r="B57" s="3" t="s">
        <v>201</v>
      </c>
      <c r="C57" s="111">
        <f>(AMZN_BS!C9/AMZN_IS!C13)*365</f>
        <v>14.889195189083118</v>
      </c>
      <c r="D57" s="111">
        <f>(AMZN_BS!D9/AMZN_IS!D13)*365</f>
        <v>24.629387356428371</v>
      </c>
      <c r="E57" s="111">
        <f>(AMZN_BS!E9/AMZN_IS!E13)*365</f>
        <v>39.967492436487213</v>
      </c>
      <c r="F57" s="111">
        <f>(AMZN_BS!F9/AMZN_IS!F13)*365</f>
        <v>46.480550080668849</v>
      </c>
      <c r="G57" s="111">
        <f>(AMZN_BS!G9/AMZN_IS!G13)*365</f>
        <v>11.460242848498879</v>
      </c>
      <c r="H57" s="112">
        <v>12</v>
      </c>
      <c r="I57" s="171">
        <f>$H57-1*($H57-$L57)/4</f>
        <v>11.5</v>
      </c>
      <c r="J57" s="171">
        <f>$H57-2*($H57-$L57)/4</f>
        <v>11</v>
      </c>
      <c r="K57" s="171">
        <f>$H57-3*($H57-$L57)/4</f>
        <v>10.5</v>
      </c>
      <c r="L57" s="112">
        <v>10</v>
      </c>
    </row>
    <row r="58" spans="2:12" x14ac:dyDescent="0.55000000000000004">
      <c r="B58" s="3" t="s">
        <v>80</v>
      </c>
      <c r="C58" s="111">
        <f>(C10/AMZN_IS!C15)*365</f>
        <v>45.046638305211417</v>
      </c>
      <c r="D58" s="111">
        <f>(D10/AMZN_IS!D15)*365</f>
        <v>45.195033104581483</v>
      </c>
      <c r="E58" s="111">
        <f>(E10/AMZN_IS!E15)*365</f>
        <v>37.226379834295585</v>
      </c>
      <c r="F58" s="111">
        <f>(F10/AMZN_IS!F15)*365</f>
        <v>43.744675851129458</v>
      </c>
      <c r="G58" s="111">
        <f>(G10/AMZN_IS!G15)*365</f>
        <v>43.4781065744328</v>
      </c>
      <c r="H58" s="112">
        <v>45</v>
      </c>
      <c r="I58" s="171">
        <f>$H58-1*($H58-$L58)/4</f>
        <v>44.25</v>
      </c>
      <c r="J58" s="171">
        <f>$H58-2*($H58-$L58)/4</f>
        <v>43.5</v>
      </c>
      <c r="K58" s="171">
        <f>$H58-3*($H58-$L58)/4</f>
        <v>42.75</v>
      </c>
      <c r="L58" s="112">
        <v>42</v>
      </c>
    </row>
    <row r="59" spans="2:12" x14ac:dyDescent="0.55000000000000004">
      <c r="B59" s="3" t="s">
        <v>81</v>
      </c>
      <c r="C59" s="111">
        <f>(C11/AMZN_IS!C13)*365</f>
        <v>26.137590333509387</v>
      </c>
      <c r="D59" s="111">
        <f>(D11/AMZN_IS!D13)*365</f>
        <v>27.084649332316179</v>
      </c>
      <c r="E59" s="111">
        <f>(E11/AMZN_IS!E13)*365</f>
        <v>23.202966347548593</v>
      </c>
      <c r="F59" s="111">
        <f>(F11/AMZN_IS!F13)*365</f>
        <v>25.552688039299991</v>
      </c>
      <c r="G59" s="111">
        <f>(G11/AMZN_IS!G13)*365</f>
        <v>30.081539661817608</v>
      </c>
      <c r="H59" s="112">
        <v>25</v>
      </c>
      <c r="I59" s="171">
        <f>$H59-1*($H59-$L59)/4</f>
        <v>25.75</v>
      </c>
      <c r="J59" s="171">
        <f>$H59-2*($H59-$L59)/4</f>
        <v>26.5</v>
      </c>
      <c r="K59" s="171">
        <f>$H59-3*($H59-$L59)/4</f>
        <v>27.25</v>
      </c>
      <c r="L59" s="112">
        <v>28</v>
      </c>
    </row>
    <row r="60" spans="2:12" x14ac:dyDescent="0.55000000000000004">
      <c r="B60" s="3" t="s">
        <v>83</v>
      </c>
      <c r="C60" s="111">
        <f>(C23/AMZN_IS!C15)*365</f>
        <v>100.1759176751272</v>
      </c>
      <c r="D60" s="111">
        <f>(D23/AMZN_IS!D15)*365</f>
        <v>104.03655398221535</v>
      </c>
      <c r="E60" s="111">
        <f>(E23/AMZN_IS!E15)*365</f>
        <v>113.48452896826929</v>
      </c>
      <c r="F60" s="111">
        <f>(F23/AMZN_IS!F15)*365</f>
        <v>105.42681314807743</v>
      </c>
      <c r="G60" s="111">
        <f>(G23/AMZN_IS!G15)*365</f>
        <v>100.59169548975007</v>
      </c>
      <c r="H60" s="112">
        <v>105</v>
      </c>
      <c r="I60" s="171">
        <f>$H60-1*($H60-$L60)/4</f>
        <v>105</v>
      </c>
      <c r="J60" s="171">
        <f>$H60-2*($H60-$L60)/4</f>
        <v>105</v>
      </c>
      <c r="K60" s="171">
        <f>$H60-3*($H60-$L60)/4</f>
        <v>105</v>
      </c>
      <c r="L60" s="112">
        <v>105</v>
      </c>
    </row>
    <row r="61" spans="2:12" x14ac:dyDescent="0.55000000000000004">
      <c r="B61" s="97" t="s">
        <v>174</v>
      </c>
      <c r="C61" s="113">
        <f>C58+C59-C60</f>
        <v>-28.991689036406385</v>
      </c>
      <c r="D61" s="113">
        <f t="shared" ref="D61:L61" si="58">D58+D59-D60</f>
        <v>-31.756871545317694</v>
      </c>
      <c r="E61" s="113">
        <f t="shared" si="58"/>
        <v>-53.055182786425107</v>
      </c>
      <c r="F61" s="113">
        <f t="shared" si="58"/>
        <v>-36.129449257647977</v>
      </c>
      <c r="G61" s="113">
        <f t="shared" si="58"/>
        <v>-27.03204925349965</v>
      </c>
      <c r="H61" s="113">
        <f t="shared" si="58"/>
        <v>-35</v>
      </c>
      <c r="I61" s="113">
        <f t="shared" si="58"/>
        <v>-35</v>
      </c>
      <c r="J61" s="113">
        <f t="shared" si="58"/>
        <v>-35</v>
      </c>
      <c r="K61" s="113">
        <f t="shared" si="58"/>
        <v>-35</v>
      </c>
      <c r="L61" s="113">
        <f t="shared" si="58"/>
        <v>-35</v>
      </c>
    </row>
    <row r="63" spans="2:12" x14ac:dyDescent="0.55000000000000004">
      <c r="B63" s="3" t="s">
        <v>202</v>
      </c>
      <c r="C63" s="2">
        <f>C16/AMZN_IS!C13</f>
        <v>6.2468063910823705E-2</v>
      </c>
      <c r="D63" s="2">
        <f>D16/AMZN_IS!D13</f>
        <v>5.2594805398507069E-2</v>
      </c>
      <c r="E63" s="2">
        <f>E16/AMZN_IS!E13</f>
        <v>3.8897695718844542E-2</v>
      </c>
      <c r="F63" s="2">
        <f>F16/AMZN_IS!F13</f>
        <v>3.2716645878651918E-2</v>
      </c>
      <c r="G63" s="2">
        <f>G16/AMZN_IS!G13</f>
        <v>3.9472122618841476E-2</v>
      </c>
      <c r="H63" s="88">
        <v>0.04</v>
      </c>
      <c r="I63" s="99">
        <f>$H63-1*($H63-$L63)/4</f>
        <v>0.04</v>
      </c>
      <c r="J63" s="99">
        <f>$H63-2*($H63-$L63)/4</f>
        <v>0.04</v>
      </c>
      <c r="K63" s="99">
        <f>$H63-3*($H63-$L63)/4</f>
        <v>0.04</v>
      </c>
      <c r="L63" s="88">
        <v>0.04</v>
      </c>
    </row>
    <row r="64" spans="2:12" x14ac:dyDescent="0.55000000000000004">
      <c r="B64" s="3" t="s">
        <v>82</v>
      </c>
      <c r="C64" s="2">
        <f>C17/AMZN_IS!C13</f>
        <v>4.810058096845251E-2</v>
      </c>
      <c r="D64" s="2">
        <f>D17/AMZN_IS!D13</f>
        <v>0.14777807088214115</v>
      </c>
      <c r="E64" s="2">
        <f>E17/AMZN_IS!E13</f>
        <v>0.15627201707488914</v>
      </c>
      <c r="F64" s="2">
        <f>F17/AMZN_IS!F13</f>
        <v>0.17733737458016013</v>
      </c>
      <c r="G64" s="2">
        <f>G17/AMZN_IS!G13</f>
        <v>0.2118377456063722</v>
      </c>
      <c r="H64" s="88">
        <v>0.2</v>
      </c>
      <c r="I64" s="99">
        <f>$H64-1*($H64-$L64)/4</f>
        <v>0.20500000000000002</v>
      </c>
      <c r="J64" s="99">
        <f>$H64-2*($H64-$L64)/4</f>
        <v>0.21000000000000002</v>
      </c>
      <c r="K64" s="99">
        <f>$H64-3*($H64-$L64)/4</f>
        <v>0.215</v>
      </c>
      <c r="L64" s="88">
        <v>0.22</v>
      </c>
    </row>
    <row r="65" spans="2:12" x14ac:dyDescent="0.55000000000000004">
      <c r="I65" s="12"/>
    </row>
    <row r="66" spans="2:12" x14ac:dyDescent="0.55000000000000004">
      <c r="B66" s="82" t="s">
        <v>176</v>
      </c>
      <c r="C66" s="2">
        <f>C24/AMZN_IS!C$13</f>
        <v>0.10160721723410925</v>
      </c>
      <c r="D66" s="2">
        <f>D24/AMZN_IS!D$13</f>
        <v>0.11563798917731942</v>
      </c>
      <c r="E66" s="2">
        <f>E24/AMZN_IS!E$13</f>
        <v>0.11432819428902979</v>
      </c>
      <c r="F66" s="2">
        <f>F24/AMZN_IS!F$13</f>
        <v>0.11020131028346906</v>
      </c>
      <c r="G66" s="2">
        <f>G24/AMZN_IS!G$13</f>
        <v>0.12172776142401596</v>
      </c>
      <c r="H66" s="88">
        <v>0.115</v>
      </c>
      <c r="I66" s="99">
        <f>$H66-1*($H66-$L66)/4</f>
        <v>0.11375</v>
      </c>
      <c r="J66" s="99">
        <f>$H66-2*($H66-$L66)/4</f>
        <v>0.1125</v>
      </c>
      <c r="K66" s="99">
        <f>$H66-3*($H66-$L66)/4</f>
        <v>0.11125</v>
      </c>
      <c r="L66" s="88">
        <v>0.11</v>
      </c>
    </row>
    <row r="67" spans="2:12" x14ac:dyDescent="0.55000000000000004">
      <c r="B67" s="82" t="s">
        <v>177</v>
      </c>
      <c r="C67" s="2">
        <f>C25/AMZN_IS!C$13</f>
        <v>2.8065113123532014E-2</v>
      </c>
      <c r="D67" s="2">
        <f>D25/AMZN_IS!D$13</f>
        <v>2.9195571113852032E-2</v>
      </c>
      <c r="E67" s="2">
        <f>E25/AMZN_IS!E$13</f>
        <v>2.5146089767499689E-2</v>
      </c>
      <c r="F67" s="2">
        <f>F25/AMZN_IS!F$13</f>
        <v>2.5173363529166364E-2</v>
      </c>
      <c r="G67" s="2">
        <f>G25/AMZN_IS!G$13</f>
        <v>2.5734314169923909E-2</v>
      </c>
      <c r="H67" s="88">
        <v>2.5000000000000001E-2</v>
      </c>
      <c r="I67" s="99">
        <f>$H67-1*($H67-$L67)/4</f>
        <v>2.4750000000000001E-2</v>
      </c>
      <c r="J67" s="99">
        <f>$H67-2*($H67-$L67)/4</f>
        <v>2.4500000000000001E-2</v>
      </c>
      <c r="K67" s="99">
        <f>$H67-3*($H67-$L67)/4</f>
        <v>2.4250000000000001E-2</v>
      </c>
      <c r="L67" s="88">
        <v>2.4E-2</v>
      </c>
    </row>
    <row r="68" spans="2:12" x14ac:dyDescent="0.55000000000000004">
      <c r="B68" s="3" t="s">
        <v>84</v>
      </c>
      <c r="C68" s="2">
        <f>(C24+C25)/AMZN_IS!C$13</f>
        <v>0.12967233035764125</v>
      </c>
      <c r="D68" s="2">
        <f>(D24+D25)/AMZN_IS!D$13</f>
        <v>0.14483356029117145</v>
      </c>
      <c r="E68" s="2">
        <f>(E24+E25)/AMZN_IS!E$13</f>
        <v>0.13947428405652948</v>
      </c>
      <c r="F68" s="2">
        <f>(F24+F25)/AMZN_IS!F$13</f>
        <v>0.13537467381263543</v>
      </c>
      <c r="G68" s="2">
        <f>(G24+G25)/AMZN_IS!G$13</f>
        <v>0.14746207559393987</v>
      </c>
      <c r="H68" s="2">
        <f>SUM(H66:H67)</f>
        <v>0.14000000000000001</v>
      </c>
      <c r="I68" s="2">
        <f t="shared" ref="I68:L68" si="59">SUM(I66:I67)</f>
        <v>0.13850000000000001</v>
      </c>
      <c r="J68" s="2">
        <f t="shared" si="59"/>
        <v>0.13700000000000001</v>
      </c>
      <c r="K68" s="2">
        <f t="shared" si="59"/>
        <v>0.13550000000000001</v>
      </c>
      <c r="L68" s="2">
        <f t="shared" si="59"/>
        <v>0.13400000000000001</v>
      </c>
    </row>
    <row r="69" spans="2:12" x14ac:dyDescent="0.55000000000000004">
      <c r="B69" s="82" t="s">
        <v>95</v>
      </c>
      <c r="C69" s="2">
        <f>C29/AMZN_IS!C$13</f>
        <v>4.1436404780000602E-2</v>
      </c>
      <c r="D69" s="2">
        <f>D29/AMZN_IS!D$13</f>
        <v>0.14184627230662836</v>
      </c>
      <c r="E69" s="2">
        <f>E29/AMZN_IS!E$13</f>
        <v>0.13617690331136806</v>
      </c>
      <c r="F69" s="2">
        <f>F29/AMZN_IS!F$13</f>
        <v>0.14399283132760918</v>
      </c>
      <c r="G69" s="2">
        <f>G29/AMZN_IS!G$13</f>
        <v>0.14196578486058878</v>
      </c>
      <c r="H69" s="88">
        <v>0.14199999999999999</v>
      </c>
      <c r="I69" s="99">
        <f>$H69-1*($H69-$L69)/4</f>
        <v>0.13150000000000001</v>
      </c>
      <c r="J69" s="99">
        <f>$H69-2*($H69-$L69)/4</f>
        <v>0.121</v>
      </c>
      <c r="K69" s="99">
        <f>$H69-3*($H69-$L69)/4</f>
        <v>0.1105</v>
      </c>
      <c r="L69" s="88">
        <v>0.1</v>
      </c>
    </row>
    <row r="70" spans="2:12" x14ac:dyDescent="0.55000000000000004">
      <c r="B70" s="82" t="s">
        <v>96</v>
      </c>
      <c r="C70" s="2">
        <f>C31/AMZN_IS!C$13</f>
        <v>7.5414256699601098E-2</v>
      </c>
      <c r="D70" s="2">
        <f>D31/AMZN_IS!D$13</f>
        <v>4.3386971431830658E-2</v>
      </c>
      <c r="E70" s="2">
        <f>E31/AMZN_IS!E$13</f>
        <v>4.4078183928053377E-2</v>
      </c>
      <c r="F70" s="2">
        <f>F31/AMZN_IS!F$13</f>
        <v>5.0323313935916159E-2</v>
      </c>
      <c r="G70" s="2">
        <f>G31/AMZN_IS!G$13</f>
        <v>4.1092798789065008E-2</v>
      </c>
      <c r="H70" s="88">
        <v>4.1000000000000002E-2</v>
      </c>
      <c r="I70" s="99">
        <f>$H70-1*($H70-$L70)/4</f>
        <v>3.7624999999999999E-2</v>
      </c>
      <c r="J70" s="99">
        <f>$H70-2*($H70-$L70)/4</f>
        <v>3.4250000000000003E-2</v>
      </c>
      <c r="K70" s="99">
        <f>$H70-3*($H70-$L70)/4</f>
        <v>3.0875E-2</v>
      </c>
      <c r="L70" s="88">
        <v>2.75E-2</v>
      </c>
    </row>
    <row r="71" spans="2:12" x14ac:dyDescent="0.55000000000000004">
      <c r="B71" s="3" t="s">
        <v>85</v>
      </c>
      <c r="C71" s="2">
        <f>(C29+C31)/AMZN_IS!C$13</f>
        <v>0.1168506614796017</v>
      </c>
      <c r="D71" s="2">
        <f>(D29+D31)/AMZN_IS!D$13</f>
        <v>0.18523324373845901</v>
      </c>
      <c r="E71" s="2">
        <f>(E29+E31)/AMZN_IS!E$13</f>
        <v>0.18025508723942144</v>
      </c>
      <c r="F71" s="2">
        <f>(F29+F31)/AMZN_IS!F$13</f>
        <v>0.19431614526352534</v>
      </c>
      <c r="G71" s="2">
        <f>(G29+G31)/AMZN_IS!G$13</f>
        <v>0.18305858364965377</v>
      </c>
      <c r="H71" s="2">
        <f>SUM(H69:H70)</f>
        <v>0.183</v>
      </c>
      <c r="I71" s="2">
        <f t="shared" ref="I71:L71" si="60">SUM(I69:I70)</f>
        <v>0.169125</v>
      </c>
      <c r="J71" s="2">
        <f t="shared" si="60"/>
        <v>0.15525</v>
      </c>
      <c r="K71" s="2">
        <f t="shared" si="60"/>
        <v>0.141375</v>
      </c>
      <c r="L71" s="2">
        <f t="shared" si="60"/>
        <v>0.1275</v>
      </c>
    </row>
    <row r="73" spans="2:12" x14ac:dyDescent="0.55000000000000004">
      <c r="B73" s="3" t="s">
        <v>86</v>
      </c>
      <c r="D73" s="99">
        <f>AMZN_IS!D34/(AVERAGE(AMZN_BS!C8:D8))</f>
        <v>2.4557059048966715E-2</v>
      </c>
      <c r="E73" s="99">
        <f>AMZN_IS!E34/(AVERAGE(AMZN_BS!D8:E8))</f>
        <v>1.4191832664228911E-2</v>
      </c>
      <c r="F73" s="99">
        <f>AMZN_IS!F34/(AVERAGE(AMZN_BS!E8:F8))</f>
        <v>1.1437032498532076E-2</v>
      </c>
      <c r="G73" s="99">
        <f>AMZN_IS!G34/(AVERAGE(AMZN_BS!F8:G8))</f>
        <v>2.1951436054512365E-2</v>
      </c>
      <c r="H73" s="99">
        <f>AMZN_IS!H34/(AVERAGE(AMZN_BS!G8:H8))</f>
        <v>1.9428855567157264E-2</v>
      </c>
      <c r="I73" s="99">
        <f>AMZN_IS!I34/(AVERAGE(AMZN_BS!H8:I8))</f>
        <v>1.9213542837430674E-2</v>
      </c>
      <c r="J73" s="99">
        <f>AMZN_IS!J34/(AVERAGE(AMZN_BS!I8:J8))</f>
        <v>1.9194888398865281E-2</v>
      </c>
      <c r="K73" s="99">
        <f>AMZN_IS!K34/(AVERAGE(AMZN_BS!J8:K8))</f>
        <v>1.9172160239794411E-2</v>
      </c>
      <c r="L73" s="99">
        <f>AMZN_IS!L34/(AVERAGE(AMZN_BS!K8:L8))</f>
        <v>1.9145462725786464E-2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802B-C0B0-4A7C-9F0E-4C1CCDD1B2B7}">
  <dimension ref="A2:AF86"/>
  <sheetViews>
    <sheetView showGridLines="0" zoomScaleNormal="100" workbookViewId="0">
      <pane xSplit="2" ySplit="5" topLeftCell="C27" activePane="bottomRight" state="frozen"/>
      <selection activeCell="S6" sqref="S6"/>
      <selection pane="topRight" activeCell="S6" sqref="S6"/>
      <selection pane="bottomLeft" activeCell="S6" sqref="S6"/>
      <selection pane="bottomRight" activeCell="C59" sqref="C59"/>
    </sheetView>
  </sheetViews>
  <sheetFormatPr defaultColWidth="9.59765625" defaultRowHeight="15" outlineLevelCol="1" x14ac:dyDescent="0.55000000000000004"/>
  <cols>
    <col min="1" max="1" width="3.59765625" style="3" customWidth="1"/>
    <col min="2" max="2" width="57.19921875" style="3" bestFit="1" customWidth="1"/>
    <col min="3" max="3" width="9.6640625" style="3" customWidth="1"/>
    <col min="4" max="7" width="9.6640625" style="3" bestFit="1" customWidth="1"/>
    <col min="8" max="8" width="11.1328125" style="3" bestFit="1" customWidth="1"/>
    <col min="9" max="12" width="9.6640625" style="3" bestFit="1" customWidth="1"/>
    <col min="14" max="14" width="10.46484375" bestFit="1" customWidth="1"/>
    <col min="15" max="15" width="12" style="3" bestFit="1" customWidth="1"/>
    <col min="16" max="17" width="9.59765625" style="3"/>
    <col min="18" max="18" width="10.33203125" style="3" bestFit="1" customWidth="1"/>
    <col min="19" max="19" width="9.59765625" style="3"/>
    <col min="20" max="20" width="41.1328125" style="3" hidden="1" customWidth="1" outlineLevel="1"/>
    <col min="21" max="21" width="6.86328125" style="3" hidden="1" customWidth="1" outlineLevel="1"/>
    <col min="22" max="30" width="7.86328125" style="3" hidden="1" customWidth="1" outlineLevel="1"/>
    <col min="31" max="31" width="0" style="3" hidden="1" customWidth="1" outlineLevel="1"/>
    <col min="32" max="32" width="9.59765625" style="3" collapsed="1"/>
    <col min="33" max="16384" width="9.59765625" style="3"/>
  </cols>
  <sheetData>
    <row r="2" spans="1:31" s="4" customFormat="1" ht="15" customHeight="1" x14ac:dyDescent="0.55000000000000004">
      <c r="B2" s="5" t="s">
        <v>160</v>
      </c>
      <c r="M2"/>
      <c r="N2"/>
    </row>
    <row r="3" spans="1:31" ht="15" customHeight="1" x14ac:dyDescent="0.55000000000000004">
      <c r="B3" s="73" t="s">
        <v>139</v>
      </c>
      <c r="C3" s="73" t="str">
        <f>DCF!D4</f>
        <v>Street Case</v>
      </c>
      <c r="D3" s="74"/>
      <c r="E3" s="73">
        <f>VLOOKUP($C$3,Scenarios!$Q$1:$R$5,2,0)</f>
        <v>1</v>
      </c>
    </row>
    <row r="4" spans="1:31" ht="15" customHeight="1" x14ac:dyDescent="0.55000000000000004">
      <c r="H4" s="3">
        <v>1</v>
      </c>
      <c r="I4" s="3">
        <f>H4+1</f>
        <v>2</v>
      </c>
      <c r="J4" s="3">
        <f t="shared" ref="J4:L4" si="0">I4+1</f>
        <v>3</v>
      </c>
      <c r="K4" s="3">
        <f t="shared" si="0"/>
        <v>4</v>
      </c>
      <c r="L4" s="3">
        <f t="shared" si="0"/>
        <v>5</v>
      </c>
    </row>
    <row r="5" spans="1:31" ht="15" customHeight="1" x14ac:dyDescent="0.55000000000000004">
      <c r="A5" s="3" t="s">
        <v>9</v>
      </c>
      <c r="B5" s="6" t="s">
        <v>29</v>
      </c>
      <c r="C5" s="16">
        <v>2018</v>
      </c>
      <c r="D5" s="16">
        <f t="shared" ref="D5:L5" si="1">C5+1</f>
        <v>2019</v>
      </c>
      <c r="E5" s="16">
        <f t="shared" si="1"/>
        <v>2020</v>
      </c>
      <c r="F5" s="16">
        <f t="shared" si="1"/>
        <v>2021</v>
      </c>
      <c r="G5" s="16">
        <f t="shared" si="1"/>
        <v>2022</v>
      </c>
      <c r="H5" s="17">
        <f t="shared" si="1"/>
        <v>2023</v>
      </c>
      <c r="I5" s="17">
        <f t="shared" si="1"/>
        <v>2024</v>
      </c>
      <c r="J5" s="17">
        <f t="shared" si="1"/>
        <v>2025</v>
      </c>
      <c r="K5" s="17">
        <f t="shared" si="1"/>
        <v>2026</v>
      </c>
      <c r="L5" s="17">
        <f t="shared" si="1"/>
        <v>2027</v>
      </c>
      <c r="T5" s="100" t="s">
        <v>179</v>
      </c>
    </row>
    <row r="6" spans="1:31" customFormat="1" ht="15" customHeight="1" x14ac:dyDescent="0.55000000000000004">
      <c r="T6" s="6" t="s">
        <v>196</v>
      </c>
      <c r="U6" s="16">
        <v>2018</v>
      </c>
      <c r="V6" s="16">
        <f>U6+1</f>
        <v>2019</v>
      </c>
      <c r="W6" s="16">
        <f>V6+1</f>
        <v>2020</v>
      </c>
      <c r="X6" s="16">
        <f>W6+1</f>
        <v>2021</v>
      </c>
      <c r="Y6" s="16">
        <f>X6+1</f>
        <v>2022</v>
      </c>
      <c r="Z6" s="3"/>
      <c r="AA6" s="3"/>
      <c r="AB6" s="3"/>
      <c r="AC6" s="3"/>
      <c r="AD6" s="3"/>
      <c r="AE6" s="3"/>
    </row>
    <row r="7" spans="1:31" customFormat="1" ht="15" customHeight="1" x14ac:dyDescent="0.55000000000000004">
      <c r="B7" s="44" t="s">
        <v>165</v>
      </c>
      <c r="C7" s="46">
        <v>21856</v>
      </c>
      <c r="D7" s="46">
        <v>32173</v>
      </c>
      <c r="E7" s="46">
        <v>36410</v>
      </c>
      <c r="F7" s="46">
        <v>42377</v>
      </c>
      <c r="G7" s="46">
        <v>36477</v>
      </c>
      <c r="H7" s="110">
        <f>G51</f>
        <v>53888</v>
      </c>
      <c r="I7" s="110">
        <f t="shared" ref="I7:L7" ca="1" si="2">H51</f>
        <v>61330.520219178026</v>
      </c>
      <c r="J7" s="110">
        <f t="shared" ca="1" si="2"/>
        <v>68167.616209100685</v>
      </c>
      <c r="K7" s="110">
        <f t="shared" ca="1" si="2"/>
        <v>75611.750776838177</v>
      </c>
      <c r="L7" s="110">
        <f t="shared" ca="1" si="2"/>
        <v>83659.626471969386</v>
      </c>
      <c r="T7" s="3"/>
      <c r="U7" s="3"/>
      <c r="V7" s="3"/>
      <c r="W7" s="3"/>
      <c r="X7" s="3"/>
      <c r="Y7" s="3"/>
      <c r="Z7" s="3"/>
      <c r="AA7" s="3"/>
      <c r="AB7" s="3"/>
      <c r="AC7" s="3"/>
      <c r="AD7" s="3"/>
      <c r="AE7" s="3"/>
    </row>
    <row r="8" spans="1:31" customFormat="1" ht="15" customHeight="1" x14ac:dyDescent="0.55000000000000004">
      <c r="T8" s="21" t="s">
        <v>180</v>
      </c>
      <c r="U8" s="3"/>
      <c r="V8" s="3"/>
      <c r="W8" s="3"/>
      <c r="X8" s="3"/>
      <c r="Y8" s="3"/>
      <c r="Z8" s="3"/>
      <c r="AA8" s="3"/>
      <c r="AB8" s="3"/>
      <c r="AC8" s="3"/>
      <c r="AD8" s="3"/>
      <c r="AE8" s="3"/>
    </row>
    <row r="9" spans="1:31" customFormat="1" ht="15" customHeight="1" x14ac:dyDescent="0.55000000000000004">
      <c r="B9" s="44" t="s">
        <v>161</v>
      </c>
      <c r="T9" s="101" t="s">
        <v>181</v>
      </c>
      <c r="U9" s="76">
        <v>31741</v>
      </c>
      <c r="V9" s="76">
        <v>39223</v>
      </c>
      <c r="W9" s="76">
        <v>57324</v>
      </c>
      <c r="X9" s="76">
        <v>81104</v>
      </c>
      <c r="Y9" s="76">
        <v>91650</v>
      </c>
      <c r="Z9" s="3"/>
      <c r="AA9" s="3"/>
      <c r="AB9" s="3"/>
      <c r="AC9" s="3"/>
      <c r="AD9" s="3"/>
      <c r="AE9" s="3"/>
    </row>
    <row r="10" spans="1:31" s="8" customFormat="1" ht="15" customHeight="1" x14ac:dyDescent="0.55000000000000004">
      <c r="B10" s="21" t="s">
        <v>2</v>
      </c>
      <c r="C10" s="76">
        <f>AMZN_IS!C42</f>
        <v>10073</v>
      </c>
      <c r="D10" s="76">
        <f>AMZN_IS!D42</f>
        <v>11588</v>
      </c>
      <c r="E10" s="76">
        <f>AMZN_IS!E42</f>
        <v>21331</v>
      </c>
      <c r="F10" s="76">
        <f>AMZN_IS!F42</f>
        <v>33364</v>
      </c>
      <c r="G10" s="76">
        <f>AMZN_IS!G42</f>
        <v>-2722</v>
      </c>
      <c r="H10" s="27">
        <f ca="1">AMZN_IS!H42</f>
        <v>6701.6678197610308</v>
      </c>
      <c r="I10" s="27">
        <f ca="1">AMZN_IS!I42</f>
        <v>12385.143671935826</v>
      </c>
      <c r="J10" s="27">
        <f ca="1">AMZN_IS!J42</f>
        <v>14210.659802407417</v>
      </c>
      <c r="K10" s="27">
        <f ca="1">AMZN_IS!K42</f>
        <v>16333.686833574848</v>
      </c>
      <c r="L10" s="27">
        <f ca="1">AMZN_IS!L42</f>
        <v>18776.188453909625</v>
      </c>
      <c r="M10"/>
      <c r="N10"/>
      <c r="T10" s="101" t="s">
        <v>182</v>
      </c>
      <c r="U10" s="76">
        <v>54591</v>
      </c>
      <c r="V10" s="76">
        <v>71310</v>
      </c>
      <c r="W10" s="76">
        <v>97224</v>
      </c>
      <c r="X10" s="76">
        <v>128683</v>
      </c>
      <c r="Y10" s="76">
        <v>157458</v>
      </c>
      <c r="Z10" s="3"/>
      <c r="AA10" s="3"/>
      <c r="AB10" s="3"/>
      <c r="AC10" s="3"/>
      <c r="AD10" s="3"/>
      <c r="AE10" s="3"/>
    </row>
    <row r="11" spans="1:31" s="8" customFormat="1" ht="15" customHeight="1" x14ac:dyDescent="0.55000000000000004">
      <c r="B11" s="21"/>
      <c r="C11" s="76"/>
      <c r="D11" s="76"/>
      <c r="E11" s="76"/>
      <c r="F11" s="76"/>
      <c r="G11" s="76"/>
      <c r="H11" s="14"/>
      <c r="I11" s="14"/>
      <c r="J11" s="14"/>
      <c r="K11" s="14"/>
      <c r="L11" s="14"/>
      <c r="M11"/>
      <c r="N11"/>
      <c r="T11" s="101" t="s">
        <v>145</v>
      </c>
      <c r="U11" s="76">
        <v>2577</v>
      </c>
      <c r="V11" s="76">
        <v>3111</v>
      </c>
      <c r="W11" s="76">
        <v>3772</v>
      </c>
      <c r="X11" s="76">
        <v>4118</v>
      </c>
      <c r="Y11" s="76">
        <v>4602</v>
      </c>
      <c r="Z11" s="3"/>
      <c r="AA11" s="3"/>
      <c r="AB11" s="3"/>
      <c r="AC11" s="3"/>
      <c r="AD11" s="3"/>
      <c r="AE11" s="3"/>
    </row>
    <row r="12" spans="1:31" ht="15" customHeight="1" x14ac:dyDescent="0.55000000000000004">
      <c r="B12" s="87" t="s">
        <v>222</v>
      </c>
      <c r="C12" s="76">
        <f>AMZN_IS!C28</f>
        <v>15341</v>
      </c>
      <c r="D12" s="76">
        <f>AMZN_IS!D28</f>
        <v>21789</v>
      </c>
      <c r="E12" s="76">
        <f>AMZN_IS!E28</f>
        <v>25251</v>
      </c>
      <c r="F12" s="76">
        <f>AMZN_IS!F28</f>
        <v>34296</v>
      </c>
      <c r="G12" s="76">
        <f>AMZN_IS!G28</f>
        <v>41461</v>
      </c>
      <c r="H12" s="14">
        <f>H61</f>
        <v>46338.274551599992</v>
      </c>
      <c r="I12" s="14">
        <f t="shared" ref="I12:L12" si="3">I61</f>
        <v>50967.541984840354</v>
      </c>
      <c r="J12" s="14">
        <f t="shared" si="3"/>
        <v>55783.041709054691</v>
      </c>
      <c r="K12" s="14">
        <f t="shared" si="3"/>
        <v>60718.457557192705</v>
      </c>
      <c r="L12" s="14">
        <f t="shared" si="3"/>
        <v>65689.540765959624</v>
      </c>
      <c r="T12" s="101" t="s">
        <v>183</v>
      </c>
      <c r="U12" s="76">
        <v>6861</v>
      </c>
      <c r="V12" s="76">
        <v>6036</v>
      </c>
      <c r="W12" s="76">
        <v>15228</v>
      </c>
      <c r="X12" s="76">
        <v>24895</v>
      </c>
      <c r="Y12" s="76">
        <v>30020</v>
      </c>
    </row>
    <row r="13" spans="1:31" ht="15" customHeight="1" x14ac:dyDescent="0.55000000000000004">
      <c r="B13" s="87" t="s">
        <v>39</v>
      </c>
      <c r="C13" s="76">
        <v>5417</v>
      </c>
      <c r="D13" s="76">
        <v>6864</v>
      </c>
      <c r="E13" s="76">
        <v>9208</v>
      </c>
      <c r="F13" s="76">
        <v>12757</v>
      </c>
      <c r="G13" s="76">
        <v>19621</v>
      </c>
      <c r="H13" s="27">
        <f>H85*SUM(AMZN_IS!H20:H23)</f>
        <v>22862.762744167616</v>
      </c>
      <c r="I13" s="27">
        <f>I85*SUM(AMZN_IS!I20:I23)</f>
        <v>22977.940739206955</v>
      </c>
      <c r="J13" s="27">
        <f>J85*SUM(AMZN_IS!J20:J23)</f>
        <v>23335.557403580344</v>
      </c>
      <c r="K13" s="27">
        <f>K85*SUM(AMZN_IS!K20:K23)</f>
        <v>23455.273328603929</v>
      </c>
      <c r="L13" s="27">
        <f>L85*SUM(AMZN_IS!L20:L23)</f>
        <v>23286.10002793312</v>
      </c>
      <c r="T13" s="84" t="s">
        <v>180</v>
      </c>
      <c r="U13" s="102">
        <f>SUM(U9:U12)</f>
        <v>95770</v>
      </c>
      <c r="V13" s="102">
        <f>SUM(V9:V12)</f>
        <v>119680</v>
      </c>
      <c r="W13" s="102">
        <f>SUM(W9:W12)</f>
        <v>173548</v>
      </c>
      <c r="X13" s="102">
        <f>SUM(X9:X12)</f>
        <v>238800</v>
      </c>
      <c r="Y13" s="102">
        <f>SUM(Y9:Y12)</f>
        <v>283730</v>
      </c>
    </row>
    <row r="14" spans="1:31" x14ac:dyDescent="0.55000000000000004">
      <c r="T14" s="3" t="s">
        <v>184</v>
      </c>
      <c r="U14" s="76">
        <v>33973</v>
      </c>
      <c r="V14" s="76">
        <v>46975</v>
      </c>
      <c r="W14" s="76">
        <v>60434</v>
      </c>
      <c r="X14" s="76">
        <v>78519</v>
      </c>
      <c r="Y14" s="76">
        <v>97015</v>
      </c>
    </row>
    <row r="15" spans="1:31" ht="15" customHeight="1" x14ac:dyDescent="0.55000000000000004">
      <c r="B15" s="87" t="s">
        <v>40</v>
      </c>
      <c r="C15" s="76">
        <v>441</v>
      </c>
      <c r="D15" s="76">
        <v>797</v>
      </c>
      <c r="E15" s="76">
        <v>-554</v>
      </c>
      <c r="F15" s="76">
        <v>-310</v>
      </c>
      <c r="G15" s="76">
        <v>-8148</v>
      </c>
      <c r="H15" s="14"/>
      <c r="I15" s="14"/>
      <c r="J15" s="14"/>
      <c r="K15" s="14"/>
      <c r="L15" s="14"/>
      <c r="T15" s="103" t="s">
        <v>185</v>
      </c>
      <c r="U15" s="104">
        <f>U13-U14</f>
        <v>61797</v>
      </c>
      <c r="V15" s="104">
        <f>V13-V14</f>
        <v>72705</v>
      </c>
      <c r="W15" s="104">
        <f>W13-W14</f>
        <v>113114</v>
      </c>
      <c r="X15" s="104">
        <f>X13-X14</f>
        <v>160281</v>
      </c>
      <c r="Y15" s="105">
        <f>Y13-Y14</f>
        <v>186715</v>
      </c>
    </row>
    <row r="16" spans="1:31" ht="15" customHeight="1" x14ac:dyDescent="0.55000000000000004">
      <c r="B16" s="87" t="s">
        <v>41</v>
      </c>
      <c r="C16" s="76">
        <v>494</v>
      </c>
      <c r="D16" s="76">
        <v>-84</v>
      </c>
      <c r="E16" s="76">
        <v>-2653</v>
      </c>
      <c r="F16" s="76">
        <v>-14169</v>
      </c>
      <c r="G16" s="76">
        <v>17426</v>
      </c>
      <c r="T16" s="3" t="s">
        <v>186</v>
      </c>
      <c r="U16" s="76">
        <v>12138</v>
      </c>
      <c r="V16" s="76">
        <v>15150</v>
      </c>
      <c r="W16" s="76">
        <v>16239</v>
      </c>
      <c r="X16" s="76">
        <v>22909</v>
      </c>
      <c r="Y16" s="76">
        <v>24924</v>
      </c>
    </row>
    <row r="17" spans="1:31" customFormat="1" ht="15" customHeight="1" x14ac:dyDescent="0.55000000000000004">
      <c r="C17" s="3"/>
      <c r="D17" s="3"/>
      <c r="E17" s="3"/>
      <c r="F17" s="3"/>
      <c r="G17" s="3"/>
      <c r="H17" s="14"/>
      <c r="I17" s="14"/>
      <c r="J17" s="14"/>
      <c r="K17" s="14"/>
      <c r="L17" s="14"/>
      <c r="T17" s="101" t="s">
        <v>190</v>
      </c>
      <c r="U17" s="76">
        <v>7300</v>
      </c>
      <c r="V17" s="76">
        <v>10100</v>
      </c>
      <c r="W17" s="76">
        <v>8500</v>
      </c>
      <c r="X17" s="76">
        <v>9900</v>
      </c>
      <c r="Y17" s="76">
        <v>6100</v>
      </c>
      <c r="Z17" s="3"/>
      <c r="AA17" s="3"/>
      <c r="AB17" s="3"/>
      <c r="AC17" s="3"/>
      <c r="AD17" s="3"/>
      <c r="AE17" s="3"/>
    </row>
    <row r="18" spans="1:31" ht="15" customHeight="1" x14ac:dyDescent="0.55000000000000004">
      <c r="B18" s="87" t="s">
        <v>42</v>
      </c>
      <c r="C18" s="76">
        <v>-4614</v>
      </c>
      <c r="D18" s="76">
        <v>-7681</v>
      </c>
      <c r="E18" s="76">
        <v>-8168</v>
      </c>
      <c r="F18" s="76">
        <v>-18163</v>
      </c>
      <c r="G18" s="76">
        <v>-21897</v>
      </c>
      <c r="H18" s="14">
        <f>AMZN_BS!G11-AMZN_BS!H11</f>
        <v>4028.4248630137008</v>
      </c>
      <c r="I18" s="14">
        <f>AMZN_BS!H11-AMZN_BS!I11</f>
        <v>-5551.3277976222889</v>
      </c>
      <c r="J18" s="14">
        <f>AMZN_BS!I11-AMZN_BS!J11</f>
        <v>-6209.8819550466724</v>
      </c>
      <c r="K18" s="14">
        <f>AMZN_BS!J11-AMZN_BS!K11</f>
        <v>-6900.3356443739103</v>
      </c>
      <c r="L18" s="14">
        <f>AMZN_BS!K11-AMZN_BS!L11</f>
        <v>-7611.9775146841785</v>
      </c>
    </row>
    <row r="19" spans="1:31" ht="15" customHeight="1" x14ac:dyDescent="0.55000000000000004">
      <c r="B19" s="87" t="s">
        <v>43</v>
      </c>
      <c r="C19" s="76">
        <v>-1314</v>
      </c>
      <c r="D19" s="76">
        <v>-3278</v>
      </c>
      <c r="E19" s="76">
        <v>-2850</v>
      </c>
      <c r="F19" s="76">
        <v>-9487</v>
      </c>
      <c r="G19" s="76">
        <v>-2592</v>
      </c>
      <c r="H19" s="14">
        <f>AMZN_BS!G10-AMZN_BS!H10</f>
        <v>-2971.7459968915427</v>
      </c>
      <c r="I19" s="14">
        <f>AMZN_BS!H10-AMZN_BS!I10</f>
        <v>-3091.2542558978676</v>
      </c>
      <c r="J19" s="14">
        <f>AMZN_BS!I10-AMZN_BS!J10</f>
        <v>-3750.6281045179785</v>
      </c>
      <c r="K19" s="14">
        <f>AMZN_BS!J10-AMZN_BS!K10</f>
        <v>-3963.1940142144886</v>
      </c>
      <c r="L19" s="14">
        <f>AMZN_BS!K10-AMZN_BS!L10</f>
        <v>-4148.3070479359449</v>
      </c>
    </row>
    <row r="20" spans="1:31" ht="15" customHeight="1" x14ac:dyDescent="0.55000000000000004">
      <c r="B20" s="87" t="s">
        <v>44</v>
      </c>
      <c r="C20" s="76"/>
      <c r="D20" s="76"/>
      <c r="E20" s="76"/>
      <c r="F20" s="76"/>
      <c r="G20" s="76"/>
      <c r="H20" s="14"/>
      <c r="I20" s="14"/>
      <c r="J20" s="14"/>
      <c r="K20" s="14"/>
      <c r="L20" s="14"/>
      <c r="T20" s="3" t="s">
        <v>187</v>
      </c>
    </row>
    <row r="21" spans="1:31" ht="15" customHeight="1" x14ac:dyDescent="0.55000000000000004">
      <c r="B21" s="87" t="s">
        <v>45</v>
      </c>
      <c r="C21" s="76">
        <v>3263</v>
      </c>
      <c r="D21" s="76">
        <v>8193</v>
      </c>
      <c r="E21" s="76">
        <v>17479</v>
      </c>
      <c r="F21" s="76">
        <v>3602</v>
      </c>
      <c r="G21" s="76">
        <v>2945</v>
      </c>
      <c r="H21" s="14">
        <f>AMZN_BS!H23-AMZN_BS!G23</f>
        <v>7612.4073260802543</v>
      </c>
      <c r="I21" s="14">
        <f>AMZN_BS!I23-AMZN_BS!H23</f>
        <v>8813.3559856234206</v>
      </c>
      <c r="J21" s="14">
        <f>AMZN_BS!J23-AMZN_BS!I23</f>
        <v>10708.856861107255</v>
      </c>
      <c r="K21" s="14">
        <f>AMZN_BS!K23-AMZN_BS!J23</f>
        <v>11606.697932681403</v>
      </c>
      <c r="L21" s="14">
        <f>AMZN_BS!L23-AMZN_BS!K23</f>
        <v>12484.005443152215</v>
      </c>
      <c r="T21" s="3" t="s">
        <v>71</v>
      </c>
      <c r="V21" s="13">
        <f>V$13</f>
        <v>119680</v>
      </c>
      <c r="W21" s="13">
        <f>W$13</f>
        <v>173548</v>
      </c>
      <c r="X21" s="13">
        <f>X$13</f>
        <v>238800</v>
      </c>
      <c r="Y21" s="13">
        <f>Y$13</f>
        <v>283730</v>
      </c>
    </row>
    <row r="22" spans="1:31" ht="15" customHeight="1" x14ac:dyDescent="0.55000000000000004">
      <c r="B22" s="87" t="s">
        <v>46</v>
      </c>
      <c r="C22" s="76">
        <v>1623</v>
      </c>
      <c r="D22" s="76">
        <v>327</v>
      </c>
      <c r="E22" s="76">
        <v>7020</v>
      </c>
      <c r="F22" s="76">
        <v>4437</v>
      </c>
      <c r="G22" s="76">
        <v>658</v>
      </c>
      <c r="H22" s="14">
        <f>(AMZN_BS!H24-AMZN_BS!G24)+(AMZN_BS!H25-AMZN_BS!G25)</f>
        <v>2556.7395800000031</v>
      </c>
      <c r="I22" s="14">
        <f>(AMZN_BS!I24-AMZN_BS!H24)+(AMZN_BS!I25-AMZN_BS!H25)</f>
        <v>7801.3458802641107</v>
      </c>
      <c r="J22" s="14">
        <f>(AMZN_BS!J24-AMZN_BS!I24)+(AMZN_BS!J25-AMZN_BS!I25)</f>
        <v>8373.0544796306476</v>
      </c>
      <c r="K22" s="14">
        <f>(AMZN_BS!K24-AMZN_BS!J24)+(AMZN_BS!K25-AMZN_BS!J25)</f>
        <v>8915.7594660409413</v>
      </c>
      <c r="L22" s="14">
        <f>(AMZN_BS!L24-AMZN_BS!K24)+(AMZN_BS!L25-AMZN_BS!K25)</f>
        <v>9411.3629355846606</v>
      </c>
      <c r="T22" s="3" t="s">
        <v>186</v>
      </c>
      <c r="U22" s="13"/>
      <c r="V22" s="13">
        <f>V$16</f>
        <v>15150</v>
      </c>
      <c r="W22" s="13">
        <f>W$16</f>
        <v>16239</v>
      </c>
      <c r="X22" s="13">
        <f>X$16</f>
        <v>22909</v>
      </c>
      <c r="Y22" s="13">
        <f>Y$16</f>
        <v>24924</v>
      </c>
    </row>
    <row r="23" spans="1:31" ht="15" customHeight="1" x14ac:dyDescent="0.55000000000000004">
      <c r="B23" s="82"/>
      <c r="H23" s="14"/>
      <c r="I23" s="14"/>
      <c r="J23" s="14"/>
      <c r="K23" s="14"/>
      <c r="L23" s="14"/>
      <c r="T23" s="3" t="s">
        <v>188</v>
      </c>
      <c r="V23" s="15"/>
      <c r="W23" s="15">
        <f>W21-V21+W22</f>
        <v>70107</v>
      </c>
      <c r="X23" s="15">
        <f>X21-W21+X22</f>
        <v>88161</v>
      </c>
      <c r="Y23" s="15">
        <f>Y21-X21+Y22</f>
        <v>69854</v>
      </c>
    </row>
    <row r="24" spans="1:31" ht="15" customHeight="1" x14ac:dyDescent="0.55000000000000004">
      <c r="A24" s="3" t="s">
        <v>9</v>
      </c>
      <c r="B24" s="18" t="s">
        <v>47</v>
      </c>
      <c r="C24" s="90">
        <f t="shared" ref="C24:L24" si="4">C10+SUM(C12:C13)+SUM(C15:C16,C18:C22)</f>
        <v>30724</v>
      </c>
      <c r="D24" s="90">
        <f t="shared" si="4"/>
        <v>38515</v>
      </c>
      <c r="E24" s="90">
        <f t="shared" si="4"/>
        <v>66064</v>
      </c>
      <c r="F24" s="90">
        <f t="shared" si="4"/>
        <v>46327</v>
      </c>
      <c r="G24" s="90">
        <f t="shared" si="4"/>
        <v>46752</v>
      </c>
      <c r="H24" s="90">
        <f t="shared" ca="1" si="4"/>
        <v>87128.530887731045</v>
      </c>
      <c r="I24" s="90">
        <f t="shared" ca="1" si="4"/>
        <v>94302.746208350523</v>
      </c>
      <c r="J24" s="90">
        <f t="shared" ca="1" si="4"/>
        <v>102450.66019621571</v>
      </c>
      <c r="K24" s="90">
        <f t="shared" ca="1" si="4"/>
        <v>110166.34545950542</v>
      </c>
      <c r="L24" s="90">
        <f t="shared" ca="1" si="4"/>
        <v>117886.91306391911</v>
      </c>
      <c r="T24" s="3" t="s">
        <v>275</v>
      </c>
      <c r="W24" s="15">
        <f>-E27</f>
        <v>40141</v>
      </c>
      <c r="X24" s="15">
        <f>-F27</f>
        <v>61053</v>
      </c>
      <c r="Y24" s="15">
        <f>-G27</f>
        <v>63645</v>
      </c>
    </row>
    <row r="26" spans="1:31" ht="15" customHeight="1" x14ac:dyDescent="0.55000000000000004">
      <c r="B26" s="44" t="s">
        <v>162</v>
      </c>
      <c r="C26"/>
      <c r="D26"/>
      <c r="E26"/>
      <c r="F26"/>
      <c r="G26"/>
      <c r="H26"/>
      <c r="I26"/>
      <c r="J26"/>
      <c r="K26"/>
      <c r="L26"/>
      <c r="T26" s="100" t="s">
        <v>179</v>
      </c>
    </row>
    <row r="27" spans="1:31" s="8" customFormat="1" ht="15" customHeight="1" x14ac:dyDescent="0.55000000000000004">
      <c r="B27" s="21" t="s">
        <v>48</v>
      </c>
      <c r="C27" s="76">
        <v>-13426</v>
      </c>
      <c r="D27" s="76">
        <v>-16861</v>
      </c>
      <c r="E27" s="76">
        <v>-40141</v>
      </c>
      <c r="F27" s="76">
        <v>-61053</v>
      </c>
      <c r="G27" s="76">
        <v>-63645</v>
      </c>
      <c r="H27" s="27">
        <f>-H59*AMZN_IS!H13</f>
        <v>-67156.919639999993</v>
      </c>
      <c r="I27" s="27">
        <f>-I59*AMZN_IS!I13</f>
        <v>-71533.392259425076</v>
      </c>
      <c r="J27" s="27">
        <f>-J59*AMZN_IS!J13</f>
        <v>-75895.294842251271</v>
      </c>
      <c r="K27" s="27">
        <f>-K59*AMZN_IS!K13</f>
        <v>-80156.37961345572</v>
      </c>
      <c r="L27" s="27">
        <f>-L59*AMZN_IS!L13</f>
        <v>-84217.359956358487</v>
      </c>
      <c r="M27"/>
      <c r="N27" t="s">
        <v>209</v>
      </c>
      <c r="T27" s="6" t="s">
        <v>196</v>
      </c>
      <c r="U27" s="16"/>
      <c r="V27" s="16"/>
      <c r="W27" s="16">
        <v>2020</v>
      </c>
      <c r="X27" s="16">
        <f t="shared" ref="X27:AD27" si="5">W27+1</f>
        <v>2021</v>
      </c>
      <c r="Y27" s="16">
        <f t="shared" si="5"/>
        <v>2022</v>
      </c>
      <c r="Z27" s="17">
        <f t="shared" si="5"/>
        <v>2023</v>
      </c>
      <c r="AA27" s="17">
        <f t="shared" si="5"/>
        <v>2024</v>
      </c>
      <c r="AB27" s="17">
        <f t="shared" si="5"/>
        <v>2025</v>
      </c>
      <c r="AC27" s="17">
        <f t="shared" si="5"/>
        <v>2026</v>
      </c>
      <c r="AD27" s="17">
        <f t="shared" si="5"/>
        <v>2027</v>
      </c>
      <c r="AE27" s="3"/>
    </row>
    <row r="28" spans="1:31" s="8" customFormat="1" ht="15" customHeight="1" x14ac:dyDescent="0.55000000000000004">
      <c r="B28" s="82" t="s">
        <v>49</v>
      </c>
      <c r="C28" s="76">
        <v>-82</v>
      </c>
      <c r="D28" s="76">
        <v>1710</v>
      </c>
      <c r="E28" s="76">
        <v>2771</v>
      </c>
      <c r="F28" s="76">
        <v>3672</v>
      </c>
      <c r="G28" s="76">
        <v>-2992</v>
      </c>
      <c r="H28" s="14">
        <f>AMZN_BS!G16-AMZN_BS!H16</f>
        <v>-1567.6398799999988</v>
      </c>
      <c r="I28" s="14">
        <f>AMZN_BS!H16-AMZN_BS!I16</f>
        <v>-3025.5400363217668</v>
      </c>
      <c r="J28" s="14">
        <f>AMZN_BS!I16-AMZN_BS!J16</f>
        <v>-2717.1091172241504</v>
      </c>
      <c r="K28" s="14">
        <f>AMZN_BS!J16-AMZN_BS!K16</f>
        <v>-2937.4746287229245</v>
      </c>
      <c r="L28" s="14">
        <f>AMZN_BS!K16-AMZN_BS!L16</f>
        <v>-3151.1803202745541</v>
      </c>
      <c r="M28"/>
      <c r="N28"/>
      <c r="T28" s="3" t="s">
        <v>191</v>
      </c>
      <c r="U28" s="3"/>
      <c r="V28" s="27"/>
      <c r="W28" s="27">
        <f>AMZN_IS!E13</f>
        <v>386064</v>
      </c>
      <c r="X28" s="27">
        <f>AMZN_IS!F13</f>
        <v>469822</v>
      </c>
      <c r="Y28" s="27">
        <f>AMZN_IS!G13</f>
        <v>513983</v>
      </c>
      <c r="Z28" s="27">
        <f>AMZN_IS!H13</f>
        <v>559640.99699999997</v>
      </c>
      <c r="AA28" s="27">
        <f>AMZN_IS!I13</f>
        <v>622029.49790804414</v>
      </c>
      <c r="AB28" s="27">
        <f>AMZN_IS!J13</f>
        <v>689957.22583864792</v>
      </c>
      <c r="AC28" s="27">
        <f>AMZN_IS!K13</f>
        <v>763394.09155672102</v>
      </c>
      <c r="AD28" s="27">
        <f>AMZN_IS!L13</f>
        <v>842173.59956358478</v>
      </c>
      <c r="AE28" s="3"/>
    </row>
    <row r="29" spans="1:31" s="8" customFormat="1" ht="15" customHeight="1" x14ac:dyDescent="0.55000000000000004">
      <c r="B29" s="21" t="s">
        <v>205</v>
      </c>
      <c r="C29" s="76">
        <v>1139</v>
      </c>
      <c r="D29" s="76">
        <v>-9131</v>
      </c>
      <c r="E29" s="76">
        <v>-22242</v>
      </c>
      <c r="F29" s="76">
        <v>-773</v>
      </c>
      <c r="G29" s="76">
        <v>29036</v>
      </c>
      <c r="H29" s="14">
        <f>AMZN_BS!G9-AMZN_BS!H9</f>
        <v>-2261.1560657534246</v>
      </c>
      <c r="I29" s="14">
        <f>AMZN_BS!H9-AMZN_BS!I9</f>
        <v>-1199.0335943630344</v>
      </c>
      <c r="J29" s="14">
        <f>AMZN_BS!I9-AMZN_BS!J9</f>
        <v>-1195.0418035140247</v>
      </c>
      <c r="K29" s="14">
        <f>AMZN_BS!J9-AMZN_BS!K9</f>
        <v>-1167.4204852614894</v>
      </c>
      <c r="L29" s="14">
        <f>AMZN_BS!K9-AMZN_BS!L9</f>
        <v>-1112.597354219939</v>
      </c>
      <c r="M29"/>
      <c r="N29"/>
      <c r="T29" s="3" t="s">
        <v>189</v>
      </c>
      <c r="U29" s="3"/>
      <c r="V29" s="3"/>
      <c r="W29" s="2">
        <f>W23/W28</f>
        <v>0.18159424344150193</v>
      </c>
      <c r="X29" s="2">
        <f>X23/X28</f>
        <v>0.18764766230614999</v>
      </c>
      <c r="Y29" s="2">
        <f>Y23/Y28</f>
        <v>0.13590721872124176</v>
      </c>
      <c r="Z29" s="106">
        <f>Y29</f>
        <v>0.13590721872124176</v>
      </c>
      <c r="AA29" s="106">
        <f>Z29</f>
        <v>0.13590721872124176</v>
      </c>
      <c r="AB29" s="106">
        <f>AA29</f>
        <v>0.13590721872124176</v>
      </c>
      <c r="AC29" s="106">
        <f>AB29</f>
        <v>0.13590721872124176</v>
      </c>
      <c r="AD29" s="106">
        <f>AC29</f>
        <v>0.13590721872124176</v>
      </c>
      <c r="AE29" s="3"/>
    </row>
    <row r="30" spans="1:31" s="8" customFormat="1" ht="15" customHeight="1" x14ac:dyDescent="0.55000000000000004">
      <c r="B30" s="21" t="s">
        <v>50</v>
      </c>
      <c r="C30" s="76"/>
      <c r="D30" s="76"/>
      <c r="E30" s="76"/>
      <c r="F30" s="76"/>
      <c r="G30" s="76"/>
      <c r="H30" s="14">
        <f>(AMZN_BS!G17-AMZN_BS!H17)+(AMZN_BS!H29-AMZN_BS!G29)+(AMZN_BS!H31-AMZN_BS!G31)</f>
        <v>5278.1030509999873</v>
      </c>
      <c r="I30" s="14">
        <f>(AMZN_BS!H17-AMZN_BS!I17)+(AMZN_BS!I29-AMZN_BS!H29)+(AMZN_BS!I31-AMZN_BS!H31)</f>
        <v>-12801.411288451076</v>
      </c>
      <c r="J30" s="14">
        <f>(AMZN_BS!I17-AMZN_BS!J17)+(AMZN_BS!J29-AMZN_BS!I29)+(AMZN_BS!J31-AMZN_BS!I31)</f>
        <v>-15459.849877214889</v>
      </c>
      <c r="K30" s="14">
        <f>(AMZN_BS!J17-AMZN_BS!K17)+(AMZN_BS!K29-AMZN_BS!J29)+(AMZN_BS!K31-AMZN_BS!J31)</f>
        <v>-18429.731876197606</v>
      </c>
      <c r="L30" s="14">
        <f>(AMZN_BS!K17-AMZN_BS!L17)+(AMZN_BS!L29-AMZN_BS!K29)+(AMZN_BS!L31-AMZN_BS!K31)</f>
        <v>-21696.167968768004</v>
      </c>
      <c r="M30"/>
      <c r="N30" t="s">
        <v>204</v>
      </c>
      <c r="T30" s="3" t="s">
        <v>192</v>
      </c>
      <c r="U30" s="3"/>
      <c r="V30" s="3"/>
      <c r="W30" s="3"/>
      <c r="X30" s="3"/>
      <c r="Y30" s="3"/>
      <c r="Z30" s="15">
        <f>Z28*Z29</f>
        <v>76059.251384652802</v>
      </c>
      <c r="AA30" s="15">
        <f>AA28*AA29</f>
        <v>84538.299023252752</v>
      </c>
      <c r="AB30" s="15">
        <f>AB28*AB29</f>
        <v>93770.167600354311</v>
      </c>
      <c r="AC30" s="15">
        <f>AC28*AC29</f>
        <v>103750.76777170294</v>
      </c>
      <c r="AD30" s="15">
        <f>AD28*AD29</f>
        <v>114457.47159714359</v>
      </c>
      <c r="AE30" s="3"/>
    </row>
    <row r="31" spans="1:31" customFormat="1" ht="15" customHeight="1" x14ac:dyDescent="0.55000000000000004">
      <c r="T31" s="3"/>
      <c r="U31" s="3"/>
      <c r="V31" s="3"/>
      <c r="W31" s="3"/>
      <c r="X31" s="3"/>
      <c r="Y31" s="3"/>
      <c r="Z31" s="3"/>
      <c r="AA31" s="3"/>
      <c r="AB31" s="3"/>
      <c r="AC31" s="3"/>
      <c r="AD31" s="3"/>
      <c r="AE31" s="3"/>
    </row>
    <row r="32" spans="1:31" ht="15" customHeight="1" x14ac:dyDescent="0.55000000000000004">
      <c r="A32" s="3" t="s">
        <v>9</v>
      </c>
      <c r="B32" s="18" t="s">
        <v>51</v>
      </c>
      <c r="C32" s="90">
        <f>SUM(C27:C30)</f>
        <v>-12369</v>
      </c>
      <c r="D32" s="90">
        <f t="shared" ref="D32:L32" si="6">SUM(D27:D30)</f>
        <v>-24282</v>
      </c>
      <c r="E32" s="90">
        <f t="shared" si="6"/>
        <v>-59612</v>
      </c>
      <c r="F32" s="90">
        <f t="shared" si="6"/>
        <v>-58154</v>
      </c>
      <c r="G32" s="90">
        <f t="shared" si="6"/>
        <v>-37601</v>
      </c>
      <c r="H32" s="90">
        <f t="shared" si="6"/>
        <v>-65707.61253475344</v>
      </c>
      <c r="I32" s="90">
        <f t="shared" si="6"/>
        <v>-88559.377178560942</v>
      </c>
      <c r="J32" s="90">
        <f t="shared" si="6"/>
        <v>-95267.295640204349</v>
      </c>
      <c r="K32" s="90">
        <f t="shared" si="6"/>
        <v>-102691.00660363774</v>
      </c>
      <c r="L32" s="90">
        <f t="shared" si="6"/>
        <v>-110177.30559962097</v>
      </c>
      <c r="T32" s="100" t="s">
        <v>69</v>
      </c>
    </row>
    <row r="33" spans="1:31" customFormat="1" ht="15" customHeight="1" x14ac:dyDescent="0.55000000000000004">
      <c r="T33" s="3" t="s">
        <v>71</v>
      </c>
      <c r="U33" s="3"/>
      <c r="V33" s="13">
        <f>V$13</f>
        <v>119680</v>
      </c>
      <c r="W33" s="13">
        <f>W$13</f>
        <v>173548</v>
      </c>
      <c r="X33" s="13">
        <f>X$13</f>
        <v>238800</v>
      </c>
      <c r="Y33" s="13">
        <f>Y$13</f>
        <v>283730</v>
      </c>
      <c r="Z33" s="3"/>
      <c r="AA33" s="3"/>
      <c r="AB33" s="3"/>
      <c r="AC33" s="3"/>
      <c r="AD33" s="3"/>
      <c r="AE33" s="3"/>
    </row>
    <row r="34" spans="1:31" x14ac:dyDescent="0.55000000000000004">
      <c r="B34" s="44" t="s">
        <v>170</v>
      </c>
      <c r="T34" s="3" t="s">
        <v>186</v>
      </c>
      <c r="U34" s="13"/>
      <c r="V34" s="13">
        <f>V$16</f>
        <v>15150</v>
      </c>
      <c r="W34" s="13">
        <f>W$16</f>
        <v>16239</v>
      </c>
      <c r="X34" s="13">
        <f>X$16</f>
        <v>22909</v>
      </c>
      <c r="Y34" s="13">
        <f>Y$16</f>
        <v>24924</v>
      </c>
    </row>
    <row r="35" spans="1:31" s="8" customFormat="1" ht="15" customHeight="1" x14ac:dyDescent="0.55000000000000004">
      <c r="B35" s="21" t="s">
        <v>52</v>
      </c>
      <c r="C35" s="76">
        <v>0</v>
      </c>
      <c r="D35" s="76">
        <v>0</v>
      </c>
      <c r="E35" s="76">
        <v>0</v>
      </c>
      <c r="F35" s="76">
        <v>0</v>
      </c>
      <c r="G35" s="76">
        <v>-6000</v>
      </c>
      <c r="H35" s="14">
        <f>(AMZN_BS!H36-AMZN_BS!G36)+(AMZN_BS!H37-AMZN_BS!G37)+(AMZN_BS!H38-AMZN_BS!G38)</f>
        <v>0</v>
      </c>
      <c r="I35" s="14">
        <f>(AMZN_BS!I36-AMZN_BS!H36)+(AMZN_BS!I37-AMZN_BS!H37)+(AMZN_BS!I38-AMZN_BS!H38)</f>
        <v>0</v>
      </c>
      <c r="J35" s="14">
        <f>(AMZN_BS!J36-AMZN_BS!I36)+(AMZN_BS!J37-AMZN_BS!I37)+(AMZN_BS!J38-AMZN_BS!I38)</f>
        <v>0</v>
      </c>
      <c r="K35" s="14">
        <f>(AMZN_BS!K36-AMZN_BS!J36)+(AMZN_BS!K37-AMZN_BS!J37)+(AMZN_BS!K38-AMZN_BS!J38)</f>
        <v>0</v>
      </c>
      <c r="L35" s="14">
        <f>(AMZN_BS!L36-AMZN_BS!K36)+(AMZN_BS!L37-AMZN_BS!K37)+(AMZN_BS!L38-AMZN_BS!K38)</f>
        <v>0</v>
      </c>
      <c r="M35"/>
      <c r="N35"/>
      <c r="T35" s="3" t="s">
        <v>193</v>
      </c>
      <c r="U35" s="3"/>
      <c r="V35" s="72">
        <f>V33/V34</f>
        <v>7.8996699669966999</v>
      </c>
      <c r="W35" s="72">
        <f>W33/W34</f>
        <v>10.687111275324835</v>
      </c>
      <c r="X35" s="72">
        <f>X33/X34</f>
        <v>10.423850888297176</v>
      </c>
      <c r="Y35" s="72">
        <f>Y33/Y34</f>
        <v>11.38380677258867</v>
      </c>
      <c r="Z35" s="3"/>
      <c r="AA35" s="3"/>
      <c r="AB35" s="3"/>
      <c r="AC35" s="3"/>
      <c r="AD35" s="3"/>
      <c r="AE35" s="3"/>
    </row>
    <row r="36" spans="1:31" s="8" customFormat="1" ht="15" customHeight="1" x14ac:dyDescent="0.55000000000000004">
      <c r="B36" s="21" t="s">
        <v>53</v>
      </c>
      <c r="C36" s="76">
        <v>0</v>
      </c>
      <c r="D36" s="76">
        <v>223</v>
      </c>
      <c r="E36" s="76">
        <v>632</v>
      </c>
      <c r="F36" s="76">
        <v>203</v>
      </c>
      <c r="G36" s="76">
        <v>3999</v>
      </c>
      <c r="H36" s="14"/>
      <c r="I36" s="14"/>
      <c r="J36" s="14"/>
      <c r="K36" s="14"/>
      <c r="L36" s="14"/>
      <c r="M36"/>
      <c r="N36"/>
      <c r="T36" s="3"/>
      <c r="U36" s="3"/>
      <c r="V36" s="3"/>
      <c r="W36" s="3"/>
      <c r="X36" s="3"/>
      <c r="Y36" s="3"/>
      <c r="Z36" s="3"/>
      <c r="AA36" s="3"/>
      <c r="AB36" s="3"/>
      <c r="AC36" s="3"/>
      <c r="AD36" s="3"/>
      <c r="AE36" s="3"/>
    </row>
    <row r="37" spans="1:31" s="8" customFormat="1" ht="15" customHeight="1" x14ac:dyDescent="0.55000000000000004">
      <c r="B37" s="21" t="s">
        <v>54</v>
      </c>
      <c r="C37" s="76">
        <v>102</v>
      </c>
      <c r="D37" s="76">
        <v>-633</v>
      </c>
      <c r="E37" s="76">
        <v>8959</v>
      </c>
      <c r="F37" s="76">
        <v>17413</v>
      </c>
      <c r="G37" s="76">
        <v>19908</v>
      </c>
      <c r="H37" s="14">
        <f ca="1">AMZN_BS!H30-AMZN_BS!G30</f>
        <v>8884.3646103680367</v>
      </c>
      <c r="I37" s="14">
        <f ca="1">AMZN_BS!I30-AMZN_BS!H30</f>
        <v>24071.667699340032</v>
      </c>
      <c r="J37" s="14">
        <f ca="1">AMZN_BS!J30-AMZN_BS!I30</f>
        <v>23596.32741530647</v>
      </c>
      <c r="K37" s="14">
        <f ca="1">AMZN_BS!K30-AMZN_BS!J30</f>
        <v>24027.810167867457</v>
      </c>
      <c r="L37" s="14">
        <f ca="1">AMZN_BS!L30-AMZN_BS!K30</f>
        <v>24209.863304113271</v>
      </c>
      <c r="M37"/>
      <c r="N37"/>
      <c r="T37" s="3"/>
      <c r="U37" s="3"/>
      <c r="V37" s="3"/>
      <c r="W37" s="3"/>
      <c r="X37" s="3"/>
      <c r="Y37" s="3"/>
      <c r="Z37" s="17">
        <v>2023</v>
      </c>
      <c r="AA37" s="17">
        <f>Z37+1</f>
        <v>2024</v>
      </c>
      <c r="AB37" s="17">
        <f>AA37+1</f>
        <v>2025</v>
      </c>
      <c r="AC37" s="17">
        <f>AB37+1</f>
        <v>2026</v>
      </c>
      <c r="AD37" s="17">
        <f>AC37+1</f>
        <v>2027</v>
      </c>
      <c r="AE37" s="3"/>
    </row>
    <row r="38" spans="1:31" s="8" customFormat="1" ht="15" customHeight="1" x14ac:dyDescent="0.55000000000000004">
      <c r="B38" s="21" t="s">
        <v>55</v>
      </c>
      <c r="C38" s="76">
        <v>-7789</v>
      </c>
      <c r="D38" s="76">
        <v>-9656</v>
      </c>
      <c r="E38" s="76">
        <v>-10695</v>
      </c>
      <c r="F38" s="76">
        <v>-11325</v>
      </c>
      <c r="G38" s="76">
        <v>-8189</v>
      </c>
      <c r="H38" s="14">
        <f>-H13</f>
        <v>-22862.762744167616</v>
      </c>
      <c r="I38" s="14">
        <f t="shared" ref="I38:L38" si="7">-I13</f>
        <v>-22977.940739206955</v>
      </c>
      <c r="J38" s="14">
        <f t="shared" si="7"/>
        <v>-23335.557403580344</v>
      </c>
      <c r="K38" s="14">
        <f t="shared" si="7"/>
        <v>-23455.273328603929</v>
      </c>
      <c r="L38" s="14">
        <f t="shared" si="7"/>
        <v>-23286.10002793312</v>
      </c>
      <c r="M38"/>
      <c r="N38"/>
      <c r="T38" s="3" t="s">
        <v>71</v>
      </c>
      <c r="U38" s="3"/>
      <c r="V38" s="3"/>
      <c r="W38" s="3"/>
      <c r="X38" s="3"/>
      <c r="Y38" s="13">
        <f>Y$13</f>
        <v>283730</v>
      </c>
      <c r="Z38" s="15">
        <f>Y38/Y35</f>
        <v>24924</v>
      </c>
      <c r="AA38" s="15">
        <f t="shared" ref="AA38:AD39" si="8">Z38</f>
        <v>24924</v>
      </c>
      <c r="AB38" s="15">
        <f t="shared" si="8"/>
        <v>24924</v>
      </c>
      <c r="AC38" s="15">
        <f t="shared" si="8"/>
        <v>24924</v>
      </c>
      <c r="AD38" s="15">
        <f t="shared" si="8"/>
        <v>24924</v>
      </c>
      <c r="AE38" s="3"/>
    </row>
    <row r="39" spans="1:31" x14ac:dyDescent="0.55000000000000004">
      <c r="T39" s="3" t="str">
        <f>$T$30&amp;"in "&amp;Z27</f>
        <v>Capital Spend in 2023</v>
      </c>
      <c r="Y39" s="13" cm="1">
        <f t="array" ref="Y39:Y43">TRANSPOSE(Z30:AD30)</f>
        <v>76059.251384652802</v>
      </c>
      <c r="Z39" s="15">
        <f>Y39/Y35</f>
        <v>6681.354743985783</v>
      </c>
      <c r="AA39" s="15">
        <f t="shared" si="8"/>
        <v>6681.354743985783</v>
      </c>
      <c r="AB39" s="15">
        <f t="shared" si="8"/>
        <v>6681.354743985783</v>
      </c>
      <c r="AC39" s="15">
        <f t="shared" si="8"/>
        <v>6681.354743985783</v>
      </c>
      <c r="AD39" s="15">
        <f t="shared" si="8"/>
        <v>6681.354743985783</v>
      </c>
    </row>
    <row r="40" spans="1:31" ht="15" customHeight="1" x14ac:dyDescent="0.55000000000000004">
      <c r="A40" s="3" t="s">
        <v>9</v>
      </c>
      <c r="B40" s="18" t="s">
        <v>56</v>
      </c>
      <c r="C40" s="90">
        <f>SUM(C35:C38)</f>
        <v>-7687</v>
      </c>
      <c r="D40" s="90">
        <f t="shared" ref="D40:L40" si="9">SUM(D35:D38)</f>
        <v>-10066</v>
      </c>
      <c r="E40" s="90">
        <f t="shared" si="9"/>
        <v>-1104</v>
      </c>
      <c r="F40" s="90">
        <f t="shared" si="9"/>
        <v>6291</v>
      </c>
      <c r="G40" s="90">
        <f t="shared" si="9"/>
        <v>9718</v>
      </c>
      <c r="H40" s="90">
        <f t="shared" ca="1" si="9"/>
        <v>-13978.398133799579</v>
      </c>
      <c r="I40" s="90">
        <f t="shared" ca="1" si="9"/>
        <v>1093.7269601330772</v>
      </c>
      <c r="J40" s="90">
        <f t="shared" ca="1" si="9"/>
        <v>260.77001172612654</v>
      </c>
      <c r="K40" s="90">
        <f t="shared" ca="1" si="9"/>
        <v>572.53683926352824</v>
      </c>
      <c r="L40" s="90">
        <f t="shared" ca="1" si="9"/>
        <v>923.76327618015057</v>
      </c>
      <c r="T40" s="3" t="str">
        <f>$T$30&amp;"in "&amp;AA27</f>
        <v>Capital Spend in 2024</v>
      </c>
      <c r="Y40" s="13">
        <v>84538.299023252752</v>
      </c>
      <c r="Z40" s="15"/>
      <c r="AA40" s="15">
        <f>Y40/Y35</f>
        <v>7426.1888586175291</v>
      </c>
      <c r="AB40" s="15">
        <f>AA40</f>
        <v>7426.1888586175291</v>
      </c>
      <c r="AC40" s="15">
        <f>AB40</f>
        <v>7426.1888586175291</v>
      </c>
      <c r="AD40" s="15">
        <f>AC40</f>
        <v>7426.1888586175291</v>
      </c>
    </row>
    <row r="41" spans="1:31" x14ac:dyDescent="0.55000000000000004">
      <c r="T41" s="3" t="str">
        <f>$T$30&amp;"in "&amp;AB27</f>
        <v>Capital Spend in 2025</v>
      </c>
      <c r="Y41" s="13">
        <v>93770.167600354311</v>
      </c>
      <c r="Z41" s="15"/>
      <c r="AA41" s="15"/>
      <c r="AB41" s="15">
        <f>Y41/Y35</f>
        <v>8237.153833825223</v>
      </c>
      <c r="AC41" s="15">
        <f>AB41</f>
        <v>8237.153833825223</v>
      </c>
      <c r="AD41" s="15">
        <f>AC41</f>
        <v>8237.153833825223</v>
      </c>
    </row>
    <row r="42" spans="1:31" x14ac:dyDescent="0.55000000000000004">
      <c r="B42" s="3" t="s">
        <v>57</v>
      </c>
      <c r="C42" s="76">
        <v>-351</v>
      </c>
      <c r="D42" s="76">
        <v>70</v>
      </c>
      <c r="E42" s="76">
        <v>619</v>
      </c>
      <c r="F42" s="76">
        <v>-364</v>
      </c>
      <c r="G42" s="76">
        <v>-1093</v>
      </c>
      <c r="H42" s="15">
        <v>0</v>
      </c>
      <c r="I42" s="15">
        <v>0</v>
      </c>
      <c r="J42" s="15">
        <v>0</v>
      </c>
      <c r="K42" s="15">
        <v>0</v>
      </c>
      <c r="L42" s="15">
        <v>0</v>
      </c>
      <c r="T42" s="3" t="str">
        <f>$T$30&amp;"in "&amp;AC27</f>
        <v>Capital Spend in 2026</v>
      </c>
      <c r="Y42" s="13">
        <v>103750.76777170294</v>
      </c>
      <c r="Z42" s="15"/>
      <c r="AA42" s="15"/>
      <c r="AB42" s="15"/>
      <c r="AC42" s="15">
        <f>Y42/Y35</f>
        <v>9113.8904449368201</v>
      </c>
      <c r="AD42" s="15">
        <f>AC42</f>
        <v>9113.8904449368201</v>
      </c>
    </row>
    <row r="43" spans="1:31" x14ac:dyDescent="0.55000000000000004">
      <c r="T43" s="3" t="str">
        <f>$T$30&amp;"in "&amp;AD27</f>
        <v>Capital Spend in 2027</v>
      </c>
      <c r="Y43" s="13">
        <v>114457.47159714359</v>
      </c>
      <c r="Z43" s="15"/>
      <c r="AA43" s="15"/>
      <c r="AB43" s="15"/>
      <c r="AC43" s="15"/>
      <c r="AD43" s="15">
        <f>Y43/Y35</f>
        <v>10054.410961432372</v>
      </c>
    </row>
    <row r="44" spans="1:31" x14ac:dyDescent="0.55000000000000004">
      <c r="B44" s="3" t="s">
        <v>58</v>
      </c>
      <c r="C44" s="46">
        <f t="shared" ref="C44:L44" si="10">C24+C32+C40+C42</f>
        <v>10317</v>
      </c>
      <c r="D44" s="46">
        <f t="shared" si="10"/>
        <v>4237</v>
      </c>
      <c r="E44" s="46">
        <f t="shared" si="10"/>
        <v>5967</v>
      </c>
      <c r="F44" s="46">
        <f t="shared" si="10"/>
        <v>-5900</v>
      </c>
      <c r="G44" s="46">
        <f t="shared" si="10"/>
        <v>17776</v>
      </c>
      <c r="H44" s="46">
        <f t="shared" ca="1" si="10"/>
        <v>7442.5202191780263</v>
      </c>
      <c r="I44" s="46">
        <f t="shared" ca="1" si="10"/>
        <v>6837.0959899226582</v>
      </c>
      <c r="J44" s="46">
        <f t="shared" ca="1" si="10"/>
        <v>7444.134567737492</v>
      </c>
      <c r="K44" s="46">
        <f t="shared" ca="1" si="10"/>
        <v>8047.8756951312098</v>
      </c>
      <c r="L44" s="46">
        <f t="shared" ca="1" si="10"/>
        <v>8633.3707404782908</v>
      </c>
      <c r="T44" s="103" t="s">
        <v>186</v>
      </c>
      <c r="U44" s="86"/>
      <c r="V44" s="86"/>
      <c r="W44" s="86"/>
      <c r="X44" s="86"/>
      <c r="Y44" s="104"/>
      <c r="Z44" s="104">
        <f>SUM(Z38:Z43)</f>
        <v>31605.354743985783</v>
      </c>
      <c r="AA44" s="104">
        <f>SUM(AA38:AA43)</f>
        <v>39031.543602603313</v>
      </c>
      <c r="AB44" s="104">
        <f>SUM(AB38:AB43)</f>
        <v>47268.697436428534</v>
      </c>
      <c r="AC44" s="104">
        <f>SUM(AC38:AC43)</f>
        <v>56382.587881365354</v>
      </c>
      <c r="AD44" s="105">
        <f>SUM(AD38:AD43)</f>
        <v>66436.998842797722</v>
      </c>
    </row>
    <row r="45" spans="1:31" x14ac:dyDescent="0.55000000000000004">
      <c r="B45" s="3" t="s">
        <v>206</v>
      </c>
      <c r="C45" s="46"/>
      <c r="D45" s="46">
        <f>AMZN_BS!D8-AMZN_BS!C8</f>
        <v>4342</v>
      </c>
      <c r="E45" s="46">
        <f>AMZN_BS!E8-AMZN_BS!D8</f>
        <v>6030</v>
      </c>
      <c r="F45" s="46">
        <f>AMZN_BS!F8-AMZN_BS!E8</f>
        <v>-5902</v>
      </c>
      <c r="G45" s="46">
        <f>AMZN_BS!G8-AMZN_BS!F8</f>
        <v>17668</v>
      </c>
      <c r="H45" s="46">
        <f>AMZN_BS!H8-AMZN_BS!G8</f>
        <v>7442.5202191780772</v>
      </c>
      <c r="I45" s="46">
        <f>AMZN_BS!I8-AMZN_BS!H8</f>
        <v>6837.0959899226509</v>
      </c>
      <c r="J45" s="46">
        <f>AMZN_BS!J8-AMZN_BS!I8</f>
        <v>7444.1345677374047</v>
      </c>
      <c r="K45" s="46">
        <f>AMZN_BS!K8-AMZN_BS!J8</f>
        <v>8047.8756951312826</v>
      </c>
      <c r="L45" s="46">
        <f>AMZN_BS!L8-AMZN_BS!K8</f>
        <v>8633.3707404782326</v>
      </c>
    </row>
    <row r="46" spans="1:31" x14ac:dyDescent="0.55000000000000004">
      <c r="C46" s="46"/>
      <c r="D46" s="46">
        <f>D44-D45</f>
        <v>-105</v>
      </c>
      <c r="E46" s="46">
        <f t="shared" ref="E46:L46" si="11">E44-E45</f>
        <v>-63</v>
      </c>
      <c r="F46" s="46">
        <f t="shared" si="11"/>
        <v>2</v>
      </c>
      <c r="G46" s="46">
        <f t="shared" si="11"/>
        <v>108</v>
      </c>
      <c r="H46" s="46">
        <f t="shared" ca="1" si="11"/>
        <v>-5.0931703299283981E-11</v>
      </c>
      <c r="I46" s="46">
        <f t="shared" ca="1" si="11"/>
        <v>7.2759576141834259E-12</v>
      </c>
      <c r="J46" s="46">
        <f t="shared" ca="1" si="11"/>
        <v>8.7311491370201111E-11</v>
      </c>
      <c r="K46" s="46">
        <f t="shared" ca="1" si="11"/>
        <v>-7.2759576141834259E-11</v>
      </c>
      <c r="L46" s="46">
        <f t="shared" ca="1" si="11"/>
        <v>5.8207660913467407E-11</v>
      </c>
      <c r="T46" s="100" t="s">
        <v>194</v>
      </c>
    </row>
    <row r="47" spans="1:31" x14ac:dyDescent="0.55000000000000004">
      <c r="C47" s="46"/>
      <c r="D47" s="46"/>
      <c r="E47" s="46"/>
      <c r="F47" s="46"/>
      <c r="G47" s="46"/>
      <c r="H47" s="46"/>
      <c r="I47" s="46"/>
      <c r="J47" s="46"/>
      <c r="K47" s="46"/>
      <c r="L47" s="46"/>
      <c r="T47" s="6" t="s">
        <v>196</v>
      </c>
      <c r="U47" s="16">
        <v>2018</v>
      </c>
      <c r="V47" s="16">
        <f t="shared" ref="V47:AD47" si="12">U47+1</f>
        <v>2019</v>
      </c>
      <c r="W47" s="16">
        <f t="shared" si="12"/>
        <v>2020</v>
      </c>
      <c r="X47" s="16">
        <f t="shared" si="12"/>
        <v>2021</v>
      </c>
      <c r="Y47" s="16">
        <f t="shared" si="12"/>
        <v>2022</v>
      </c>
      <c r="Z47" s="17">
        <f t="shared" si="12"/>
        <v>2023</v>
      </c>
      <c r="AA47" s="17">
        <f t="shared" si="12"/>
        <v>2024</v>
      </c>
      <c r="AB47" s="17">
        <f t="shared" si="12"/>
        <v>2025</v>
      </c>
      <c r="AC47" s="17">
        <f t="shared" si="12"/>
        <v>2026</v>
      </c>
      <c r="AD47" s="17">
        <f t="shared" si="12"/>
        <v>2027</v>
      </c>
    </row>
    <row r="48" spans="1:31" x14ac:dyDescent="0.55000000000000004">
      <c r="C48" s="46"/>
      <c r="D48" s="46"/>
      <c r="E48" s="46"/>
      <c r="F48" s="46"/>
      <c r="G48" s="46"/>
      <c r="H48" s="46"/>
      <c r="I48" s="46"/>
      <c r="J48" s="46"/>
      <c r="K48" s="46"/>
      <c r="L48" s="46"/>
      <c r="T48" s="3" t="s">
        <v>192</v>
      </c>
      <c r="Z48" s="13">
        <f>Z30</f>
        <v>76059.251384652802</v>
      </c>
      <c r="AA48" s="13">
        <f>AA30</f>
        <v>84538.299023252752</v>
      </c>
      <c r="AB48" s="13">
        <f>AB30</f>
        <v>93770.167600354311</v>
      </c>
      <c r="AC48" s="13">
        <f>AC30</f>
        <v>103750.76777170294</v>
      </c>
      <c r="AD48" s="13">
        <f>AD30</f>
        <v>114457.47159714359</v>
      </c>
    </row>
    <row r="49" spans="1:31" x14ac:dyDescent="0.55000000000000004">
      <c r="B49" s="44" t="s">
        <v>166</v>
      </c>
      <c r="C49" s="46">
        <f t="shared" ref="C49:L49" si="13">C7+C44</f>
        <v>32173</v>
      </c>
      <c r="D49" s="46">
        <f t="shared" si="13"/>
        <v>36410</v>
      </c>
      <c r="E49" s="46">
        <f t="shared" si="13"/>
        <v>42377</v>
      </c>
      <c r="F49" s="46">
        <f t="shared" si="13"/>
        <v>36477</v>
      </c>
      <c r="G49" s="46">
        <f t="shared" si="13"/>
        <v>54253</v>
      </c>
      <c r="H49" s="46">
        <f t="shared" ca="1" si="13"/>
        <v>61330.520219178026</v>
      </c>
      <c r="I49" s="46">
        <f t="shared" ca="1" si="13"/>
        <v>68167.616209100685</v>
      </c>
      <c r="J49" s="46">
        <f t="shared" ca="1" si="13"/>
        <v>75611.750776838177</v>
      </c>
      <c r="K49" s="46">
        <f t="shared" ca="1" si="13"/>
        <v>83659.626471969386</v>
      </c>
      <c r="L49" s="46">
        <f t="shared" ca="1" si="13"/>
        <v>92292.997212447677</v>
      </c>
      <c r="T49" s="3" t="s">
        <v>71</v>
      </c>
      <c r="V49" s="13"/>
      <c r="W49" s="13"/>
      <c r="X49" s="13"/>
      <c r="Y49" s="13">
        <f>Y$13</f>
        <v>283730</v>
      </c>
      <c r="Z49" s="15">
        <f>Y49+Z48</f>
        <v>359789.2513846528</v>
      </c>
      <c r="AA49" s="15">
        <f>Z49+AA48</f>
        <v>444327.55040790554</v>
      </c>
      <c r="AB49" s="15">
        <f>AA49+AB48</f>
        <v>538097.71800825989</v>
      </c>
      <c r="AC49" s="15">
        <f>AB49+AC48</f>
        <v>641848.48577996285</v>
      </c>
      <c r="AD49" s="15">
        <f>AC49+AD48</f>
        <v>756305.95737710642</v>
      </c>
    </row>
    <row r="50" spans="1:31" x14ac:dyDescent="0.55000000000000004">
      <c r="B50" s="3" t="s">
        <v>101</v>
      </c>
      <c r="C50" s="91">
        <v>423</v>
      </c>
      <c r="D50" s="91">
        <v>318</v>
      </c>
      <c r="E50" s="91">
        <v>255</v>
      </c>
      <c r="F50" s="91">
        <v>257</v>
      </c>
      <c r="G50" s="91">
        <v>365</v>
      </c>
      <c r="H50" s="110"/>
      <c r="I50" s="110"/>
      <c r="J50" s="110"/>
      <c r="K50" s="110"/>
      <c r="L50" s="110"/>
      <c r="T50" s="3" t="s">
        <v>186</v>
      </c>
      <c r="V50" s="13"/>
      <c r="W50" s="13"/>
      <c r="X50" s="13"/>
      <c r="Y50" s="13">
        <f>Y$16</f>
        <v>24924</v>
      </c>
      <c r="Z50" s="13">
        <f>Z44</f>
        <v>31605.354743985783</v>
      </c>
      <c r="AA50" s="13">
        <f>AA44</f>
        <v>39031.543602603313</v>
      </c>
      <c r="AB50" s="13">
        <f>AB44</f>
        <v>47268.697436428534</v>
      </c>
      <c r="AC50" s="13">
        <f>AC44</f>
        <v>56382.587881365354</v>
      </c>
      <c r="AD50" s="13">
        <f>AD44</f>
        <v>66436.998842797722</v>
      </c>
    </row>
    <row r="51" spans="1:31" x14ac:dyDescent="0.55000000000000004">
      <c r="B51" s="3" t="s">
        <v>102</v>
      </c>
      <c r="C51" s="46">
        <f t="shared" ref="C51:F51" si="14">C49-C50</f>
        <v>31750</v>
      </c>
      <c r="D51" s="46">
        <f t="shared" si="14"/>
        <v>36092</v>
      </c>
      <c r="E51" s="46">
        <f t="shared" si="14"/>
        <v>42122</v>
      </c>
      <c r="F51" s="46">
        <f t="shared" si="14"/>
        <v>36220</v>
      </c>
      <c r="G51" s="46">
        <f>G49-G50</f>
        <v>53888</v>
      </c>
      <c r="H51" s="46">
        <f t="shared" ref="H51:L51" ca="1" si="15">H49-H50</f>
        <v>61330.520219178026</v>
      </c>
      <c r="I51" s="46">
        <f t="shared" ca="1" si="15"/>
        <v>68167.616209100685</v>
      </c>
      <c r="J51" s="46">
        <f t="shared" ca="1" si="15"/>
        <v>75611.750776838177</v>
      </c>
      <c r="K51" s="46">
        <f t="shared" ca="1" si="15"/>
        <v>83659.626471969386</v>
      </c>
      <c r="L51" s="46">
        <f t="shared" ca="1" si="15"/>
        <v>92292.997212447677</v>
      </c>
      <c r="T51" s="3" t="s">
        <v>195</v>
      </c>
      <c r="Y51" s="15">
        <f>Y14</f>
        <v>97015</v>
      </c>
      <c r="Z51" s="15">
        <f>Y51+Z50</f>
        <v>128620.35474398578</v>
      </c>
      <c r="AA51" s="15">
        <f>Z51+AA50</f>
        <v>167651.89834658909</v>
      </c>
      <c r="AB51" s="15">
        <f>AA51+AB50</f>
        <v>214920.59578301763</v>
      </c>
      <c r="AC51" s="15">
        <f>AB51+AC50</f>
        <v>271303.18366438302</v>
      </c>
      <c r="AD51" s="15">
        <f>AC51+AD50</f>
        <v>337740.18250718073</v>
      </c>
    </row>
    <row r="52" spans="1:31" x14ac:dyDescent="0.55000000000000004">
      <c r="G52" s="46"/>
      <c r="T52" s="103" t="s">
        <v>185</v>
      </c>
      <c r="U52" s="86"/>
      <c r="V52" s="86"/>
      <c r="W52" s="86"/>
      <c r="X52" s="86"/>
      <c r="Y52" s="104">
        <f t="shared" ref="Y52:AD52" si="16">Y49-Y51</f>
        <v>186715</v>
      </c>
      <c r="Z52" s="104">
        <f t="shared" si="16"/>
        <v>231168.89664066702</v>
      </c>
      <c r="AA52" s="104">
        <f t="shared" si="16"/>
        <v>276675.65206131642</v>
      </c>
      <c r="AB52" s="104">
        <f t="shared" si="16"/>
        <v>323177.12222524226</v>
      </c>
      <c r="AC52" s="104">
        <f t="shared" si="16"/>
        <v>370545.30211557983</v>
      </c>
      <c r="AD52" s="105">
        <f t="shared" si="16"/>
        <v>418565.77486992569</v>
      </c>
    </row>
    <row r="53" spans="1:31" x14ac:dyDescent="0.55000000000000004">
      <c r="B53" s="3" t="s">
        <v>59</v>
      </c>
      <c r="C53" s="94">
        <f>C51-AMZN_BS!C8</f>
        <v>0</v>
      </c>
      <c r="D53" s="94">
        <f>D51-AMZN_BS!D8</f>
        <v>0</v>
      </c>
      <c r="E53" s="94">
        <f>E51-AMZN_BS!E8</f>
        <v>0</v>
      </c>
      <c r="F53" s="94">
        <f>F51-AMZN_BS!F8</f>
        <v>0</v>
      </c>
      <c r="G53" s="94">
        <f>G51-AMZN_BS!G8</f>
        <v>0</v>
      </c>
      <c r="H53" s="115">
        <f ca="1">H51-AMZN_BS!H8</f>
        <v>0</v>
      </c>
      <c r="I53" s="94">
        <f ca="1">I51-AMZN_BS!I8</f>
        <v>0</v>
      </c>
      <c r="J53" s="94">
        <f ca="1">J51-AMZN_BS!J8</f>
        <v>0</v>
      </c>
      <c r="K53" s="94">
        <f ca="1">K51-AMZN_BS!K8</f>
        <v>0</v>
      </c>
      <c r="L53" s="94">
        <f ca="1">L51-AMZN_BS!L8</f>
        <v>0</v>
      </c>
    </row>
    <row r="54" spans="1:31" x14ac:dyDescent="0.55000000000000004">
      <c r="H54" s="15"/>
      <c r="I54" s="15"/>
      <c r="J54" s="15"/>
      <c r="K54" s="15"/>
      <c r="L54" s="15"/>
      <c r="T54" s="100" t="s">
        <v>197</v>
      </c>
      <c r="U54" s="76">
        <v>15616</v>
      </c>
      <c r="V54" s="76">
        <v>21953</v>
      </c>
      <c r="W54" s="76">
        <v>25180</v>
      </c>
      <c r="X54" s="76">
        <v>34433</v>
      </c>
      <c r="Y54" s="76">
        <v>41921</v>
      </c>
      <c r="Z54" s="13">
        <f>Z50+Z55</f>
        <v>50112.227589992362</v>
      </c>
      <c r="AA54" s="13">
        <f>AA50+AA55</f>
        <v>59601.553458849579</v>
      </c>
      <c r="AB54" s="13">
        <f>AB50+AB55</f>
        <v>70085.022037785966</v>
      </c>
      <c r="AC54" s="13">
        <f>AC50+AC55</f>
        <v>81627.40993616014</v>
      </c>
      <c r="AD54" s="13">
        <f>AD50+AD55</f>
        <v>94286.995188556728</v>
      </c>
    </row>
    <row r="55" spans="1:31" x14ac:dyDescent="0.55000000000000004">
      <c r="T55" s="3" t="s">
        <v>198</v>
      </c>
      <c r="U55" s="15">
        <f>U54-U16</f>
        <v>3478</v>
      </c>
      <c r="V55" s="15">
        <f>V54-V16</f>
        <v>6803</v>
      </c>
      <c r="W55" s="15">
        <f>W54-W16</f>
        <v>8941</v>
      </c>
      <c r="X55" s="15">
        <f>X54-X16</f>
        <v>11524</v>
      </c>
      <c r="Y55" s="15">
        <f>Y54-Y16</f>
        <v>16997</v>
      </c>
      <c r="Z55" s="15">
        <f>Z56*AMZN_IS!H13</f>
        <v>18506.872846006579</v>
      </c>
      <c r="AA55" s="15">
        <f>AA56*AMZN_IS!I13</f>
        <v>20570.00985624627</v>
      </c>
      <c r="AB55" s="15">
        <f>AB56*AMZN_IS!J13</f>
        <v>22816.324601357439</v>
      </c>
      <c r="AC55" s="15">
        <f>AC56*AMZN_IS!K13</f>
        <v>25244.822054794786</v>
      </c>
      <c r="AD55" s="15">
        <f>AD56*AMZN_IS!L13</f>
        <v>27849.996345759006</v>
      </c>
    </row>
    <row r="56" spans="1:31" x14ac:dyDescent="0.55000000000000004">
      <c r="A56" s="3" t="s">
        <v>9</v>
      </c>
      <c r="B56" s="6" t="s">
        <v>167</v>
      </c>
      <c r="C56" s="16">
        <v>2018</v>
      </c>
      <c r="D56" s="16">
        <f t="shared" ref="D56:L56" si="17">C56+1</f>
        <v>2019</v>
      </c>
      <c r="E56" s="16">
        <f t="shared" si="17"/>
        <v>2020</v>
      </c>
      <c r="F56" s="16">
        <f t="shared" si="17"/>
        <v>2021</v>
      </c>
      <c r="G56" s="16">
        <f t="shared" si="17"/>
        <v>2022</v>
      </c>
      <c r="H56" s="17">
        <f t="shared" si="17"/>
        <v>2023</v>
      </c>
      <c r="I56" s="17">
        <f t="shared" si="17"/>
        <v>2024</v>
      </c>
      <c r="J56" s="17">
        <f t="shared" si="17"/>
        <v>2025</v>
      </c>
      <c r="K56" s="17">
        <f t="shared" si="17"/>
        <v>2026</v>
      </c>
      <c r="L56" s="17">
        <f t="shared" si="17"/>
        <v>2027</v>
      </c>
      <c r="T56" s="3" t="s">
        <v>75</v>
      </c>
      <c r="U56" s="2">
        <f>U55/AMZN_IS!C13</f>
        <v>1.4934281432626123E-2</v>
      </c>
      <c r="V56" s="2">
        <f>V55/AMZN_IS!D13</f>
        <v>2.4251217373325442E-2</v>
      </c>
      <c r="W56" s="2">
        <f>W55/AMZN_IS!E13</f>
        <v>2.31593725392681E-2</v>
      </c>
      <c r="X56" s="2">
        <f>X55/AMZN_IS!F13</f>
        <v>2.4528438429873442E-2</v>
      </c>
      <c r="Y56" s="2">
        <f>Y55/AMZN_IS!G13</f>
        <v>3.3069187113192462E-2</v>
      </c>
      <c r="Z56" s="106">
        <f>Y56</f>
        <v>3.3069187113192462E-2</v>
      </c>
      <c r="AA56" s="106">
        <f>Z56</f>
        <v>3.3069187113192462E-2</v>
      </c>
      <c r="AB56" s="106">
        <f>AA56</f>
        <v>3.3069187113192462E-2</v>
      </c>
      <c r="AC56" s="106">
        <f>AB56</f>
        <v>3.3069187113192462E-2</v>
      </c>
      <c r="AD56" s="106">
        <f>AC56</f>
        <v>3.3069187113192462E-2</v>
      </c>
    </row>
    <row r="57" spans="1:31" x14ac:dyDescent="0.55000000000000004">
      <c r="B57" s="44" t="s">
        <v>161</v>
      </c>
    </row>
    <row r="58" spans="1:31" x14ac:dyDescent="0.55000000000000004">
      <c r="B58" s="44"/>
    </row>
    <row r="59" spans="1:31" x14ac:dyDescent="0.55000000000000004">
      <c r="B59" s="87" t="s">
        <v>208</v>
      </c>
      <c r="C59" s="89">
        <f>-C27/AMZN_IS!C13</f>
        <v>5.7650276743656796E-2</v>
      </c>
      <c r="D59" s="89">
        <f>-D27/AMZN_IS!D13</f>
        <v>6.0105802753438235E-2</v>
      </c>
      <c r="E59" s="89">
        <f>-E27/AMZN_IS!E13</f>
        <v>0.10397498860292594</v>
      </c>
      <c r="F59" s="89">
        <f>-F27/AMZN_IS!F13</f>
        <v>0.12994921480901278</v>
      </c>
      <c r="G59" s="89">
        <f>-G27/AMZN_IS!G13</f>
        <v>0.12382705264571008</v>
      </c>
      <c r="H59" s="88">
        <v>0.12</v>
      </c>
      <c r="I59" s="88">
        <f>$H59+1*($L59-$H59)/4</f>
        <v>0.11499999999999999</v>
      </c>
      <c r="J59" s="88">
        <f>$H59+2*($L59-$H59)/4</f>
        <v>0.11</v>
      </c>
      <c r="K59" s="88">
        <f>$H59+3*($L59-$H59)/4</f>
        <v>0.10500000000000001</v>
      </c>
      <c r="L59" s="88">
        <v>0.1</v>
      </c>
    </row>
    <row r="60" spans="1:31" x14ac:dyDescent="0.55000000000000004">
      <c r="B60" s="44"/>
    </row>
    <row r="61" spans="1:31" x14ac:dyDescent="0.55000000000000004">
      <c r="B61" s="87" t="s">
        <v>35</v>
      </c>
      <c r="C61" s="13">
        <f>C12</f>
        <v>15341</v>
      </c>
      <c r="D61" s="13">
        <f>D12</f>
        <v>21789</v>
      </c>
      <c r="E61" s="13">
        <f>E12</f>
        <v>25251</v>
      </c>
      <c r="F61" s="13">
        <f>F12</f>
        <v>34296</v>
      </c>
      <c r="G61" s="13">
        <f>G12</f>
        <v>41461</v>
      </c>
      <c r="H61" s="13">
        <f>H62*AMZN_IS!H13</f>
        <v>46338.274551599992</v>
      </c>
      <c r="I61" s="13">
        <f>I62*AMZN_IS!I13</f>
        <v>50967.541984840354</v>
      </c>
      <c r="J61" s="13">
        <f>J62*AMZN_IS!J13</f>
        <v>55783.041709054691</v>
      </c>
      <c r="K61" s="13">
        <f>K62*AMZN_IS!K13</f>
        <v>60718.457557192705</v>
      </c>
      <c r="L61" s="13">
        <f>L62*AMZN_IS!L13</f>
        <v>65689.540765959624</v>
      </c>
    </row>
    <row r="62" spans="1:31" ht="15" customHeight="1" x14ac:dyDescent="0.55000000000000004">
      <c r="B62" s="87" t="s">
        <v>163</v>
      </c>
      <c r="C62" s="89">
        <f>C12/AMZN_IS!C$13</f>
        <v>6.5873148780309768E-2</v>
      </c>
      <c r="D62" s="89">
        <f>D12/AMZN_IS!D$13</f>
        <v>7.7673052380918428E-2</v>
      </c>
      <c r="E62" s="89">
        <f>E12/AMZN_IS!E$13</f>
        <v>6.5406253885366153E-2</v>
      </c>
      <c r="F62" s="89">
        <f>F12/AMZN_IS!F$13</f>
        <v>7.2997858763531723E-2</v>
      </c>
      <c r="G62" s="89">
        <f>G12/AMZN_IS!G$13</f>
        <v>8.0666092069192952E-2</v>
      </c>
      <c r="H62" s="99">
        <f>H59*H63</f>
        <v>8.2799999999999985E-2</v>
      </c>
      <c r="I62" s="99">
        <f>I59*I63</f>
        <v>8.1937499999999983E-2</v>
      </c>
      <c r="J62" s="99">
        <f>J59*J63</f>
        <v>8.0850000000000005E-2</v>
      </c>
      <c r="K62" s="99">
        <f>K59*K63</f>
        <v>7.9537500000000011E-2</v>
      </c>
      <c r="L62" s="99">
        <f>L59*L63</f>
        <v>7.8000000000000014E-2</v>
      </c>
    </row>
    <row r="63" spans="1:31" ht="15" customHeight="1" x14ac:dyDescent="0.55000000000000004">
      <c r="B63" s="87" t="s">
        <v>207</v>
      </c>
      <c r="C63" s="89"/>
      <c r="D63" s="89"/>
      <c r="E63" s="89"/>
      <c r="F63" s="89"/>
      <c r="G63" s="89"/>
      <c r="H63" s="88">
        <v>0.69</v>
      </c>
      <c r="I63" s="88">
        <f>$H63+1*($L63-$H63)/4</f>
        <v>0.71249999999999991</v>
      </c>
      <c r="J63" s="88">
        <f>$H63+2*($L63-$H63)/4</f>
        <v>0.73499999999999999</v>
      </c>
      <c r="K63" s="88">
        <f>$H63+3*($L63-$H63)/4</f>
        <v>0.75750000000000006</v>
      </c>
      <c r="L63" s="88">
        <v>0.78</v>
      </c>
      <c r="AE63"/>
    </row>
    <row r="64" spans="1:31" ht="15" customHeight="1" x14ac:dyDescent="0.55000000000000004">
      <c r="B64" s="87"/>
      <c r="C64" s="89"/>
      <c r="D64" s="89"/>
      <c r="E64" s="89"/>
      <c r="F64" s="89"/>
      <c r="G64" s="89"/>
      <c r="H64" s="88"/>
      <c r="I64" s="88"/>
      <c r="J64" s="88"/>
      <c r="K64" s="88"/>
      <c r="L64" s="88"/>
    </row>
    <row r="65" spans="2:14" ht="15" customHeight="1" x14ac:dyDescent="0.55000000000000004">
      <c r="B65" s="87" t="s">
        <v>38</v>
      </c>
      <c r="C65" s="13">
        <f>C71</f>
        <v>12138</v>
      </c>
      <c r="D65" s="13">
        <f t="shared" ref="D65:G65" si="18">D71</f>
        <v>15150</v>
      </c>
      <c r="E65" s="13">
        <f t="shared" si="18"/>
        <v>16239</v>
      </c>
      <c r="F65" s="13">
        <f t="shared" si="18"/>
        <v>22909</v>
      </c>
      <c r="G65" s="13">
        <f t="shared" si="18"/>
        <v>24924</v>
      </c>
      <c r="H65" s="15">
        <f>H71</f>
        <v>26862.767855999999</v>
      </c>
      <c r="I65" s="15">
        <f t="shared" ref="I65:L65" si="19">I71</f>
        <v>30044.024748958534</v>
      </c>
      <c r="J65" s="15">
        <f t="shared" si="19"/>
        <v>33393.929730590557</v>
      </c>
      <c r="K65" s="15">
        <f t="shared" si="19"/>
        <v>36871.934622189627</v>
      </c>
      <c r="L65" s="15">
        <f t="shared" si="19"/>
        <v>40424.332779052071</v>
      </c>
    </row>
    <row r="66" spans="2:14" ht="15" customHeight="1" x14ac:dyDescent="0.55000000000000004">
      <c r="B66" s="87" t="s">
        <v>210</v>
      </c>
      <c r="C66" s="13">
        <v>475</v>
      </c>
      <c r="D66" s="13">
        <v>565</v>
      </c>
      <c r="E66" s="13">
        <v>509</v>
      </c>
      <c r="F66" s="13">
        <v>512</v>
      </c>
      <c r="G66" s="13">
        <v>604</v>
      </c>
      <c r="H66" s="13">
        <f>H73</f>
        <v>530</v>
      </c>
      <c r="I66" s="13">
        <f t="shared" ref="I66:L66" si="20">I73</f>
        <v>456</v>
      </c>
      <c r="J66" s="13">
        <f t="shared" si="20"/>
        <v>371</v>
      </c>
      <c r="K66" s="13">
        <f t="shared" si="20"/>
        <v>324</v>
      </c>
      <c r="L66" s="13">
        <f t="shared" si="20"/>
        <v>314</v>
      </c>
      <c r="N66" s="3"/>
    </row>
    <row r="67" spans="2:14" ht="15" customHeight="1" x14ac:dyDescent="0.55000000000000004">
      <c r="B67" s="87" t="s">
        <v>211</v>
      </c>
      <c r="C67" s="13">
        <f>C77</f>
        <v>2728</v>
      </c>
      <c r="D67" s="13">
        <f t="shared" ref="D67:L67" si="21">D77</f>
        <v>6074</v>
      </c>
      <c r="E67" s="13">
        <f t="shared" si="21"/>
        <v>8503</v>
      </c>
      <c r="F67" s="13">
        <f t="shared" si="21"/>
        <v>10875</v>
      </c>
      <c r="G67" s="13">
        <f t="shared" si="21"/>
        <v>15933</v>
      </c>
      <c r="H67" s="13">
        <f t="shared" si="21"/>
        <v>18945.506695599994</v>
      </c>
      <c r="I67" s="13">
        <f t="shared" si="21"/>
        <v>20467.51723588182</v>
      </c>
      <c r="J67" s="13">
        <f t="shared" si="21"/>
        <v>22018.111978464134</v>
      </c>
      <c r="K67" s="13">
        <f t="shared" si="21"/>
        <v>23522.522935003079</v>
      </c>
      <c r="L67" s="13">
        <f t="shared" si="21"/>
        <v>24951.207986907553</v>
      </c>
    </row>
    <row r="68" spans="2:14" ht="15" customHeight="1" x14ac:dyDescent="0.55000000000000004">
      <c r="B68" s="92" t="s">
        <v>213</v>
      </c>
      <c r="C68" s="93">
        <f>C71+C75+C77</f>
        <v>15341</v>
      </c>
      <c r="D68" s="93">
        <f t="shared" ref="D68:L68" si="22">D71+D75+D77</f>
        <v>21789</v>
      </c>
      <c r="E68" s="93">
        <f t="shared" si="22"/>
        <v>25251</v>
      </c>
      <c r="F68" s="93">
        <f t="shared" si="22"/>
        <v>34296</v>
      </c>
      <c r="G68" s="93">
        <f t="shared" si="22"/>
        <v>41461</v>
      </c>
      <c r="H68" s="93">
        <f t="shared" si="22"/>
        <v>46338.274551599992</v>
      </c>
      <c r="I68" s="93">
        <f t="shared" si="22"/>
        <v>50967.541984840354</v>
      </c>
      <c r="J68" s="93">
        <f t="shared" si="22"/>
        <v>55783.041709054691</v>
      </c>
      <c r="K68" s="93">
        <f t="shared" si="22"/>
        <v>60718.457557192705</v>
      </c>
      <c r="L68" s="93">
        <f t="shared" si="22"/>
        <v>65689.540765959624</v>
      </c>
    </row>
    <row r="69" spans="2:14" ht="15" customHeight="1" x14ac:dyDescent="0.55000000000000004">
      <c r="B69" s="87"/>
      <c r="C69" s="118">
        <f>C68-SUM(C65:C67)</f>
        <v>0</v>
      </c>
      <c r="D69" s="118">
        <f t="shared" ref="D69:L69" si="23">D68-SUM(D65:D67)</f>
        <v>0</v>
      </c>
      <c r="E69" s="118">
        <f t="shared" si="23"/>
        <v>0</v>
      </c>
      <c r="F69" s="118">
        <f t="shared" si="23"/>
        <v>0</v>
      </c>
      <c r="G69" s="118">
        <f t="shared" si="23"/>
        <v>0</v>
      </c>
      <c r="H69" s="118">
        <f t="shared" si="23"/>
        <v>0</v>
      </c>
      <c r="I69" s="118">
        <f t="shared" si="23"/>
        <v>0</v>
      </c>
      <c r="J69" s="118">
        <f t="shared" si="23"/>
        <v>0</v>
      </c>
      <c r="K69" s="118">
        <f t="shared" si="23"/>
        <v>0</v>
      </c>
      <c r="L69" s="118">
        <f t="shared" si="23"/>
        <v>0</v>
      </c>
    </row>
    <row r="70" spans="2:14" ht="15" customHeight="1" x14ac:dyDescent="0.55000000000000004">
      <c r="B70" s="87"/>
      <c r="C70" s="118"/>
      <c r="D70" s="118"/>
      <c r="E70" s="118"/>
      <c r="F70" s="118"/>
      <c r="G70" s="118"/>
      <c r="H70" s="118"/>
      <c r="I70" s="118"/>
      <c r="J70" s="118"/>
      <c r="K70" s="118"/>
      <c r="L70" s="118"/>
    </row>
    <row r="71" spans="2:14" ht="15" customHeight="1" x14ac:dyDescent="0.55000000000000004">
      <c r="B71" s="87" t="s">
        <v>214</v>
      </c>
      <c r="C71" s="27">
        <f>AMZN_CFS!U16</f>
        <v>12138</v>
      </c>
      <c r="D71" s="27">
        <f>AMZN_CFS!V16</f>
        <v>15150</v>
      </c>
      <c r="E71" s="27">
        <f>AMZN_CFS!W16</f>
        <v>16239</v>
      </c>
      <c r="F71" s="27">
        <f>AMZN_CFS!X16</f>
        <v>22909</v>
      </c>
      <c r="G71" s="27">
        <f>AMZN_CFS!Y16</f>
        <v>24924</v>
      </c>
      <c r="H71" s="13">
        <f>H79*AMZN_IS!H13</f>
        <v>26862.767855999999</v>
      </c>
      <c r="I71" s="13">
        <f>I79*AMZN_IS!I13</f>
        <v>30044.024748958534</v>
      </c>
      <c r="J71" s="13">
        <f>J79*AMZN_IS!J13</f>
        <v>33393.929730590557</v>
      </c>
      <c r="K71" s="13">
        <f>K79*AMZN_IS!K13</f>
        <v>36871.934622189627</v>
      </c>
      <c r="L71" s="13">
        <f>L79*AMZN_IS!L13</f>
        <v>40424.332779052071</v>
      </c>
    </row>
    <row r="72" spans="2:14" ht="15" customHeight="1" x14ac:dyDescent="0.55000000000000004">
      <c r="B72" s="87"/>
      <c r="C72" s="27"/>
      <c r="D72" s="27"/>
      <c r="E72" s="27"/>
      <c r="F72" s="27"/>
      <c r="G72" s="27"/>
      <c r="H72" s="27"/>
      <c r="I72" s="27"/>
      <c r="J72" s="27"/>
      <c r="K72" s="27"/>
      <c r="L72" s="27"/>
    </row>
    <row r="73" spans="2:14" ht="15" customHeight="1" x14ac:dyDescent="0.55000000000000004">
      <c r="B73" s="87" t="s">
        <v>215</v>
      </c>
      <c r="C73" s="76">
        <v>475</v>
      </c>
      <c r="D73" s="76">
        <v>565</v>
      </c>
      <c r="E73" s="76">
        <v>509</v>
      </c>
      <c r="F73" s="76">
        <v>512</v>
      </c>
      <c r="G73" s="76">
        <v>604</v>
      </c>
      <c r="H73" s="76">
        <v>530</v>
      </c>
      <c r="I73" s="76">
        <v>456</v>
      </c>
      <c r="J73" s="76">
        <v>371</v>
      </c>
      <c r="K73" s="76">
        <v>324</v>
      </c>
      <c r="L73" s="76">
        <v>314</v>
      </c>
      <c r="N73" t="s">
        <v>212</v>
      </c>
    </row>
    <row r="74" spans="2:14" ht="15" customHeight="1" x14ac:dyDescent="0.55000000000000004">
      <c r="B74" s="87" t="s">
        <v>216</v>
      </c>
      <c r="C74" s="89"/>
      <c r="D74" s="89"/>
      <c r="E74" s="89"/>
      <c r="F74" s="89"/>
      <c r="G74" s="89"/>
      <c r="H74" s="88"/>
      <c r="I74" s="88"/>
      <c r="J74" s="88"/>
      <c r="K74" s="88"/>
      <c r="L74" s="88"/>
    </row>
    <row r="75" spans="2:14" ht="15" customHeight="1" x14ac:dyDescent="0.55000000000000004">
      <c r="B75" s="92" t="s">
        <v>217</v>
      </c>
      <c r="C75" s="116">
        <f>C73+C74</f>
        <v>475</v>
      </c>
      <c r="D75" s="116">
        <f t="shared" ref="D75:L75" si="24">D73+D74</f>
        <v>565</v>
      </c>
      <c r="E75" s="116">
        <f t="shared" si="24"/>
        <v>509</v>
      </c>
      <c r="F75" s="116">
        <f t="shared" si="24"/>
        <v>512</v>
      </c>
      <c r="G75" s="116">
        <f t="shared" si="24"/>
        <v>604</v>
      </c>
      <c r="H75" s="116">
        <f t="shared" si="24"/>
        <v>530</v>
      </c>
      <c r="I75" s="116">
        <f t="shared" si="24"/>
        <v>456</v>
      </c>
      <c r="J75" s="116">
        <f t="shared" si="24"/>
        <v>371</v>
      </c>
      <c r="K75" s="116">
        <f t="shared" si="24"/>
        <v>324</v>
      </c>
      <c r="L75" s="116">
        <f t="shared" si="24"/>
        <v>314</v>
      </c>
    </row>
    <row r="76" spans="2:14" ht="15" customHeight="1" x14ac:dyDescent="0.55000000000000004">
      <c r="B76" s="87"/>
      <c r="C76" s="89"/>
      <c r="D76" s="89"/>
      <c r="E76" s="89"/>
      <c r="F76" s="89"/>
      <c r="G76" s="89"/>
      <c r="H76" s="88"/>
      <c r="I76" s="88"/>
      <c r="J76" s="88"/>
      <c r="K76" s="88"/>
      <c r="L76" s="88"/>
    </row>
    <row r="77" spans="2:14" ht="15" customHeight="1" x14ac:dyDescent="0.55000000000000004">
      <c r="B77" s="87" t="s">
        <v>218</v>
      </c>
      <c r="C77" s="14">
        <f>C61-C71-C73</f>
        <v>2728</v>
      </c>
      <c r="D77" s="14">
        <f t="shared" ref="D77:G77" si="25">D61-D71-D73</f>
        <v>6074</v>
      </c>
      <c r="E77" s="14">
        <f t="shared" si="25"/>
        <v>8503</v>
      </c>
      <c r="F77" s="14">
        <f t="shared" si="25"/>
        <v>10875</v>
      </c>
      <c r="G77" s="14">
        <f t="shared" si="25"/>
        <v>15933</v>
      </c>
      <c r="H77" s="14">
        <f>H61-H71-H75</f>
        <v>18945.506695599994</v>
      </c>
      <c r="I77" s="14">
        <f t="shared" ref="I77:L77" si="26">I61-I71-I75</f>
        <v>20467.51723588182</v>
      </c>
      <c r="J77" s="14">
        <f t="shared" si="26"/>
        <v>22018.111978464134</v>
      </c>
      <c r="K77" s="14">
        <f t="shared" si="26"/>
        <v>23522.522935003079</v>
      </c>
      <c r="L77" s="14">
        <f t="shared" si="26"/>
        <v>24951.207986907553</v>
      </c>
    </row>
    <row r="78" spans="2:14" ht="15" customHeight="1" x14ac:dyDescent="0.55000000000000004">
      <c r="B78" s="87"/>
      <c r="C78" s="14"/>
      <c r="D78" s="14"/>
      <c r="E78" s="14"/>
      <c r="F78" s="14"/>
      <c r="G78" s="14"/>
      <c r="H78" s="14"/>
      <c r="I78" s="14"/>
      <c r="J78" s="14"/>
      <c r="K78" s="14"/>
      <c r="L78" s="14"/>
    </row>
    <row r="79" spans="2:14" x14ac:dyDescent="0.55000000000000004">
      <c r="B79" s="87" t="s">
        <v>219</v>
      </c>
      <c r="C79" s="89">
        <f>C71/AMZN_IS!C13</f>
        <v>5.2119697535714743E-2</v>
      </c>
      <c r="D79" s="89">
        <f>D71/AMZN_IS!D13</f>
        <v>5.4006459386429582E-2</v>
      </c>
      <c r="E79" s="89">
        <f>E71/AMZN_IS!E13</f>
        <v>4.2062974014671142E-2</v>
      </c>
      <c r="F79" s="89">
        <f>F71/AMZN_IS!F13</f>
        <v>4.876102013102835E-2</v>
      </c>
      <c r="G79" s="89">
        <f>G71/AMZN_IS!G13</f>
        <v>4.849187619045766E-2</v>
      </c>
      <c r="H79" s="99">
        <f>H59*H82</f>
        <v>4.8000000000000001E-2</v>
      </c>
      <c r="I79" s="99">
        <f t="shared" ref="I79:L79" si="27">I59*I82</f>
        <v>4.8300000000000003E-2</v>
      </c>
      <c r="J79" s="99">
        <f t="shared" si="27"/>
        <v>4.8399999999999999E-2</v>
      </c>
      <c r="K79" s="99">
        <f t="shared" si="27"/>
        <v>4.8300000000000003E-2</v>
      </c>
      <c r="L79" s="99">
        <f t="shared" si="27"/>
        <v>4.8000000000000001E-2</v>
      </c>
    </row>
    <row r="80" spans="2:14" x14ac:dyDescent="0.55000000000000004">
      <c r="B80" s="87" t="s">
        <v>220</v>
      </c>
      <c r="C80" s="117">
        <f>C73/AMZN_IS!C13</f>
        <v>2.0396157793264543E-3</v>
      </c>
      <c r="D80" s="117">
        <f>D73/AMZN_IS!D13</f>
        <v>2.014102280748034E-3</v>
      </c>
      <c r="E80" s="117">
        <f>E73/AMZN_IS!E13</f>
        <v>1.3184342492436488E-3</v>
      </c>
      <c r="F80" s="117">
        <f>F73/AMZN_IS!F13</f>
        <v>1.0897744252078446E-3</v>
      </c>
      <c r="G80" s="117">
        <f>G73/AMZN_IS!G13</f>
        <v>1.1751361426350676E-3</v>
      </c>
      <c r="H80" s="117">
        <f>H73/AMZN_IS!H13</f>
        <v>9.470356940272552E-4</v>
      </c>
      <c r="I80" s="117">
        <f>I73/AMZN_IS!I13</f>
        <v>7.3308420506355376E-4</v>
      </c>
      <c r="J80" s="117">
        <f>J73/AMZN_IS!J13</f>
        <v>5.3771449316882924E-4</v>
      </c>
      <c r="K80" s="117">
        <f>K73/AMZN_IS!K13</f>
        <v>4.2442036633961354E-4</v>
      </c>
      <c r="L80" s="117">
        <f>L73/AMZN_IS!L13</f>
        <v>3.7284474384226138E-4</v>
      </c>
    </row>
    <row r="81" spans="2:12" ht="15" customHeight="1" x14ac:dyDescent="0.55000000000000004">
      <c r="B81" s="87"/>
      <c r="C81" s="14"/>
      <c r="D81" s="14"/>
      <c r="E81" s="14"/>
      <c r="F81" s="14"/>
      <c r="G81" s="14"/>
      <c r="H81" s="14"/>
      <c r="I81" s="14"/>
      <c r="J81" s="14"/>
      <c r="K81" s="14"/>
      <c r="L81" s="14"/>
    </row>
    <row r="82" spans="2:12" ht="15" customHeight="1" x14ac:dyDescent="0.55000000000000004">
      <c r="B82" s="87" t="s">
        <v>221</v>
      </c>
      <c r="C82" s="89">
        <f>-C71/C27</f>
        <v>0.90406673618352451</v>
      </c>
      <c r="D82" s="89">
        <f t="shared" ref="D82:G82" si="28">-D71/D27</f>
        <v>0.89852321926338885</v>
      </c>
      <c r="E82" s="89">
        <f t="shared" si="28"/>
        <v>0.40454896489873199</v>
      </c>
      <c r="F82" s="89">
        <f t="shared" si="28"/>
        <v>0.37523135636250471</v>
      </c>
      <c r="G82" s="89">
        <f t="shared" si="28"/>
        <v>0.39160971011077067</v>
      </c>
      <c r="H82" s="88">
        <v>0.4</v>
      </c>
      <c r="I82" s="88">
        <f>$H82+1*($L82-$H82)/4</f>
        <v>0.42000000000000004</v>
      </c>
      <c r="J82" s="88">
        <f>$H82+2*($L82-$H82)/4</f>
        <v>0.44</v>
      </c>
      <c r="K82" s="88">
        <f>$H82+3*($L82-$H82)/4</f>
        <v>0.45999999999999996</v>
      </c>
      <c r="L82" s="88">
        <v>0.48</v>
      </c>
    </row>
    <row r="83" spans="2:12" ht="15" customHeight="1" x14ac:dyDescent="0.55000000000000004">
      <c r="B83" s="87"/>
      <c r="C83" s="89"/>
      <c r="D83" s="89"/>
      <c r="E83" s="89"/>
      <c r="F83" s="89"/>
      <c r="G83" s="89"/>
      <c r="H83" s="88"/>
      <c r="I83" s="88"/>
      <c r="J83" s="88"/>
      <c r="K83" s="88"/>
      <c r="L83" s="88"/>
    </row>
    <row r="84" spans="2:12" ht="15" customHeight="1" x14ac:dyDescent="0.55000000000000004">
      <c r="B84" s="87" t="s">
        <v>164</v>
      </c>
      <c r="C84" s="72"/>
      <c r="D84" s="72">
        <f>AMZN_BS!C15/AMZN_CFS!D12</f>
        <v>2.8361558584606912</v>
      </c>
      <c r="E84" s="72">
        <f>AMZN_BS!D15/AMZN_CFS!E12</f>
        <v>2.8792919092313176</v>
      </c>
      <c r="F84" s="72">
        <f>AMZN_BS!E15/AMZN_CFS!F12</f>
        <v>3.2981688826685329</v>
      </c>
      <c r="G84" s="72">
        <f>AMZN_BS!F15/AMZN_CFS!G12</f>
        <v>3.8658257157328575</v>
      </c>
      <c r="H84" s="72">
        <f>AMZN_BS!G15/AMZN_CFS!H12</f>
        <v>4.0293904295483314</v>
      </c>
      <c r="I84" s="72">
        <f>AMZN_BS!H15/AMZN_CFS!I12</f>
        <v>4.0718786311124875</v>
      </c>
      <c r="J84" s="72">
        <f>AMZN_BS!I15/AMZN_CFS!J12</f>
        <v>4.0890472870352577</v>
      </c>
      <c r="K84" s="72">
        <f>AMZN_BS!J15/AMZN_CFS!K12</f>
        <v>4.0879126131025734</v>
      </c>
      <c r="L84" s="72">
        <f>AMZN_BS!K15/AMZN_CFS!L12</f>
        <v>4.0744640232154063</v>
      </c>
    </row>
    <row r="85" spans="2:12" ht="15" customHeight="1" x14ac:dyDescent="0.55000000000000004">
      <c r="B85" s="3" t="s">
        <v>168</v>
      </c>
      <c r="C85" s="89">
        <f>C13/SUM(AMZN_IS!C20:C23)</f>
        <v>6.6864986298664428E-2</v>
      </c>
      <c r="D85" s="89">
        <f>D13/SUM(AMZN_IS!D20:D23)</f>
        <v>6.8472243004638639E-2</v>
      </c>
      <c r="E85" s="89">
        <f>E13/SUM(AMZN_IS!E20:E23)</f>
        <v>7.0867838561709195E-2</v>
      </c>
      <c r="F85" s="89">
        <f>F13/SUM(AMZN_IS!F20:F23)</f>
        <v>7.3937764073792864E-2</v>
      </c>
      <c r="G85" s="89">
        <f>G13/SUM(AMZN_IS!G20:G23)</f>
        <v>9.2708879659423274E-2</v>
      </c>
      <c r="H85" s="88">
        <v>0.1</v>
      </c>
      <c r="I85" s="88">
        <f>$H85+1*($L85-$H85)/4</f>
        <v>9.2499999999999999E-2</v>
      </c>
      <c r="J85" s="88">
        <f>$H85+2*($L85-$H85)/4</f>
        <v>8.5000000000000006E-2</v>
      </c>
      <c r="K85" s="88">
        <f>$H85+3*($L85-$H85)/4</f>
        <v>7.7500000000000013E-2</v>
      </c>
      <c r="L85" s="88">
        <v>7.0000000000000007E-2</v>
      </c>
    </row>
    <row r="86" spans="2:12" ht="15" customHeight="1" x14ac:dyDescent="0.55000000000000004">
      <c r="B86" s="92" t="s">
        <v>169</v>
      </c>
      <c r="C86" s="41">
        <f>C24/AMZN_IS!C$13</f>
        <v>0.13192664253479156</v>
      </c>
      <c r="D86" s="41">
        <f>D24/AMZN_IS!D$13</f>
        <v>0.13729760945665581</v>
      </c>
      <c r="E86" s="41">
        <f>E24/AMZN_IS!E$13</f>
        <v>0.17112188652658628</v>
      </c>
      <c r="F86" s="41">
        <f>F24/AMZN_IS!F$13</f>
        <v>9.8605429290241839E-2</v>
      </c>
      <c r="G86" s="41">
        <f>G24/AMZN_IS!G$13</f>
        <v>9.0960206855090542E-2</v>
      </c>
      <c r="H86" s="93"/>
      <c r="I86" s="93"/>
      <c r="J86" s="93"/>
      <c r="K86" s="93"/>
      <c r="L86" s="9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F8BF-BB26-4DFF-83BF-2B04E1BAC8D4}">
  <dimension ref="B3:Z68"/>
  <sheetViews>
    <sheetView showGridLines="0" topLeftCell="A14" zoomScale="86" zoomScaleNormal="100" workbookViewId="0">
      <selection activeCell="B14" sqref="B14:H31"/>
    </sheetView>
  </sheetViews>
  <sheetFormatPr defaultRowHeight="14.25" x14ac:dyDescent="0.45"/>
  <cols>
    <col min="2" max="2" width="39.46484375" customWidth="1"/>
    <col min="3" max="3" width="6.19921875" bestFit="1" customWidth="1"/>
    <col min="4" max="7" width="12" customWidth="1"/>
    <col min="8" max="8" width="39.46484375" customWidth="1"/>
    <col min="9" max="9" width="13.1328125" bestFit="1" customWidth="1"/>
    <col min="10" max="10" width="13.6640625" bestFit="1" customWidth="1"/>
    <col min="11" max="14" width="12" customWidth="1"/>
    <col min="15" max="15" width="13.6640625" customWidth="1"/>
    <col min="16" max="20" width="10.796875"/>
    <col min="21" max="21" width="13" customWidth="1"/>
    <col min="22" max="22" width="18.1328125" customWidth="1"/>
    <col min="23" max="23" width="15.1328125" customWidth="1"/>
    <col min="24" max="24" width="15.46484375" customWidth="1"/>
    <col min="25" max="25" width="15.1328125" customWidth="1"/>
  </cols>
  <sheetData>
    <row r="3" spans="2:26" x14ac:dyDescent="0.45">
      <c r="B3" s="480" t="s">
        <v>521</v>
      </c>
      <c r="C3" s="473"/>
      <c r="D3" s="482">
        <v>44926</v>
      </c>
      <c r="E3" s="480" t="s">
        <v>87</v>
      </c>
      <c r="F3" s="449"/>
      <c r="G3" s="263"/>
      <c r="H3" s="480" t="s">
        <v>639</v>
      </c>
      <c r="I3" s="473" t="s">
        <v>75</v>
      </c>
      <c r="J3" s="480" t="s">
        <v>641</v>
      </c>
      <c r="K3" s="480" t="s">
        <v>651</v>
      </c>
      <c r="L3" s="449"/>
      <c r="M3" s="449"/>
      <c r="N3" s="449"/>
      <c r="O3" s="263"/>
      <c r="P3" s="449"/>
      <c r="Q3" s="449"/>
      <c r="R3" s="449"/>
      <c r="S3" s="449"/>
      <c r="T3" s="449"/>
      <c r="U3" s="453" t="s">
        <v>276</v>
      </c>
      <c r="V3" s="454" t="s">
        <v>472</v>
      </c>
      <c r="W3" s="455"/>
      <c r="X3" s="456" t="s">
        <v>11</v>
      </c>
      <c r="Y3" s="455"/>
      <c r="Z3" s="449"/>
    </row>
    <row r="4" spans="2:26" x14ac:dyDescent="0.45">
      <c r="B4" s="450" t="s">
        <v>721</v>
      </c>
      <c r="C4" s="449"/>
      <c r="D4" s="449"/>
      <c r="E4" s="449"/>
      <c r="F4" s="449"/>
      <c r="G4" s="263"/>
      <c r="H4" s="483" t="s">
        <v>640</v>
      </c>
      <c r="I4" s="449"/>
      <c r="J4" s="449"/>
      <c r="K4" s="449"/>
      <c r="L4" s="449"/>
      <c r="M4" s="449"/>
      <c r="N4" s="449"/>
      <c r="O4" s="263"/>
      <c r="P4" s="449"/>
      <c r="Q4" s="449"/>
      <c r="R4" s="449"/>
      <c r="S4" s="449"/>
      <c r="T4" s="449"/>
      <c r="U4" s="460" t="s">
        <v>277</v>
      </c>
      <c r="V4" s="461" t="s">
        <v>278</v>
      </c>
      <c r="W4" s="462" t="s">
        <v>279</v>
      </c>
      <c r="X4" s="461" t="s">
        <v>278</v>
      </c>
      <c r="Y4" s="462" t="s">
        <v>279</v>
      </c>
      <c r="Z4" s="449"/>
    </row>
    <row r="5" spans="2:26" x14ac:dyDescent="0.45">
      <c r="B5" s="449" t="s">
        <v>522</v>
      </c>
      <c r="C5" s="449"/>
      <c r="D5" s="458">
        <v>4000</v>
      </c>
      <c r="E5" s="484">
        <v>2.6599999999999999E-2</v>
      </c>
      <c r="F5" s="449"/>
      <c r="G5" s="263"/>
      <c r="H5" s="449" t="s">
        <v>104</v>
      </c>
      <c r="I5" s="466">
        <f>'AMZN_Revenue Build'!O76</f>
        <v>0.6928497635135793</v>
      </c>
      <c r="J5" s="484">
        <v>3.7199999999999997E-2</v>
      </c>
      <c r="K5" s="449" t="s">
        <v>644</v>
      </c>
      <c r="L5" s="449"/>
      <c r="M5" s="449"/>
      <c r="N5" s="449"/>
      <c r="O5" s="263"/>
      <c r="P5" s="449"/>
      <c r="Q5" s="449"/>
      <c r="R5" s="449"/>
      <c r="S5" s="449"/>
      <c r="T5" s="449"/>
      <c r="U5" s="467">
        <v>43221</v>
      </c>
      <c r="V5" s="468">
        <v>2705.27</v>
      </c>
      <c r="W5" s="469"/>
      <c r="X5" s="468">
        <v>81.481003000000001</v>
      </c>
      <c r="Y5" s="470"/>
      <c r="Z5" s="449"/>
    </row>
    <row r="6" spans="2:26" x14ac:dyDescent="0.45">
      <c r="B6" s="449" t="s">
        <v>523</v>
      </c>
      <c r="C6" s="449"/>
      <c r="D6" s="458">
        <v>16000</v>
      </c>
      <c r="E6" s="484">
        <v>5.1200000000000002E-2</v>
      </c>
      <c r="F6" s="449"/>
      <c r="G6" s="263"/>
      <c r="H6" s="449" t="s">
        <v>105</v>
      </c>
      <c r="I6" s="466">
        <f>'AMZN_Revenue Build'!O77</f>
        <v>6.5367920728895704E-2</v>
      </c>
      <c r="J6" s="484">
        <v>2.3599999999999999E-2</v>
      </c>
      <c r="K6" s="449" t="s">
        <v>642</v>
      </c>
      <c r="L6" s="449"/>
      <c r="M6" s="449"/>
      <c r="N6" s="449"/>
      <c r="O6" s="263"/>
      <c r="P6" s="449"/>
      <c r="Q6" s="449"/>
      <c r="R6" s="449"/>
      <c r="S6" s="449"/>
      <c r="T6" s="449"/>
      <c r="U6" s="467">
        <v>43252</v>
      </c>
      <c r="V6" s="468">
        <v>2718.37</v>
      </c>
      <c r="W6" s="471">
        <f t="shared" ref="W6:W37" si="0">V6/V5-1</f>
        <v>4.8424002040461378E-3</v>
      </c>
      <c r="X6" s="468">
        <v>84.989998</v>
      </c>
      <c r="Y6" s="472">
        <f t="shared" ref="Y6:Y37" si="1">X6/X5-1</f>
        <v>4.3065191526913349E-2</v>
      </c>
      <c r="Z6" s="449"/>
    </row>
    <row r="7" spans="2:26" x14ac:dyDescent="0.45">
      <c r="B7" s="449" t="s">
        <v>524</v>
      </c>
      <c r="C7" s="449"/>
      <c r="D7" s="458">
        <v>10000</v>
      </c>
      <c r="E7" s="484">
        <v>4.3299999999999998E-2</v>
      </c>
      <c r="F7" s="449"/>
      <c r="G7" s="263"/>
      <c r="H7" s="449" t="s">
        <v>106</v>
      </c>
      <c r="I7" s="466">
        <f>'AMZN_Revenue Build'!O78</f>
        <v>5.8511662837097723E-2</v>
      </c>
      <c r="J7" s="484">
        <v>4.0599999999999997E-2</v>
      </c>
      <c r="K7" s="449" t="s">
        <v>645</v>
      </c>
      <c r="L7" s="449"/>
      <c r="M7" s="449"/>
      <c r="N7" s="449"/>
      <c r="O7" s="263"/>
      <c r="P7" s="449"/>
      <c r="Q7" s="449"/>
      <c r="R7" s="449"/>
      <c r="S7" s="449"/>
      <c r="T7" s="449"/>
      <c r="U7" s="467">
        <v>43282</v>
      </c>
      <c r="V7" s="468">
        <v>2816.29</v>
      </c>
      <c r="W7" s="471">
        <f t="shared" si="0"/>
        <v>3.6021586465418753E-2</v>
      </c>
      <c r="X7" s="468">
        <v>88.872001999999995</v>
      </c>
      <c r="Y7" s="472">
        <f t="shared" si="1"/>
        <v>4.5676010017084545E-2</v>
      </c>
      <c r="Z7" s="449"/>
    </row>
    <row r="8" spans="2:26" x14ac:dyDescent="0.45">
      <c r="B8" s="449" t="s">
        <v>525</v>
      </c>
      <c r="C8" s="449"/>
      <c r="D8" s="458">
        <v>18500</v>
      </c>
      <c r="E8" s="484">
        <v>2.7699999999999999E-2</v>
      </c>
      <c r="F8" s="449"/>
      <c r="G8" s="263"/>
      <c r="H8" s="449" t="s">
        <v>107</v>
      </c>
      <c r="I8" s="466">
        <f>'AMZN_Revenue Build'!O79</f>
        <v>4.7464604860472041E-2</v>
      </c>
      <c r="J8" s="484">
        <v>1.2500000000000001E-2</v>
      </c>
      <c r="K8" s="449" t="s">
        <v>646</v>
      </c>
      <c r="L8" s="449"/>
      <c r="M8" s="449"/>
      <c r="N8" s="449"/>
      <c r="O8" s="263"/>
      <c r="P8" s="449"/>
      <c r="Q8" s="449"/>
      <c r="R8" s="449"/>
      <c r="S8" s="449"/>
      <c r="T8" s="449"/>
      <c r="U8" s="467">
        <v>43313</v>
      </c>
      <c r="V8" s="468">
        <v>2901.52</v>
      </c>
      <c r="W8" s="471">
        <f t="shared" si="0"/>
        <v>3.0263218631604083E-2</v>
      </c>
      <c r="X8" s="468">
        <v>100.635498</v>
      </c>
      <c r="Y8" s="472">
        <f t="shared" si="1"/>
        <v>0.13236447627229109</v>
      </c>
      <c r="Z8" s="449"/>
    </row>
    <row r="9" spans="2:26" x14ac:dyDescent="0.45">
      <c r="B9" s="449" t="s">
        <v>526</v>
      </c>
      <c r="C9" s="449"/>
      <c r="D9" s="458">
        <v>12750</v>
      </c>
      <c r="E9" s="484">
        <v>3.3099999999999997E-2</v>
      </c>
      <c r="F9" s="449"/>
      <c r="G9" s="263"/>
      <c r="H9" s="478" t="s">
        <v>68</v>
      </c>
      <c r="I9" s="479"/>
      <c r="J9" s="486">
        <f>SUMPRODUCT(I5:I8,J5:J8)</f>
        <v>3.0285575203849155E-2</v>
      </c>
      <c r="K9" s="449"/>
      <c r="L9" s="449"/>
      <c r="M9" s="449"/>
      <c r="N9" s="449"/>
      <c r="O9" s="263"/>
      <c r="P9" s="449"/>
      <c r="Q9" s="449"/>
      <c r="R9" s="449"/>
      <c r="S9" s="449"/>
      <c r="T9" s="449"/>
      <c r="U9" s="467">
        <v>43344</v>
      </c>
      <c r="V9" s="468">
        <v>2913.98</v>
      </c>
      <c r="W9" s="471">
        <f t="shared" si="0"/>
        <v>4.2943009181395375E-3</v>
      </c>
      <c r="X9" s="468">
        <v>100.150002</v>
      </c>
      <c r="Y9" s="472">
        <f t="shared" si="1"/>
        <v>-4.8243016594402555E-3</v>
      </c>
      <c r="Z9" s="449"/>
    </row>
    <row r="10" spans="2:26" x14ac:dyDescent="0.45">
      <c r="B10" s="449" t="s">
        <v>527</v>
      </c>
      <c r="C10" s="449"/>
      <c r="D10" s="458">
        <v>8250</v>
      </c>
      <c r="E10" s="484">
        <v>4.1500000000000002E-2</v>
      </c>
      <c r="F10" s="449"/>
      <c r="G10" s="263"/>
      <c r="H10" s="449" t="s">
        <v>643</v>
      </c>
      <c r="I10" s="449"/>
      <c r="J10" s="449"/>
      <c r="K10" s="449"/>
      <c r="L10" s="449"/>
      <c r="M10" s="449"/>
      <c r="N10" s="449"/>
      <c r="O10" s="263"/>
      <c r="P10" s="449"/>
      <c r="Q10" s="449"/>
      <c r="R10" s="449"/>
      <c r="S10" s="449"/>
      <c r="T10" s="449"/>
      <c r="U10" s="467">
        <v>43374</v>
      </c>
      <c r="V10" s="468">
        <v>2711.74</v>
      </c>
      <c r="W10" s="471">
        <f t="shared" si="0"/>
        <v>-6.9403358979814644E-2</v>
      </c>
      <c r="X10" s="468">
        <v>79.900497000000001</v>
      </c>
      <c r="Y10" s="472">
        <f t="shared" si="1"/>
        <v>-0.20219175831868674</v>
      </c>
      <c r="Z10" s="449"/>
    </row>
    <row r="11" spans="2:26" x14ac:dyDescent="0.45">
      <c r="B11" s="449" t="s">
        <v>528</v>
      </c>
      <c r="C11" s="449"/>
      <c r="D11" s="458">
        <v>1042</v>
      </c>
      <c r="E11" s="484">
        <v>4.8300000000000003E-2</v>
      </c>
      <c r="F11" s="449"/>
      <c r="G11" s="263"/>
      <c r="H11" s="263"/>
      <c r="I11" s="263"/>
      <c r="J11" s="449"/>
      <c r="K11" s="449"/>
      <c r="L11" s="449"/>
      <c r="M11" s="449"/>
      <c r="N11" s="449"/>
      <c r="O11" s="263"/>
      <c r="P11" s="449"/>
      <c r="Q11" s="449"/>
      <c r="R11" s="449"/>
      <c r="S11" s="449"/>
      <c r="T11" s="449"/>
      <c r="U11" s="467">
        <v>43405</v>
      </c>
      <c r="V11" s="468">
        <v>2760.17</v>
      </c>
      <c r="W11" s="471">
        <f t="shared" si="0"/>
        <v>1.785938179914015E-2</v>
      </c>
      <c r="X11" s="468">
        <v>84.508499</v>
      </c>
      <c r="Y11" s="472">
        <f t="shared" si="1"/>
        <v>5.767175640972555E-2</v>
      </c>
      <c r="Z11" s="449"/>
    </row>
    <row r="12" spans="2:26" x14ac:dyDescent="0.45">
      <c r="B12" s="478" t="s">
        <v>68</v>
      </c>
      <c r="C12" s="479"/>
      <c r="D12" s="485">
        <f>SUM(D5:D11)</f>
        <v>70542</v>
      </c>
      <c r="E12" s="486">
        <f>SUMPRODUCT(D5:D11,E5:E11)/SUM(D5:D11)</f>
        <v>3.8073468288395564E-2</v>
      </c>
      <c r="F12" s="449"/>
      <c r="G12" s="263"/>
      <c r="H12" s="263"/>
      <c r="I12" s="263"/>
      <c r="J12" s="449"/>
      <c r="K12" s="449"/>
      <c r="L12" s="449"/>
      <c r="M12" s="449"/>
      <c r="N12" s="449"/>
      <c r="O12" s="263"/>
      <c r="P12" s="449"/>
      <c r="Q12" s="449"/>
      <c r="R12" s="449"/>
      <c r="S12" s="449"/>
      <c r="T12" s="449"/>
      <c r="U12" s="467">
        <v>43435</v>
      </c>
      <c r="V12" s="468">
        <v>2506.85</v>
      </c>
      <c r="W12" s="471">
        <f t="shared" si="0"/>
        <v>-9.1776955767217339E-2</v>
      </c>
      <c r="X12" s="468">
        <v>75.098502999999994</v>
      </c>
      <c r="Y12" s="472">
        <f t="shared" si="1"/>
        <v>-0.11134969986864884</v>
      </c>
      <c r="Z12" s="449"/>
    </row>
    <row r="13" spans="2:26" x14ac:dyDescent="0.45">
      <c r="B13" s="449"/>
      <c r="C13" s="481"/>
      <c r="D13" s="449"/>
      <c r="E13" s="449"/>
      <c r="F13" s="449"/>
      <c r="G13" s="263"/>
      <c r="H13" s="263"/>
      <c r="I13" s="263"/>
      <c r="J13" s="449"/>
      <c r="K13" s="449"/>
      <c r="L13" s="449"/>
      <c r="M13" s="449"/>
      <c r="N13" s="449"/>
      <c r="O13" s="263"/>
      <c r="P13" s="449"/>
      <c r="Q13" s="449"/>
      <c r="R13" s="449"/>
      <c r="S13" s="449"/>
      <c r="T13" s="449"/>
      <c r="U13" s="467">
        <v>43466</v>
      </c>
      <c r="V13" s="468">
        <v>2704.1</v>
      </c>
      <c r="W13" s="471">
        <f t="shared" si="0"/>
        <v>7.8684404731036883E-2</v>
      </c>
      <c r="X13" s="468">
        <v>85.936501000000007</v>
      </c>
      <c r="Y13" s="472">
        <f t="shared" si="1"/>
        <v>0.14431709777224211</v>
      </c>
      <c r="Z13" s="449"/>
    </row>
    <row r="14" spans="2:26" x14ac:dyDescent="0.45">
      <c r="B14" s="457"/>
      <c r="C14" s="539"/>
      <c r="D14" s="542"/>
      <c r="E14" s="457"/>
      <c r="F14" s="457"/>
      <c r="G14" s="272"/>
      <c r="H14" s="272"/>
      <c r="I14" s="263"/>
      <c r="J14" s="449"/>
      <c r="K14" s="449"/>
      <c r="L14" s="449"/>
      <c r="M14" s="449"/>
      <c r="N14" s="449"/>
      <c r="O14" s="263"/>
      <c r="P14" s="449"/>
      <c r="Q14" s="449"/>
      <c r="R14" s="449"/>
      <c r="S14" s="449"/>
      <c r="T14" s="449"/>
      <c r="U14" s="467">
        <v>43497</v>
      </c>
      <c r="V14" s="468">
        <v>2784.49</v>
      </c>
      <c r="W14" s="471">
        <f t="shared" si="0"/>
        <v>2.9728930143116061E-2</v>
      </c>
      <c r="X14" s="468">
        <v>81.991501</v>
      </c>
      <c r="Y14" s="472">
        <f t="shared" si="1"/>
        <v>-4.5905988190047542E-2</v>
      </c>
      <c r="Z14" s="449"/>
    </row>
    <row r="15" spans="2:26" x14ac:dyDescent="0.45">
      <c r="B15" s="480" t="s">
        <v>691</v>
      </c>
      <c r="C15" s="538" t="s">
        <v>693</v>
      </c>
      <c r="D15" s="533" t="s">
        <v>682</v>
      </c>
      <c r="E15" s="480"/>
      <c r="F15" s="480"/>
      <c r="G15" s="480"/>
      <c r="H15" s="480"/>
      <c r="I15" s="263"/>
      <c r="J15" s="449"/>
      <c r="K15" s="449"/>
      <c r="L15" s="449"/>
      <c r="M15" s="449"/>
      <c r="N15" s="449"/>
      <c r="O15" s="263"/>
      <c r="P15" s="449"/>
      <c r="Q15" s="449"/>
      <c r="R15" s="449"/>
      <c r="S15" s="449"/>
      <c r="T15" s="449"/>
      <c r="U15" s="467">
        <v>43525</v>
      </c>
      <c r="V15" s="468">
        <v>2834.4</v>
      </c>
      <c r="W15" s="471">
        <f t="shared" si="0"/>
        <v>1.7924287751078349E-2</v>
      </c>
      <c r="X15" s="468">
        <v>89.037497999999999</v>
      </c>
      <c r="Y15" s="472">
        <f t="shared" si="1"/>
        <v>8.5935699603791882E-2</v>
      </c>
      <c r="Z15" s="449"/>
    </row>
    <row r="16" spans="2:26" x14ac:dyDescent="0.45">
      <c r="B16" s="450"/>
      <c r="C16" s="483"/>
      <c r="D16" s="534"/>
      <c r="E16" s="449"/>
      <c r="F16" s="449"/>
      <c r="G16" s="449"/>
      <c r="H16" s="487"/>
      <c r="I16" s="263"/>
      <c r="J16" s="449"/>
      <c r="K16" s="449"/>
      <c r="L16" s="449"/>
      <c r="M16" s="449"/>
      <c r="N16" s="449"/>
      <c r="O16" s="263"/>
      <c r="P16" s="449"/>
      <c r="Q16" s="449"/>
      <c r="R16" s="449"/>
      <c r="S16" s="449"/>
      <c r="T16" s="449"/>
      <c r="U16" s="467">
        <v>43556</v>
      </c>
      <c r="V16" s="468">
        <v>2945.83</v>
      </c>
      <c r="W16" s="471">
        <f t="shared" si="0"/>
        <v>3.9313434942139347E-2</v>
      </c>
      <c r="X16" s="468">
        <v>96.325996000000004</v>
      </c>
      <c r="Y16" s="472">
        <f t="shared" si="1"/>
        <v>8.185874674959992E-2</v>
      </c>
      <c r="Z16" s="449"/>
    </row>
    <row r="17" spans="2:26" x14ac:dyDescent="0.45">
      <c r="B17" s="450" t="s">
        <v>489</v>
      </c>
      <c r="C17" s="531">
        <f>E12</f>
        <v>3.8073468288395564E-2</v>
      </c>
      <c r="D17" s="534" t="s">
        <v>683</v>
      </c>
      <c r="E17" s="449"/>
      <c r="F17" s="449"/>
      <c r="G17" s="449"/>
      <c r="H17" s="263"/>
      <c r="I17" s="263"/>
      <c r="J17" s="449"/>
      <c r="K17" s="449"/>
      <c r="L17" s="449"/>
      <c r="M17" s="449"/>
      <c r="N17" s="449"/>
      <c r="O17" s="263"/>
      <c r="P17" s="449"/>
      <c r="Q17" s="449"/>
      <c r="R17" s="449"/>
      <c r="S17" s="449"/>
      <c r="T17" s="449"/>
      <c r="U17" s="467">
        <v>43586</v>
      </c>
      <c r="V17" s="468">
        <v>2752.06</v>
      </c>
      <c r="W17" s="471">
        <f t="shared" si="0"/>
        <v>-6.5777726481161536E-2</v>
      </c>
      <c r="X17" s="468">
        <v>88.753501999999997</v>
      </c>
      <c r="Y17" s="472">
        <f t="shared" si="1"/>
        <v>-7.8613191811689243E-2</v>
      </c>
      <c r="Z17" s="449"/>
    </row>
    <row r="18" spans="2:26" hidden="1" x14ac:dyDescent="0.45">
      <c r="B18" s="449" t="s">
        <v>490</v>
      </c>
      <c r="C18" s="527">
        <v>0.21</v>
      </c>
      <c r="D18" s="534"/>
      <c r="E18" s="449"/>
      <c r="F18" s="449"/>
      <c r="G18" s="459"/>
      <c r="H18" s="263"/>
      <c r="I18" s="263"/>
      <c r="J18" s="449"/>
      <c r="K18" s="449"/>
      <c r="L18" s="449"/>
      <c r="M18" s="449"/>
      <c r="N18" s="449"/>
      <c r="O18" s="263"/>
      <c r="P18" s="449"/>
      <c r="Q18" s="449"/>
      <c r="R18" s="449"/>
      <c r="S18" s="449"/>
      <c r="T18" s="449"/>
      <c r="U18" s="467">
        <v>43617</v>
      </c>
      <c r="V18" s="468">
        <v>2941.76</v>
      </c>
      <c r="W18" s="471">
        <f t="shared" si="0"/>
        <v>6.8930183208214979E-2</v>
      </c>
      <c r="X18" s="468">
        <v>94.681503000000006</v>
      </c>
      <c r="Y18" s="472">
        <f t="shared" si="1"/>
        <v>6.6791741919096426E-2</v>
      </c>
      <c r="Z18" s="449"/>
    </row>
    <row r="19" spans="2:26" x14ac:dyDescent="0.45">
      <c r="B19" s="449" t="s">
        <v>491</v>
      </c>
      <c r="C19" s="527">
        <f>'Relative Valuation &amp; WACC'!I16</f>
        <v>0.20999999999999996</v>
      </c>
      <c r="D19" s="534" t="s">
        <v>688</v>
      </c>
      <c r="E19" s="449"/>
      <c r="F19" s="449"/>
      <c r="G19" s="449"/>
      <c r="H19" s="263"/>
      <c r="I19" s="263"/>
      <c r="J19" s="449"/>
      <c r="K19" s="449"/>
      <c r="L19" s="449"/>
      <c r="M19" s="449"/>
      <c r="N19" s="449"/>
      <c r="O19" s="263"/>
      <c r="P19" s="449"/>
      <c r="Q19" s="449"/>
      <c r="R19" s="449"/>
      <c r="S19" s="449"/>
      <c r="T19" s="449"/>
      <c r="U19" s="467">
        <v>43647</v>
      </c>
      <c r="V19" s="468">
        <v>2980.38</v>
      </c>
      <c r="W19" s="471">
        <f t="shared" si="0"/>
        <v>1.3128195366039375E-2</v>
      </c>
      <c r="X19" s="468">
        <v>93.338997000000006</v>
      </c>
      <c r="Y19" s="472">
        <f t="shared" si="1"/>
        <v>-1.4179179221521232E-2</v>
      </c>
      <c r="Z19" s="449"/>
    </row>
    <row r="20" spans="2:26" x14ac:dyDescent="0.45">
      <c r="B20" s="488" t="s">
        <v>517</v>
      </c>
      <c r="C20" s="481">
        <f>'Relative Valuation &amp; WACC'!H5</f>
        <v>6.2016845425943323E-2</v>
      </c>
      <c r="D20" s="534" t="s">
        <v>649</v>
      </c>
      <c r="E20" s="449"/>
      <c r="F20" s="449"/>
      <c r="G20" s="459"/>
      <c r="H20" s="263"/>
      <c r="I20" s="263"/>
      <c r="J20" s="449"/>
      <c r="K20" s="449"/>
      <c r="L20" s="449"/>
      <c r="M20" s="458"/>
      <c r="N20" s="449"/>
      <c r="O20" s="263"/>
      <c r="P20" s="449"/>
      <c r="Q20" s="449"/>
      <c r="R20" s="449"/>
      <c r="S20" s="449"/>
      <c r="T20" s="449"/>
      <c r="U20" s="467">
        <v>43678</v>
      </c>
      <c r="V20" s="468">
        <v>2926.46</v>
      </c>
      <c r="W20" s="471">
        <f t="shared" si="0"/>
        <v>-1.8091652742267761E-2</v>
      </c>
      <c r="X20" s="468">
        <v>88.814498999999998</v>
      </c>
      <c r="Y20" s="472">
        <f t="shared" si="1"/>
        <v>-4.8473822790275012E-2</v>
      </c>
      <c r="Z20" s="449"/>
    </row>
    <row r="21" spans="2:26" x14ac:dyDescent="0.45">
      <c r="B21" s="489" t="s">
        <v>492</v>
      </c>
      <c r="C21" s="528">
        <f>AVERAGE('Relative Valuation &amp; WACC'!H16,'Relative Valuation &amp; WACC'!H26)</f>
        <v>6.7215447661046507E-2</v>
      </c>
      <c r="D21" s="534" t="s">
        <v>689</v>
      </c>
      <c r="E21" s="449"/>
      <c r="F21" s="449"/>
      <c r="G21" s="449"/>
      <c r="H21" s="263"/>
      <c r="I21" s="263"/>
      <c r="J21" s="449"/>
      <c r="K21" s="449"/>
      <c r="L21" s="449"/>
      <c r="M21" s="458"/>
      <c r="N21" s="449"/>
      <c r="O21" s="263"/>
      <c r="P21" s="449"/>
      <c r="Q21" s="449"/>
      <c r="R21" s="449"/>
      <c r="S21" s="449"/>
      <c r="T21" s="449"/>
      <c r="U21" s="467">
        <v>43709</v>
      </c>
      <c r="V21" s="468">
        <v>2976.74</v>
      </c>
      <c r="W21" s="471">
        <f t="shared" si="0"/>
        <v>1.7181167690656807E-2</v>
      </c>
      <c r="X21" s="468">
        <v>86.795501999999999</v>
      </c>
      <c r="Y21" s="472">
        <f t="shared" si="1"/>
        <v>-2.2732740968341214E-2</v>
      </c>
      <c r="Z21" s="449"/>
    </row>
    <row r="22" spans="2:26" x14ac:dyDescent="0.45">
      <c r="B22" s="530" t="s">
        <v>493</v>
      </c>
      <c r="C22" s="490"/>
      <c r="D22" s="534"/>
      <c r="E22" s="449"/>
      <c r="F22" s="449"/>
      <c r="G22" s="449"/>
      <c r="H22" s="263"/>
      <c r="I22" s="263"/>
      <c r="J22" s="263"/>
      <c r="K22" s="449"/>
      <c r="L22" s="449"/>
      <c r="M22" s="449"/>
      <c r="N22" s="449"/>
      <c r="O22" s="263"/>
      <c r="P22" s="449"/>
      <c r="Q22" s="449"/>
      <c r="R22" s="449"/>
      <c r="S22" s="449"/>
      <c r="T22" s="449"/>
      <c r="U22" s="467">
        <v>43739</v>
      </c>
      <c r="V22" s="468">
        <v>3037.56</v>
      </c>
      <c r="W22" s="471">
        <f t="shared" si="0"/>
        <v>2.0431747482144935E-2</v>
      </c>
      <c r="X22" s="468">
        <v>88.832999999999998</v>
      </c>
      <c r="Y22" s="472">
        <f t="shared" si="1"/>
        <v>2.3474695727896178E-2</v>
      </c>
      <c r="Z22" s="449"/>
    </row>
    <row r="23" spans="2:26" x14ac:dyDescent="0.45">
      <c r="B23" s="488" t="s">
        <v>494</v>
      </c>
      <c r="C23" s="481">
        <f>'Relative Valuation &amp; WACC'!G16</f>
        <v>1.1310845906210785</v>
      </c>
      <c r="D23" s="534" t="s">
        <v>722</v>
      </c>
      <c r="E23" s="449"/>
      <c r="F23" s="449"/>
      <c r="G23" s="449"/>
      <c r="H23" s="263"/>
      <c r="I23" s="263"/>
      <c r="J23" s="263"/>
      <c r="K23" s="449"/>
      <c r="L23" s="449"/>
      <c r="M23" s="449"/>
      <c r="N23" s="449"/>
      <c r="O23" s="263"/>
      <c r="P23" s="449"/>
      <c r="Q23" s="449"/>
      <c r="R23" s="449"/>
      <c r="S23" s="449"/>
      <c r="T23" s="449"/>
      <c r="U23" s="467">
        <v>43770</v>
      </c>
      <c r="V23" s="468">
        <v>3140.98</v>
      </c>
      <c r="W23" s="471">
        <f t="shared" si="0"/>
        <v>3.404706409091518E-2</v>
      </c>
      <c r="X23" s="468">
        <v>90.040001000000004</v>
      </c>
      <c r="Y23" s="472">
        <f t="shared" si="1"/>
        <v>1.3587304267558276E-2</v>
      </c>
      <c r="Z23" s="449"/>
    </row>
    <row r="24" spans="2:26" x14ac:dyDescent="0.45">
      <c r="B24" s="449" t="s">
        <v>495</v>
      </c>
      <c r="C24" s="481">
        <f>C23/(1+(1-C19)*C21)</f>
        <v>1.0740522000645296</v>
      </c>
      <c r="D24" s="534"/>
      <c r="E24" s="449"/>
      <c r="F24" s="449"/>
      <c r="G24" s="449"/>
      <c r="H24" s="263"/>
      <c r="I24" s="263"/>
      <c r="J24" s="263"/>
      <c r="K24" s="449"/>
      <c r="L24" s="449"/>
      <c r="M24" s="449"/>
      <c r="N24" s="449"/>
      <c r="O24" s="263"/>
      <c r="P24" s="449"/>
      <c r="Q24" s="449"/>
      <c r="R24" s="449"/>
      <c r="S24" s="449"/>
      <c r="T24" s="449"/>
      <c r="U24" s="467">
        <v>43800</v>
      </c>
      <c r="V24" s="468">
        <v>3230.78</v>
      </c>
      <c r="W24" s="471">
        <f t="shared" si="0"/>
        <v>2.8589803182446305E-2</v>
      </c>
      <c r="X24" s="468">
        <v>92.391998000000001</v>
      </c>
      <c r="Y24" s="472">
        <f t="shared" si="1"/>
        <v>2.6121690069728087E-2</v>
      </c>
      <c r="Z24" s="449"/>
    </row>
    <row r="25" spans="2:26" x14ac:dyDescent="0.45">
      <c r="B25" s="480" t="s">
        <v>496</v>
      </c>
      <c r="C25" s="532">
        <f>C24*(1+(1-C18)*C20)</f>
        <v>1.1266735701884587</v>
      </c>
      <c r="D25" s="534"/>
      <c r="E25" s="449"/>
      <c r="F25" s="449"/>
      <c r="G25" s="449"/>
      <c r="H25" s="263"/>
      <c r="I25" s="263"/>
      <c r="J25" s="263"/>
      <c r="K25" s="263"/>
      <c r="L25" s="263"/>
      <c r="M25" s="449"/>
      <c r="N25" s="449"/>
      <c r="O25" s="263"/>
      <c r="P25" s="449"/>
      <c r="Q25" s="449"/>
      <c r="R25" s="449"/>
      <c r="S25" s="449"/>
      <c r="T25" s="449"/>
      <c r="U25" s="467">
        <v>43831</v>
      </c>
      <c r="V25" s="468">
        <v>3225.52</v>
      </c>
      <c r="W25" s="471">
        <f t="shared" si="0"/>
        <v>-1.6280898111292741E-3</v>
      </c>
      <c r="X25" s="468">
        <v>100.435997</v>
      </c>
      <c r="Y25" s="472">
        <f t="shared" si="1"/>
        <v>8.70638061101352E-2</v>
      </c>
      <c r="Z25" s="449"/>
    </row>
    <row r="26" spans="2:26" x14ac:dyDescent="0.45">
      <c r="B26" s="450" t="s">
        <v>497</v>
      </c>
      <c r="C26" s="449"/>
      <c r="D26" s="534"/>
      <c r="E26" s="449"/>
      <c r="F26" s="449"/>
      <c r="G26" s="449"/>
      <c r="H26" s="263"/>
      <c r="I26" s="263"/>
      <c r="J26" s="263"/>
      <c r="K26" s="263"/>
      <c r="L26" s="263"/>
      <c r="M26" s="449"/>
      <c r="N26" s="449"/>
      <c r="O26" s="263"/>
      <c r="P26" s="449"/>
      <c r="Q26" s="449"/>
      <c r="R26" s="449"/>
      <c r="S26" s="449"/>
      <c r="T26" s="449"/>
      <c r="U26" s="467">
        <v>43862</v>
      </c>
      <c r="V26" s="468">
        <v>2954.22</v>
      </c>
      <c r="W26" s="471">
        <f t="shared" si="0"/>
        <v>-8.4110469009648137E-2</v>
      </c>
      <c r="X26" s="468">
        <v>94.1875</v>
      </c>
      <c r="Y26" s="472">
        <f t="shared" si="1"/>
        <v>-6.2213720047006649E-2</v>
      </c>
      <c r="Z26" s="449"/>
    </row>
    <row r="27" spans="2:26" x14ac:dyDescent="0.45">
      <c r="B27" s="450" t="s">
        <v>498</v>
      </c>
      <c r="C27" s="529">
        <f>J9</f>
        <v>3.0285575203849155E-2</v>
      </c>
      <c r="D27" s="534" t="s">
        <v>683</v>
      </c>
      <c r="E27" s="449"/>
      <c r="F27" s="449"/>
      <c r="G27" s="449"/>
      <c r="H27" s="263"/>
      <c r="I27" s="263"/>
      <c r="J27" s="263"/>
      <c r="K27" s="263"/>
      <c r="L27" s="263"/>
      <c r="M27" s="449"/>
      <c r="N27" s="449"/>
      <c r="O27" s="263"/>
      <c r="P27" s="449"/>
      <c r="Q27" s="449"/>
      <c r="R27" s="449"/>
      <c r="S27" s="449"/>
      <c r="T27" s="449"/>
      <c r="U27" s="467">
        <v>43891</v>
      </c>
      <c r="V27" s="468">
        <v>2584.59</v>
      </c>
      <c r="W27" s="471">
        <f t="shared" si="0"/>
        <v>-0.12511932083595656</v>
      </c>
      <c r="X27" s="468">
        <v>97.486000000000004</v>
      </c>
      <c r="Y27" s="472">
        <f t="shared" si="1"/>
        <v>3.5020570670205808E-2</v>
      </c>
      <c r="Z27" s="449"/>
    </row>
    <row r="28" spans="2:26" x14ac:dyDescent="0.45">
      <c r="B28" s="449" t="s">
        <v>692</v>
      </c>
      <c r="C28" s="490">
        <v>4.7E-2</v>
      </c>
      <c r="D28" s="535" t="s">
        <v>685</v>
      </c>
      <c r="E28" s="449"/>
      <c r="F28" s="449"/>
      <c r="G28" s="449"/>
      <c r="H28" s="263"/>
      <c r="I28" s="449"/>
      <c r="J28" s="449"/>
      <c r="K28" s="263"/>
      <c r="L28" s="263"/>
      <c r="M28" s="449"/>
      <c r="N28" s="449"/>
      <c r="O28" s="263"/>
      <c r="P28" s="449"/>
      <c r="Q28" s="449"/>
      <c r="R28" s="449"/>
      <c r="S28" s="449"/>
      <c r="T28" s="449"/>
      <c r="U28" s="467">
        <v>43922</v>
      </c>
      <c r="V28" s="468">
        <v>2912.43</v>
      </c>
      <c r="W28" s="471">
        <f t="shared" si="0"/>
        <v>0.12684410293315374</v>
      </c>
      <c r="X28" s="468">
        <v>123.699997</v>
      </c>
      <c r="Y28" s="472">
        <f t="shared" si="1"/>
        <v>0.26890011899144484</v>
      </c>
      <c r="Z28" s="449"/>
    </row>
    <row r="29" spans="2:26" x14ac:dyDescent="0.45">
      <c r="B29" s="536" t="s">
        <v>499</v>
      </c>
      <c r="C29" s="537">
        <f>C28*C25</f>
        <v>5.2953657798857558E-2</v>
      </c>
      <c r="D29" s="535" t="s">
        <v>690</v>
      </c>
      <c r="E29" s="449"/>
      <c r="F29" s="449"/>
      <c r="G29" s="449"/>
      <c r="H29" s="449"/>
      <c r="I29" s="449"/>
      <c r="J29" s="449"/>
      <c r="K29" s="263"/>
      <c r="L29" s="263"/>
      <c r="M29" s="449"/>
      <c r="N29" s="449"/>
      <c r="O29" s="263"/>
      <c r="P29" s="449"/>
      <c r="Q29" s="449"/>
      <c r="R29" s="449"/>
      <c r="S29" s="449"/>
      <c r="T29" s="449"/>
      <c r="U29" s="467">
        <v>43952</v>
      </c>
      <c r="V29" s="468">
        <v>3044.31</v>
      </c>
      <c r="W29" s="471">
        <f t="shared" si="0"/>
        <v>4.528177501261843E-2</v>
      </c>
      <c r="X29" s="468">
        <v>122.1185</v>
      </c>
      <c r="Y29" s="472">
        <f t="shared" si="1"/>
        <v>-1.2784939679505447E-2</v>
      </c>
      <c r="Z29" s="449"/>
    </row>
    <row r="30" spans="2:26" x14ac:dyDescent="0.45">
      <c r="B30" s="450" t="s">
        <v>500</v>
      </c>
      <c r="C30" s="529">
        <f>C27+C29</f>
        <v>8.323923300270672E-2</v>
      </c>
      <c r="D30" s="534"/>
      <c r="E30" s="449"/>
      <c r="F30" s="449"/>
      <c r="G30" s="449"/>
      <c r="H30" s="449"/>
      <c r="I30" s="449"/>
      <c r="J30" s="449"/>
      <c r="K30" s="263"/>
      <c r="L30" s="263"/>
      <c r="M30" s="449"/>
      <c r="N30" s="449"/>
      <c r="O30" s="263"/>
      <c r="P30" s="449"/>
      <c r="Q30" s="449"/>
      <c r="R30" s="449"/>
      <c r="S30" s="449"/>
      <c r="T30" s="449"/>
      <c r="U30" s="467">
        <v>43983</v>
      </c>
      <c r="V30" s="468">
        <v>3100.29</v>
      </c>
      <c r="W30" s="471">
        <f t="shared" si="0"/>
        <v>1.8388403283502663E-2</v>
      </c>
      <c r="X30" s="468">
        <v>137.94099399999999</v>
      </c>
      <c r="Y30" s="472">
        <f t="shared" si="1"/>
        <v>0.12956672412451842</v>
      </c>
      <c r="Z30" s="449"/>
    </row>
    <row r="31" spans="2:26" x14ac:dyDescent="0.45">
      <c r="B31" s="515" t="s">
        <v>300</v>
      </c>
      <c r="C31" s="540">
        <f>(C17*(1-C18)*(F50/F52))+(C30*(F51/F52))</f>
        <v>8.0134866526278006E-2</v>
      </c>
      <c r="D31" s="541"/>
      <c r="E31" s="473"/>
      <c r="F31" s="286"/>
      <c r="G31" s="473"/>
      <c r="H31" s="473"/>
      <c r="I31" s="449"/>
      <c r="J31" s="449"/>
      <c r="K31" s="449"/>
      <c r="L31" s="449"/>
      <c r="M31" s="449"/>
      <c r="N31" s="449"/>
      <c r="O31" s="263"/>
      <c r="P31" s="449"/>
      <c r="Q31" s="449"/>
      <c r="R31" s="449"/>
      <c r="S31" s="449"/>
      <c r="T31" s="449"/>
      <c r="U31" s="467">
        <v>44013</v>
      </c>
      <c r="V31" s="468">
        <v>3271.12</v>
      </c>
      <c r="W31" s="471">
        <f t="shared" si="0"/>
        <v>5.5101296975444303E-2</v>
      </c>
      <c r="X31" s="468">
        <v>158.233994</v>
      </c>
      <c r="Y31" s="472">
        <f t="shared" si="1"/>
        <v>0.14711362743986034</v>
      </c>
      <c r="Z31" s="449"/>
    </row>
    <row r="32" spans="2:26" x14ac:dyDescent="0.45">
      <c r="B32" s="449"/>
      <c r="C32" s="449"/>
      <c r="D32" s="449"/>
      <c r="E32" s="449"/>
      <c r="F32" s="449"/>
      <c r="G32" s="449"/>
      <c r="H32" s="449"/>
      <c r="I32" s="449"/>
      <c r="J32" s="449"/>
      <c r="K32" s="449"/>
      <c r="L32" s="449"/>
      <c r="M32" s="449"/>
      <c r="N32" s="449"/>
      <c r="O32" s="263"/>
      <c r="P32" s="449"/>
      <c r="Q32" s="449"/>
      <c r="R32" s="449"/>
      <c r="S32" s="449"/>
      <c r="T32" s="449"/>
      <c r="U32" s="467">
        <v>44044</v>
      </c>
      <c r="V32" s="468">
        <v>3500.31</v>
      </c>
      <c r="W32" s="471">
        <f t="shared" si="0"/>
        <v>7.0064687324219221E-2</v>
      </c>
      <c r="X32" s="468">
        <v>172.54800399999999</v>
      </c>
      <c r="Y32" s="472">
        <f t="shared" si="1"/>
        <v>9.0461029505455093E-2</v>
      </c>
      <c r="Z32" s="449"/>
    </row>
    <row r="33" spans="2:26" x14ac:dyDescent="0.45">
      <c r="B33" s="449"/>
      <c r="C33" s="449"/>
      <c r="D33" s="449"/>
      <c r="E33" s="449"/>
      <c r="F33" s="449"/>
      <c r="G33" s="449"/>
      <c r="H33" s="449"/>
      <c r="I33" s="449"/>
      <c r="J33" s="449"/>
      <c r="K33" s="449"/>
      <c r="L33" s="449"/>
      <c r="M33" s="449"/>
      <c r="N33" s="449"/>
      <c r="O33" s="263"/>
      <c r="P33" s="449"/>
      <c r="Q33" s="449"/>
      <c r="R33" s="449"/>
      <c r="S33" s="449"/>
      <c r="T33" s="449"/>
      <c r="U33" s="467">
        <v>44075</v>
      </c>
      <c r="V33" s="468">
        <v>3363</v>
      </c>
      <c r="W33" s="471">
        <f t="shared" si="0"/>
        <v>-3.9227954095494399E-2</v>
      </c>
      <c r="X33" s="468">
        <v>157.43649300000001</v>
      </c>
      <c r="Y33" s="472">
        <f t="shared" si="1"/>
        <v>-8.7578590593258787E-2</v>
      </c>
      <c r="Z33" s="449"/>
    </row>
    <row r="34" spans="2:26" x14ac:dyDescent="0.45">
      <c r="B34" s="449" t="s">
        <v>513</v>
      </c>
      <c r="C34" s="449"/>
      <c r="D34" s="449"/>
      <c r="E34" s="449"/>
      <c r="F34" s="449"/>
      <c r="G34" s="449"/>
      <c r="H34" s="449"/>
      <c r="I34" s="449"/>
      <c r="J34" s="449"/>
      <c r="K34" s="449"/>
      <c r="L34" s="449"/>
      <c r="M34" s="449"/>
      <c r="N34" s="449"/>
      <c r="O34" s="263"/>
      <c r="P34" s="449"/>
      <c r="Q34" s="449"/>
      <c r="R34" s="449"/>
      <c r="S34" s="449"/>
      <c r="T34" s="449"/>
      <c r="U34" s="467">
        <v>44105</v>
      </c>
      <c r="V34" s="468">
        <v>3269.96</v>
      </c>
      <c r="W34" s="471">
        <f t="shared" si="0"/>
        <v>-2.7665774606006499E-2</v>
      </c>
      <c r="X34" s="468">
        <v>151.80749499999999</v>
      </c>
      <c r="Y34" s="472">
        <f t="shared" si="1"/>
        <v>-3.5754086570005228E-2</v>
      </c>
      <c r="Z34" s="449"/>
    </row>
    <row r="35" spans="2:26" x14ac:dyDescent="0.45">
      <c r="B35" s="449" t="s">
        <v>514</v>
      </c>
      <c r="C35" s="449"/>
      <c r="D35" s="449"/>
      <c r="E35" s="449"/>
      <c r="F35" s="449"/>
      <c r="G35" s="449"/>
      <c r="H35" s="449"/>
      <c r="I35" s="449"/>
      <c r="J35" s="449"/>
      <c r="K35" s="449"/>
      <c r="L35" s="449"/>
      <c r="M35" s="449"/>
      <c r="N35" s="449"/>
      <c r="O35" s="263"/>
      <c r="P35" s="449"/>
      <c r="Q35" s="449"/>
      <c r="R35" s="449"/>
      <c r="S35" s="449"/>
      <c r="T35" s="449"/>
      <c r="U35" s="467">
        <v>44136</v>
      </c>
      <c r="V35" s="468">
        <v>3621.63</v>
      </c>
      <c r="W35" s="471">
        <f t="shared" si="0"/>
        <v>0.10754565805086314</v>
      </c>
      <c r="X35" s="468">
        <v>158.401993</v>
      </c>
      <c r="Y35" s="472">
        <f t="shared" si="1"/>
        <v>4.3439871002416641E-2</v>
      </c>
      <c r="Z35" s="449"/>
    </row>
    <row r="36" spans="2:26" x14ac:dyDescent="0.45">
      <c r="B36" s="449" t="s">
        <v>515</v>
      </c>
      <c r="C36" s="449"/>
      <c r="D36" s="449"/>
      <c r="E36" s="449"/>
      <c r="F36" s="449"/>
      <c r="G36" s="449"/>
      <c r="H36" s="449"/>
      <c r="I36" s="449"/>
      <c r="J36" s="449"/>
      <c r="K36" s="449"/>
      <c r="L36" s="449"/>
      <c r="M36" s="449"/>
      <c r="N36" s="449"/>
      <c r="O36" s="263"/>
      <c r="P36" s="449"/>
      <c r="Q36" s="449"/>
      <c r="R36" s="449"/>
      <c r="S36" s="449"/>
      <c r="T36" s="449"/>
      <c r="U36" s="467">
        <v>44166</v>
      </c>
      <c r="V36" s="468">
        <v>3756.07</v>
      </c>
      <c r="W36" s="471">
        <f t="shared" si="0"/>
        <v>3.712140665943231E-2</v>
      </c>
      <c r="X36" s="468">
        <v>162.846497</v>
      </c>
      <c r="Y36" s="472">
        <f t="shared" si="1"/>
        <v>2.8058384341161702E-2</v>
      </c>
      <c r="Z36" s="449"/>
    </row>
    <row r="37" spans="2:26" x14ac:dyDescent="0.45">
      <c r="B37" s="449"/>
      <c r="C37" s="449"/>
      <c r="D37" s="449"/>
      <c r="E37" s="449"/>
      <c r="F37" s="449"/>
      <c r="G37" s="449"/>
      <c r="H37" s="449"/>
      <c r="I37" s="449"/>
      <c r="J37" s="449"/>
      <c r="K37" s="449"/>
      <c r="L37" s="449"/>
      <c r="M37" s="449"/>
      <c r="N37" s="449"/>
      <c r="O37" s="263"/>
      <c r="P37" s="449"/>
      <c r="Q37" s="449"/>
      <c r="R37" s="449"/>
      <c r="S37" s="449"/>
      <c r="T37" s="449"/>
      <c r="U37" s="467">
        <v>44197</v>
      </c>
      <c r="V37" s="468">
        <v>3714.24</v>
      </c>
      <c r="W37" s="471">
        <f t="shared" si="0"/>
        <v>-1.1136640158463607E-2</v>
      </c>
      <c r="X37" s="468">
        <v>160.30999800000001</v>
      </c>
      <c r="Y37" s="472">
        <f t="shared" si="1"/>
        <v>-1.5576012052626376E-2</v>
      </c>
      <c r="Z37" s="449"/>
    </row>
    <row r="38" spans="2:26" x14ac:dyDescent="0.45">
      <c r="B38" s="480" t="s">
        <v>680</v>
      </c>
      <c r="C38" s="480"/>
      <c r="D38" s="480"/>
      <c r="E38" s="480"/>
      <c r="F38" s="480"/>
      <c r="G38" s="480" t="s">
        <v>682</v>
      </c>
      <c r="H38" s="480"/>
      <c r="I38" s="449"/>
      <c r="J38" s="449"/>
      <c r="K38" s="449"/>
      <c r="L38" s="449"/>
      <c r="M38" s="449"/>
      <c r="N38" s="449"/>
      <c r="O38" s="263"/>
      <c r="P38" s="449"/>
      <c r="Q38" s="449"/>
      <c r="R38" s="449"/>
      <c r="S38" s="449"/>
      <c r="T38" s="449"/>
      <c r="U38" s="467">
        <v>44228</v>
      </c>
      <c r="V38" s="468">
        <v>3811.15</v>
      </c>
      <c r="W38" s="471">
        <f t="shared" ref="W38:W69" si="2">V38/V37-1</f>
        <v>2.6091474971999817E-2</v>
      </c>
      <c r="X38" s="468">
        <v>154.6465</v>
      </c>
      <c r="Y38" s="472">
        <f t="shared" ref="Y38:Y69" si="3">X38/X37-1</f>
        <v>-3.5328414139210507E-2</v>
      </c>
      <c r="Z38" s="449"/>
    </row>
    <row r="39" spans="2:26" x14ac:dyDescent="0.45">
      <c r="B39" s="449" t="s">
        <v>498</v>
      </c>
      <c r="C39" s="449"/>
      <c r="D39" s="449"/>
      <c r="E39" s="491"/>
      <c r="F39" s="492">
        <f>C27</f>
        <v>3.0285575203849155E-2</v>
      </c>
      <c r="G39" s="449" t="s">
        <v>683</v>
      </c>
      <c r="H39" s="449"/>
      <c r="I39" s="449"/>
      <c r="J39" s="449"/>
      <c r="K39" s="449"/>
      <c r="L39" s="449"/>
      <c r="M39" s="449"/>
      <c r="N39" s="449"/>
      <c r="O39" s="263"/>
      <c r="P39" s="449"/>
      <c r="Q39" s="449"/>
      <c r="R39" s="449"/>
      <c r="S39" s="449"/>
      <c r="T39" s="449"/>
      <c r="U39" s="467">
        <v>44256</v>
      </c>
      <c r="V39" s="468">
        <v>3972.89</v>
      </c>
      <c r="W39" s="471">
        <f t="shared" si="2"/>
        <v>4.2438634008107767E-2</v>
      </c>
      <c r="X39" s="468">
        <v>154.70399499999999</v>
      </c>
      <c r="Y39" s="472">
        <f t="shared" si="3"/>
        <v>3.7178338985999204E-4</v>
      </c>
      <c r="Z39" s="449"/>
    </row>
    <row r="40" spans="2:26" x14ac:dyDescent="0.45">
      <c r="B40" s="449" t="s">
        <v>475</v>
      </c>
      <c r="C40" s="449"/>
      <c r="D40" s="449"/>
      <c r="E40" s="491"/>
      <c r="F40" s="492">
        <f>C28</f>
        <v>4.7E-2</v>
      </c>
      <c r="G40" s="526" t="s">
        <v>685</v>
      </c>
      <c r="H40" s="449"/>
      <c r="I40" s="449"/>
      <c r="J40" s="449"/>
      <c r="K40" s="449"/>
      <c r="L40" s="449"/>
      <c r="M40" s="449"/>
      <c r="N40" s="449"/>
      <c r="O40" s="263"/>
      <c r="P40" s="449"/>
      <c r="Q40" s="449"/>
      <c r="R40" s="449"/>
      <c r="S40" s="449"/>
      <c r="T40" s="449"/>
      <c r="U40" s="467">
        <v>44287</v>
      </c>
      <c r="V40" s="468">
        <v>4181.17</v>
      </c>
      <c r="W40" s="471">
        <f t="shared" si="2"/>
        <v>5.242531255584737E-2</v>
      </c>
      <c r="X40" s="468">
        <v>173.371002</v>
      </c>
      <c r="Y40" s="472">
        <f t="shared" si="3"/>
        <v>0.12066273401666194</v>
      </c>
      <c r="Z40" s="449"/>
    </row>
    <row r="41" spans="2:26" x14ac:dyDescent="0.45">
      <c r="B41" s="449" t="s">
        <v>473</v>
      </c>
      <c r="C41" s="449"/>
      <c r="D41" s="449"/>
      <c r="E41" s="491"/>
      <c r="F41" s="493">
        <f>C25</f>
        <v>1.1266735701884587</v>
      </c>
      <c r="G41" s="449" t="s">
        <v>684</v>
      </c>
      <c r="H41" s="449"/>
      <c r="I41" s="449"/>
      <c r="J41" s="449"/>
      <c r="K41" s="449"/>
      <c r="L41" s="449"/>
      <c r="M41" s="449"/>
      <c r="N41" s="449"/>
      <c r="O41" s="263"/>
      <c r="P41" s="449"/>
      <c r="Q41" s="449"/>
      <c r="R41" s="449"/>
      <c r="S41" s="449"/>
      <c r="T41" s="449"/>
      <c r="U41" s="467">
        <v>44317</v>
      </c>
      <c r="V41" s="468">
        <v>4204.1099999999997</v>
      </c>
      <c r="W41" s="471">
        <f t="shared" si="2"/>
        <v>5.4865025818131574E-3</v>
      </c>
      <c r="X41" s="468">
        <v>161.153503</v>
      </c>
      <c r="Y41" s="472">
        <f t="shared" si="3"/>
        <v>-7.0470256611887216E-2</v>
      </c>
      <c r="Z41" s="449"/>
    </row>
    <row r="42" spans="2:26" x14ac:dyDescent="0.45">
      <c r="B42" s="473" t="s">
        <v>282</v>
      </c>
      <c r="C42" s="473"/>
      <c r="D42" s="473"/>
      <c r="E42" s="494"/>
      <c r="F42" s="495">
        <f>F41*F40</f>
        <v>5.2953657798857558E-2</v>
      </c>
      <c r="G42" s="449"/>
      <c r="H42" s="449"/>
      <c r="I42" s="449"/>
      <c r="J42" s="449"/>
      <c r="K42" s="449"/>
      <c r="L42" s="449"/>
      <c r="M42" s="449"/>
      <c r="N42" s="449"/>
      <c r="O42" s="263"/>
      <c r="P42" s="449"/>
      <c r="Q42" s="449"/>
      <c r="R42" s="449"/>
      <c r="S42" s="449"/>
      <c r="T42" s="449"/>
      <c r="U42" s="467">
        <v>44348</v>
      </c>
      <c r="V42" s="468">
        <v>4297.5</v>
      </c>
      <c r="W42" s="471">
        <f t="shared" si="2"/>
        <v>2.221397632316946E-2</v>
      </c>
      <c r="X42" s="468">
        <v>172.00799599999999</v>
      </c>
      <c r="Y42" s="472">
        <f t="shared" si="3"/>
        <v>6.7354992587409068E-2</v>
      </c>
      <c r="Z42" s="449"/>
    </row>
    <row r="43" spans="2:26" x14ac:dyDescent="0.45">
      <c r="B43" s="450" t="s">
        <v>284</v>
      </c>
      <c r="C43" s="449"/>
      <c r="D43" s="449"/>
      <c r="E43" s="449"/>
      <c r="F43" s="496">
        <f>F39+F42</f>
        <v>8.323923300270672E-2</v>
      </c>
      <c r="G43" s="449" t="s">
        <v>686</v>
      </c>
      <c r="H43" s="449"/>
      <c r="I43" s="449"/>
      <c r="J43" s="449"/>
      <c r="K43" s="449"/>
      <c r="L43" s="449"/>
      <c r="M43" s="449"/>
      <c r="N43" s="449"/>
      <c r="O43" s="263"/>
      <c r="P43" s="449"/>
      <c r="Q43" s="449"/>
      <c r="R43" s="449"/>
      <c r="S43" s="449"/>
      <c r="T43" s="449"/>
      <c r="U43" s="467">
        <v>44378</v>
      </c>
      <c r="V43" s="468">
        <v>4395.26</v>
      </c>
      <c r="W43" s="471">
        <f t="shared" si="2"/>
        <v>2.274810936591054E-2</v>
      </c>
      <c r="X43" s="468">
        <v>166.379501</v>
      </c>
      <c r="Y43" s="472">
        <f t="shared" si="3"/>
        <v>-3.2722286933684064E-2</v>
      </c>
      <c r="Z43" s="449"/>
    </row>
    <row r="44" spans="2:26" x14ac:dyDescent="0.45">
      <c r="B44" s="449"/>
      <c r="C44" s="449"/>
      <c r="D44" s="449"/>
      <c r="E44" s="449"/>
      <c r="F44" s="449"/>
      <c r="G44" s="449"/>
      <c r="H44" s="449"/>
      <c r="I44" s="449"/>
      <c r="J44" s="449"/>
      <c r="K44" s="449"/>
      <c r="L44" s="449"/>
      <c r="M44" s="449"/>
      <c r="N44" s="449"/>
      <c r="O44" s="263"/>
      <c r="P44" s="449"/>
      <c r="Q44" s="449"/>
      <c r="R44" s="449"/>
      <c r="S44" s="449"/>
      <c r="T44" s="449"/>
      <c r="U44" s="467">
        <v>44409</v>
      </c>
      <c r="V44" s="468">
        <v>4522.68</v>
      </c>
      <c r="W44" s="471">
        <f t="shared" si="2"/>
        <v>2.8990321391681118E-2</v>
      </c>
      <c r="X44" s="468">
        <v>173.53950499999999</v>
      </c>
      <c r="Y44" s="472">
        <f t="shared" si="3"/>
        <v>4.3034171619495298E-2</v>
      </c>
      <c r="Z44" s="449"/>
    </row>
    <row r="45" spans="2:26" x14ac:dyDescent="0.45">
      <c r="B45" s="480" t="s">
        <v>681</v>
      </c>
      <c r="C45" s="473"/>
      <c r="D45" s="473"/>
      <c r="E45" s="473"/>
      <c r="F45" s="480"/>
      <c r="G45" s="449"/>
      <c r="H45" s="449"/>
      <c r="I45" s="449"/>
      <c r="J45" s="449"/>
      <c r="K45" s="449"/>
      <c r="L45" s="449"/>
      <c r="M45" s="449"/>
      <c r="N45" s="449"/>
      <c r="O45" s="263"/>
      <c r="P45" s="449"/>
      <c r="Q45" s="449"/>
      <c r="R45" s="449"/>
      <c r="S45" s="449"/>
      <c r="T45" s="449"/>
      <c r="U45" s="467">
        <v>44440</v>
      </c>
      <c r="V45" s="468">
        <v>4307.54</v>
      </c>
      <c r="W45" s="471">
        <f t="shared" si="2"/>
        <v>-4.7569140421166334E-2</v>
      </c>
      <c r="X45" s="468">
        <v>164.25199900000001</v>
      </c>
      <c r="Y45" s="472">
        <f t="shared" si="3"/>
        <v>-5.3518108167935452E-2</v>
      </c>
      <c r="Z45" s="449"/>
    </row>
    <row r="46" spans="2:26" x14ac:dyDescent="0.45">
      <c r="B46" s="449" t="s">
        <v>474</v>
      </c>
      <c r="C46" s="449"/>
      <c r="D46" s="449"/>
      <c r="E46" s="449"/>
      <c r="F46" s="497">
        <f>'Relative Valuation &amp; WACC'!D5</f>
        <v>105.45</v>
      </c>
      <c r="G46" s="449"/>
      <c r="H46" s="449"/>
      <c r="I46" s="449"/>
      <c r="J46" s="449"/>
      <c r="K46" s="449"/>
      <c r="L46" s="449"/>
      <c r="M46" s="449"/>
      <c r="N46" s="449"/>
      <c r="O46" s="263"/>
      <c r="P46" s="449"/>
      <c r="Q46" s="449"/>
      <c r="R46" s="449"/>
      <c r="S46" s="449"/>
      <c r="T46" s="449"/>
      <c r="U46" s="467">
        <v>44470</v>
      </c>
      <c r="V46" s="468">
        <v>4605.38</v>
      </c>
      <c r="W46" s="471">
        <f t="shared" si="2"/>
        <v>6.9143873301234615E-2</v>
      </c>
      <c r="X46" s="468">
        <v>168.62150600000001</v>
      </c>
      <c r="Y46" s="472">
        <f t="shared" si="3"/>
        <v>2.6602458579514821E-2</v>
      </c>
      <c r="Z46" s="449"/>
    </row>
    <row r="47" spans="2:26" x14ac:dyDescent="0.45">
      <c r="B47" s="449" t="s">
        <v>287</v>
      </c>
      <c r="C47" s="449"/>
      <c r="D47" s="449"/>
      <c r="E47" s="449"/>
      <c r="F47" s="498">
        <v>10347</v>
      </c>
      <c r="G47" s="449"/>
      <c r="H47" s="449"/>
      <c r="I47" s="449"/>
      <c r="J47" s="449"/>
      <c r="K47" s="449"/>
      <c r="L47" s="449"/>
      <c r="M47" s="449"/>
      <c r="N47" s="449"/>
      <c r="O47" s="263"/>
      <c r="P47" s="449"/>
      <c r="Q47" s="449"/>
      <c r="R47" s="449"/>
      <c r="S47" s="449"/>
      <c r="T47" s="449"/>
      <c r="U47" s="467">
        <v>44501</v>
      </c>
      <c r="V47" s="468">
        <v>4567</v>
      </c>
      <c r="W47" s="471">
        <f t="shared" si="2"/>
        <v>-8.3337314184714906E-3</v>
      </c>
      <c r="X47" s="468">
        <v>175.3535</v>
      </c>
      <c r="Y47" s="472">
        <f t="shared" si="3"/>
        <v>3.9923697514598011E-2</v>
      </c>
      <c r="Z47" s="449"/>
    </row>
    <row r="48" spans="2:26" x14ac:dyDescent="0.45">
      <c r="B48" s="449" t="s">
        <v>289</v>
      </c>
      <c r="C48" s="449"/>
      <c r="D48" s="449"/>
      <c r="E48" s="449"/>
      <c r="F48" s="492">
        <f>E12</f>
        <v>3.8073468288395564E-2</v>
      </c>
      <c r="G48" s="449"/>
      <c r="H48" s="449"/>
      <c r="I48" s="449"/>
      <c r="J48" s="449"/>
      <c r="K48" s="449"/>
      <c r="L48" s="449"/>
      <c r="M48" s="449"/>
      <c r="N48" s="449"/>
      <c r="O48" s="263"/>
      <c r="P48" s="449"/>
      <c r="Q48" s="449"/>
      <c r="R48" s="449"/>
      <c r="S48" s="449"/>
      <c r="T48" s="449"/>
      <c r="U48" s="467">
        <v>44531</v>
      </c>
      <c r="V48" s="468">
        <v>4766.18</v>
      </c>
      <c r="W48" s="471">
        <f t="shared" si="2"/>
        <v>4.3612874972629889E-2</v>
      </c>
      <c r="X48" s="468">
        <v>166.716995</v>
      </c>
      <c r="Y48" s="472">
        <f t="shared" si="3"/>
        <v>-4.9251968167159488E-2</v>
      </c>
      <c r="Z48" s="449"/>
    </row>
    <row r="49" spans="2:26" x14ac:dyDescent="0.45">
      <c r="B49" s="473" t="s">
        <v>290</v>
      </c>
      <c r="C49" s="473"/>
      <c r="D49" s="473"/>
      <c r="E49" s="473"/>
      <c r="F49" s="499">
        <f>C18</f>
        <v>0.21</v>
      </c>
      <c r="G49" s="449"/>
      <c r="H49" s="449"/>
      <c r="I49" s="449"/>
      <c r="J49" s="449"/>
      <c r="K49" s="449"/>
      <c r="L49" s="449"/>
      <c r="M49" s="449"/>
      <c r="N49" s="449"/>
      <c r="O49" s="263"/>
      <c r="P49" s="449"/>
      <c r="Q49" s="449"/>
      <c r="R49" s="449"/>
      <c r="S49" s="449"/>
      <c r="T49" s="449"/>
      <c r="U49" s="467">
        <v>44562</v>
      </c>
      <c r="V49" s="468">
        <v>4515.55</v>
      </c>
      <c r="W49" s="471">
        <f t="shared" si="2"/>
        <v>-5.2585089106999772E-2</v>
      </c>
      <c r="X49" s="468">
        <v>149.57350199999999</v>
      </c>
      <c r="Y49" s="472">
        <f t="shared" si="3"/>
        <v>-0.10282990645314838</v>
      </c>
      <c r="Z49" s="449"/>
    </row>
    <row r="50" spans="2:26" x14ac:dyDescent="0.45">
      <c r="B50" s="449" t="s">
        <v>291</v>
      </c>
      <c r="C50" s="449"/>
      <c r="D50" s="449"/>
      <c r="E50" s="449"/>
      <c r="F50" s="497">
        <f>'Relative Valuation &amp; WACC'!Q5</f>
        <v>67084</v>
      </c>
      <c r="G50" s="449"/>
      <c r="H50" s="449"/>
      <c r="I50" s="449"/>
      <c r="J50" s="449"/>
      <c r="K50" s="449"/>
      <c r="L50" s="449"/>
      <c r="M50" s="449"/>
      <c r="N50" s="449"/>
      <c r="O50" s="263"/>
      <c r="P50" s="449"/>
      <c r="Q50" s="449"/>
      <c r="R50" s="449"/>
      <c r="S50" s="449"/>
      <c r="T50" s="449"/>
      <c r="U50" s="467">
        <v>44593</v>
      </c>
      <c r="V50" s="468">
        <v>4373.9399999999996</v>
      </c>
      <c r="W50" s="471">
        <f t="shared" si="2"/>
        <v>-3.1360520866782648E-2</v>
      </c>
      <c r="X50" s="468">
        <v>153.56300400000001</v>
      </c>
      <c r="Y50" s="472">
        <f t="shared" si="3"/>
        <v>2.6672518505316711E-2</v>
      </c>
      <c r="Z50" s="449"/>
    </row>
    <row r="51" spans="2:26" x14ac:dyDescent="0.45">
      <c r="B51" s="449" t="s">
        <v>293</v>
      </c>
      <c r="C51" s="449"/>
      <c r="D51" s="449"/>
      <c r="E51" s="449"/>
      <c r="F51" s="497">
        <f>'Relative Valuation &amp; WACC'!E5</f>
        <v>1081706.1000000001</v>
      </c>
      <c r="G51" s="449"/>
      <c r="H51" s="449"/>
      <c r="I51" s="449"/>
      <c r="J51" s="449"/>
      <c r="K51" s="449"/>
      <c r="L51" s="449"/>
      <c r="M51" s="449"/>
      <c r="N51" s="449"/>
      <c r="O51" s="263"/>
      <c r="P51" s="449"/>
      <c r="Q51" s="449"/>
      <c r="R51" s="449"/>
      <c r="S51" s="449"/>
      <c r="T51" s="449"/>
      <c r="U51" s="467">
        <v>44621</v>
      </c>
      <c r="V51" s="468">
        <v>4530.41</v>
      </c>
      <c r="W51" s="471">
        <f t="shared" si="2"/>
        <v>3.5773238773280092E-2</v>
      </c>
      <c r="X51" s="468">
        <v>162.99749800000001</v>
      </c>
      <c r="Y51" s="472">
        <f t="shared" si="3"/>
        <v>6.1437284725167185E-2</v>
      </c>
      <c r="Z51" s="449"/>
    </row>
    <row r="52" spans="2:26" x14ac:dyDescent="0.45">
      <c r="B52" s="473" t="s">
        <v>295</v>
      </c>
      <c r="C52" s="473"/>
      <c r="D52" s="473"/>
      <c r="E52" s="473"/>
      <c r="F52" s="500">
        <f>F50+F51</f>
        <v>1148790.1000000001</v>
      </c>
      <c r="G52" s="449"/>
      <c r="H52" s="449"/>
      <c r="I52" s="449"/>
      <c r="J52" s="449"/>
      <c r="K52" s="449"/>
      <c r="L52" s="449"/>
      <c r="M52" s="449"/>
      <c r="N52" s="449"/>
      <c r="O52" s="263"/>
      <c r="P52" s="449"/>
      <c r="Q52" s="449"/>
      <c r="R52" s="449"/>
      <c r="S52" s="449"/>
      <c r="T52" s="449"/>
      <c r="U52" s="467">
        <v>44652</v>
      </c>
      <c r="V52" s="468">
        <v>4131.93</v>
      </c>
      <c r="W52" s="471">
        <f t="shared" si="2"/>
        <v>-8.7956719149039353E-2</v>
      </c>
      <c r="X52" s="468">
        <v>124.281502</v>
      </c>
      <c r="Y52" s="472">
        <f t="shared" si="3"/>
        <v>-0.23752509379009001</v>
      </c>
      <c r="Z52" s="449"/>
    </row>
    <row r="53" spans="2:26" x14ac:dyDescent="0.45">
      <c r="B53" s="449" t="s">
        <v>296</v>
      </c>
      <c r="C53" s="449"/>
      <c r="D53" s="449"/>
      <c r="E53" s="449"/>
      <c r="F53" s="492">
        <f>WACC!E12</f>
        <v>3.8073468288395564E-2</v>
      </c>
      <c r="G53" s="449" t="s">
        <v>687</v>
      </c>
      <c r="H53" s="449"/>
      <c r="I53" s="449"/>
      <c r="J53" s="449"/>
      <c r="K53" s="449"/>
      <c r="L53" s="449"/>
      <c r="M53" s="449"/>
      <c r="N53" s="449"/>
      <c r="O53" s="263"/>
      <c r="P53" s="449"/>
      <c r="Q53" s="449"/>
      <c r="R53" s="449"/>
      <c r="S53" s="449"/>
      <c r="T53" s="449"/>
      <c r="U53" s="467">
        <v>44682</v>
      </c>
      <c r="V53" s="468">
        <v>4132.1499999999996</v>
      </c>
      <c r="W53" s="471">
        <f t="shared" si="2"/>
        <v>5.3243883608722342E-5</v>
      </c>
      <c r="X53" s="468">
        <v>120.209503</v>
      </c>
      <c r="Y53" s="472">
        <f t="shared" si="3"/>
        <v>-3.2764320791681456E-2</v>
      </c>
      <c r="Z53" s="449"/>
    </row>
    <row r="54" spans="2:26" x14ac:dyDescent="0.45">
      <c r="B54" s="473" t="s">
        <v>298</v>
      </c>
      <c r="C54" s="473"/>
      <c r="D54" s="473"/>
      <c r="E54" s="473"/>
      <c r="F54" s="501">
        <f>F43</f>
        <v>8.323923300270672E-2</v>
      </c>
      <c r="G54" s="449"/>
      <c r="H54" s="449"/>
      <c r="I54" s="449"/>
      <c r="J54" s="449"/>
      <c r="K54" s="449"/>
      <c r="L54" s="449"/>
      <c r="M54" s="449"/>
      <c r="N54" s="449"/>
      <c r="O54" s="263"/>
      <c r="P54" s="449"/>
      <c r="Q54" s="449"/>
      <c r="R54" s="449"/>
      <c r="S54" s="449"/>
      <c r="T54" s="449"/>
      <c r="U54" s="467">
        <v>44713</v>
      </c>
      <c r="V54" s="468">
        <v>3785.38</v>
      </c>
      <c r="W54" s="471">
        <f t="shared" si="2"/>
        <v>-8.3919993223866451E-2</v>
      </c>
      <c r="X54" s="468">
        <v>106.209999</v>
      </c>
      <c r="Y54" s="472">
        <f t="shared" si="3"/>
        <v>-0.11645921204748677</v>
      </c>
      <c r="Z54" s="449"/>
    </row>
    <row r="55" spans="2:26" x14ac:dyDescent="0.45">
      <c r="B55" s="450" t="s">
        <v>300</v>
      </c>
      <c r="C55" s="449"/>
      <c r="D55" s="449"/>
      <c r="E55" s="449"/>
      <c r="F55" s="496">
        <f>(F53*(1-F49)*(F50/F52))+(F54*(F51/F52))</f>
        <v>8.0134866526278006E-2</v>
      </c>
      <c r="G55" s="449"/>
      <c r="H55" s="449"/>
      <c r="I55" s="449"/>
      <c r="J55" s="449"/>
      <c r="K55" s="449"/>
      <c r="L55" s="449"/>
      <c r="M55" s="449"/>
      <c r="N55" s="449"/>
      <c r="O55" s="263"/>
      <c r="P55" s="449"/>
      <c r="Q55" s="449"/>
      <c r="R55" s="449"/>
      <c r="S55" s="449"/>
      <c r="T55" s="449"/>
      <c r="U55" s="467">
        <v>44743</v>
      </c>
      <c r="V55" s="468">
        <v>4130.29</v>
      </c>
      <c r="W55" s="471">
        <f t="shared" si="2"/>
        <v>9.1116347632205885E-2</v>
      </c>
      <c r="X55" s="468">
        <v>134.949997</v>
      </c>
      <c r="Y55" s="472">
        <f t="shared" si="3"/>
        <v>0.27059597279536751</v>
      </c>
      <c r="Z55" s="449"/>
    </row>
    <row r="56" spans="2:26" x14ac:dyDescent="0.45">
      <c r="B56" s="449"/>
      <c r="C56" s="449"/>
      <c r="D56" s="449"/>
      <c r="E56" s="449"/>
      <c r="F56" s="449"/>
      <c r="G56" s="449"/>
      <c r="H56" s="449"/>
      <c r="I56" s="449"/>
      <c r="J56" s="449"/>
      <c r="K56" s="449"/>
      <c r="L56" s="449"/>
      <c r="M56" s="449"/>
      <c r="N56" s="449"/>
      <c r="O56" s="263"/>
      <c r="P56" s="449"/>
      <c r="Q56" s="449"/>
      <c r="R56" s="449"/>
      <c r="S56" s="449"/>
      <c r="T56" s="449"/>
      <c r="U56" s="467">
        <v>44774</v>
      </c>
      <c r="V56" s="468">
        <v>3955</v>
      </c>
      <c r="W56" s="471">
        <f t="shared" si="2"/>
        <v>-4.2440119216810457E-2</v>
      </c>
      <c r="X56" s="468">
        <v>126.769997</v>
      </c>
      <c r="Y56" s="472">
        <f t="shared" si="3"/>
        <v>-6.0615043955873471E-2</v>
      </c>
      <c r="Z56" s="449"/>
    </row>
    <row r="57" spans="2:26" x14ac:dyDescent="0.45">
      <c r="B57" s="502" t="s">
        <v>647</v>
      </c>
      <c r="C57" s="449"/>
      <c r="D57" s="317"/>
      <c r="E57" s="317"/>
      <c r="F57" s="502"/>
      <c r="G57" s="449"/>
      <c r="H57" s="449"/>
      <c r="I57" s="449"/>
      <c r="J57" s="449"/>
      <c r="K57" s="449"/>
      <c r="L57" s="449"/>
      <c r="M57" s="449"/>
      <c r="N57" s="449"/>
      <c r="O57" s="263"/>
      <c r="P57" s="449"/>
      <c r="Q57" s="449"/>
      <c r="R57" s="449"/>
      <c r="S57" s="449"/>
      <c r="T57" s="449"/>
      <c r="U57" s="467">
        <v>44805</v>
      </c>
      <c r="V57" s="468">
        <v>3585.62</v>
      </c>
      <c r="W57" s="471">
        <f t="shared" si="2"/>
        <v>-9.3395701643489315E-2</v>
      </c>
      <c r="X57" s="468">
        <v>113</v>
      </c>
      <c r="Y57" s="472">
        <f t="shared" si="3"/>
        <v>-0.1086218926076018</v>
      </c>
      <c r="Z57" s="449"/>
    </row>
    <row r="58" spans="2:26" x14ac:dyDescent="0.45">
      <c r="B58" s="317" t="s">
        <v>648</v>
      </c>
      <c r="C58" s="449"/>
      <c r="D58" s="317"/>
      <c r="E58" s="317"/>
      <c r="F58" s="502"/>
      <c r="G58" s="449"/>
      <c r="H58" s="449"/>
      <c r="I58" s="449"/>
      <c r="J58" s="449"/>
      <c r="K58" s="449"/>
      <c r="L58" s="449"/>
      <c r="M58" s="449"/>
      <c r="N58" s="449"/>
      <c r="O58" s="263"/>
      <c r="P58" s="449"/>
      <c r="Q58" s="449"/>
      <c r="R58" s="449"/>
      <c r="S58" s="449"/>
      <c r="T58" s="449"/>
      <c r="U58" s="467">
        <v>44835</v>
      </c>
      <c r="V58" s="468">
        <v>3871.98</v>
      </c>
      <c r="W58" s="471">
        <f t="shared" si="2"/>
        <v>7.9863454576893256E-2</v>
      </c>
      <c r="X58" s="468">
        <v>102.44000200000001</v>
      </c>
      <c r="Y58" s="472">
        <f t="shared" si="3"/>
        <v>-9.345130973451321E-2</v>
      </c>
      <c r="Z58" s="449"/>
    </row>
    <row r="59" spans="2:26" x14ac:dyDescent="0.45">
      <c r="B59" s="502"/>
      <c r="C59" s="449"/>
      <c r="D59" s="502"/>
      <c r="E59" s="502"/>
      <c r="F59" s="502"/>
      <c r="G59" s="449"/>
      <c r="H59" s="449"/>
      <c r="I59" s="449"/>
      <c r="J59" s="449"/>
      <c r="K59" s="449"/>
      <c r="L59" s="449"/>
      <c r="M59" s="449"/>
      <c r="N59" s="449"/>
      <c r="O59" s="263"/>
      <c r="P59" s="449"/>
      <c r="Q59" s="449"/>
      <c r="R59" s="449"/>
      <c r="S59" s="449"/>
      <c r="T59" s="449"/>
      <c r="U59" s="467">
        <v>44866</v>
      </c>
      <c r="V59" s="468">
        <v>4080.11</v>
      </c>
      <c r="W59" s="471">
        <f t="shared" si="2"/>
        <v>5.3752860293699856E-2</v>
      </c>
      <c r="X59" s="468">
        <v>96.540001000000004</v>
      </c>
      <c r="Y59" s="472">
        <f t="shared" si="3"/>
        <v>-5.759469821173957E-2</v>
      </c>
      <c r="Z59" s="449"/>
    </row>
    <row r="60" spans="2:26" x14ac:dyDescent="0.45">
      <c r="B60" s="502"/>
      <c r="C60" s="449"/>
      <c r="D60" s="502"/>
      <c r="E60" s="502"/>
      <c r="F60" s="502"/>
      <c r="G60" s="449"/>
      <c r="H60" s="449"/>
      <c r="I60" s="449"/>
      <c r="J60" s="449"/>
      <c r="K60" s="449"/>
      <c r="L60" s="449"/>
      <c r="M60" s="449"/>
      <c r="N60" s="449"/>
      <c r="O60" s="263"/>
      <c r="P60" s="449"/>
      <c r="Q60" s="449"/>
      <c r="R60" s="449"/>
      <c r="S60" s="449"/>
      <c r="T60" s="449"/>
      <c r="U60" s="467">
        <v>44896</v>
      </c>
      <c r="V60" s="468">
        <v>3839.5</v>
      </c>
      <c r="W60" s="471">
        <f t="shared" si="2"/>
        <v>-5.8971449299161094E-2</v>
      </c>
      <c r="X60" s="468">
        <v>84</v>
      </c>
      <c r="Y60" s="472">
        <f t="shared" si="3"/>
        <v>-0.12989435332614097</v>
      </c>
      <c r="Z60" s="449"/>
    </row>
    <row r="61" spans="2:26" x14ac:dyDescent="0.45">
      <c r="B61" s="449"/>
      <c r="C61" s="449"/>
      <c r="D61" s="449"/>
      <c r="E61" s="449"/>
      <c r="F61" s="449"/>
      <c r="G61" s="449"/>
      <c r="H61" s="449"/>
      <c r="I61" s="449"/>
      <c r="J61" s="449"/>
      <c r="K61" s="449"/>
      <c r="L61" s="449"/>
      <c r="M61" s="449"/>
      <c r="N61" s="449"/>
      <c r="O61" s="263"/>
      <c r="P61" s="449"/>
      <c r="Q61" s="449"/>
      <c r="R61" s="449"/>
      <c r="S61" s="449"/>
      <c r="T61" s="449"/>
      <c r="U61" s="467">
        <v>44927</v>
      </c>
      <c r="V61" s="468">
        <v>4076.6</v>
      </c>
      <c r="W61" s="471">
        <f t="shared" si="2"/>
        <v>6.1752832400052027E-2</v>
      </c>
      <c r="X61" s="468">
        <v>103.129997</v>
      </c>
      <c r="Y61" s="472">
        <f t="shared" si="3"/>
        <v>0.22773805952380966</v>
      </c>
      <c r="Z61" s="449"/>
    </row>
    <row r="62" spans="2:26" x14ac:dyDescent="0.45">
      <c r="B62" s="449"/>
      <c r="C62" s="449"/>
      <c r="D62" s="449"/>
      <c r="E62" s="449"/>
      <c r="F62" s="449"/>
      <c r="G62" s="449"/>
      <c r="H62" s="449"/>
      <c r="I62" s="449"/>
      <c r="J62" s="449"/>
      <c r="K62" s="449"/>
      <c r="L62" s="449"/>
      <c r="M62" s="449"/>
      <c r="N62" s="449"/>
      <c r="O62" s="263"/>
      <c r="P62" s="449"/>
      <c r="Q62" s="449"/>
      <c r="R62" s="449"/>
      <c r="S62" s="449"/>
      <c r="T62" s="449"/>
      <c r="U62" s="467">
        <v>44958</v>
      </c>
      <c r="V62" s="468">
        <v>3970.15</v>
      </c>
      <c r="W62" s="471">
        <f t="shared" si="2"/>
        <v>-2.6112446646715304E-2</v>
      </c>
      <c r="X62" s="468">
        <v>94.230002999999996</v>
      </c>
      <c r="Y62" s="472">
        <f t="shared" si="3"/>
        <v>-8.6298790447943197E-2</v>
      </c>
      <c r="Z62" s="449"/>
    </row>
    <row r="63" spans="2:26" x14ac:dyDescent="0.45">
      <c r="B63" s="449"/>
      <c r="C63" s="449"/>
      <c r="D63" s="449"/>
      <c r="E63" s="449"/>
      <c r="F63" s="449"/>
      <c r="G63" s="449"/>
      <c r="H63" s="449"/>
      <c r="I63" s="449"/>
      <c r="J63" s="449"/>
      <c r="K63" s="449"/>
      <c r="L63" s="449"/>
      <c r="M63" s="449"/>
      <c r="N63" s="449"/>
      <c r="O63" s="263"/>
      <c r="P63" s="449"/>
      <c r="Q63" s="449"/>
      <c r="R63" s="449"/>
      <c r="S63" s="449"/>
      <c r="T63" s="449"/>
      <c r="U63" s="467">
        <v>44986</v>
      </c>
      <c r="V63" s="468">
        <v>4109.3100000000004</v>
      </c>
      <c r="W63" s="471">
        <f t="shared" si="2"/>
        <v>3.5051572358727023E-2</v>
      </c>
      <c r="X63" s="468">
        <v>103.290001</v>
      </c>
      <c r="Y63" s="472">
        <f t="shared" si="3"/>
        <v>9.6147699369170114E-2</v>
      </c>
      <c r="Z63" s="449"/>
    </row>
    <row r="64" spans="2:26" x14ac:dyDescent="0.45">
      <c r="B64" s="449"/>
      <c r="C64" s="449"/>
      <c r="D64" s="449"/>
      <c r="E64" s="449"/>
      <c r="F64" s="449"/>
      <c r="G64" s="449"/>
      <c r="H64" s="449"/>
      <c r="I64" s="449"/>
      <c r="J64" s="449"/>
      <c r="K64" s="449"/>
      <c r="L64" s="449"/>
      <c r="M64" s="449"/>
      <c r="N64" s="449"/>
      <c r="O64" s="263"/>
      <c r="P64" s="449"/>
      <c r="Q64" s="449"/>
      <c r="R64" s="449"/>
      <c r="S64" s="449"/>
      <c r="T64" s="449"/>
      <c r="U64" s="467">
        <v>45017</v>
      </c>
      <c r="V64" s="468">
        <v>4133.5200000000004</v>
      </c>
      <c r="W64" s="471">
        <f t="shared" si="2"/>
        <v>5.8915000328523259E-3</v>
      </c>
      <c r="X64" s="468">
        <v>106.959999</v>
      </c>
      <c r="Y64" s="472">
        <f t="shared" si="3"/>
        <v>3.5531009434301319E-2</v>
      </c>
      <c r="Z64" s="449"/>
    </row>
    <row r="65" spans="2:26" x14ac:dyDescent="0.45">
      <c r="B65" s="449"/>
      <c r="C65" s="449"/>
      <c r="D65" s="449"/>
      <c r="E65" s="449"/>
      <c r="F65" s="449"/>
      <c r="G65" s="449"/>
      <c r="H65" s="449"/>
      <c r="K65" s="449"/>
      <c r="L65" s="449"/>
      <c r="M65" s="449"/>
      <c r="N65" s="449"/>
      <c r="O65" s="263"/>
      <c r="P65" s="449"/>
      <c r="Q65" s="449"/>
      <c r="R65" s="449"/>
      <c r="S65" s="449"/>
      <c r="T65" s="449"/>
      <c r="U65" s="467">
        <v>45037</v>
      </c>
      <c r="V65" s="468">
        <v>4133.5200000000004</v>
      </c>
      <c r="W65" s="471">
        <f t="shared" si="2"/>
        <v>0</v>
      </c>
      <c r="X65" s="468">
        <v>106.959999</v>
      </c>
      <c r="Y65" s="472">
        <f t="shared" si="3"/>
        <v>0</v>
      </c>
      <c r="Z65" s="449"/>
    </row>
    <row r="66" spans="2:26" x14ac:dyDescent="0.45">
      <c r="G66" s="449"/>
      <c r="K66" s="449"/>
      <c r="L66" s="449"/>
      <c r="M66" s="449"/>
      <c r="N66" s="449"/>
      <c r="O66" s="263"/>
      <c r="P66" s="449"/>
      <c r="Q66" s="449"/>
      <c r="R66" s="449"/>
      <c r="S66" s="449"/>
      <c r="T66" s="449"/>
      <c r="U66" s="449"/>
      <c r="V66" s="449"/>
      <c r="W66" s="449"/>
      <c r="X66" s="449"/>
      <c r="Y66" s="449"/>
      <c r="Z66" s="449"/>
    </row>
    <row r="67" spans="2:26" x14ac:dyDescent="0.45">
      <c r="G67" s="449"/>
      <c r="K67" s="449"/>
      <c r="L67" s="449"/>
      <c r="M67" s="449"/>
      <c r="N67" s="449"/>
      <c r="O67" s="263"/>
      <c r="P67" s="449"/>
      <c r="Q67" s="449"/>
      <c r="R67" s="449"/>
      <c r="S67" s="449"/>
      <c r="T67" s="449"/>
      <c r="U67" s="449"/>
      <c r="V67" s="449"/>
      <c r="W67" s="449"/>
      <c r="X67" s="449"/>
      <c r="Y67" s="449"/>
      <c r="Z67" s="449"/>
    </row>
    <row r="68" spans="2:26" x14ac:dyDescent="0.45">
      <c r="G68" s="449"/>
    </row>
  </sheetData>
  <hyperlinks>
    <hyperlink ref="G40" r:id="rId1" display="https://pages.stern.nyu.edu/~adamodar/ " xr:uid="{04B46A96-A196-4122-AF28-1145BE7B0FB9}"/>
    <hyperlink ref="D28" r:id="rId2" display="https://pages.stern.nyu.edu/~adamodar/ " xr:uid="{B7645709-7479-4E43-9CB1-CFEEA65D9976}"/>
    <hyperlink ref="D29" r:id="rId3" display="https://pages.stern.nyu.edu/~adamodar/ " xr:uid="{1F3C0C71-8148-42B2-9B3E-227741F5368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FBC4-CFC0-427D-B857-A9C63FA638CE}">
  <sheetPr>
    <pageSetUpPr fitToPage="1"/>
  </sheetPr>
  <dimension ref="B2:X79"/>
  <sheetViews>
    <sheetView showGridLines="0" zoomScaleNormal="100" workbookViewId="0">
      <selection activeCell="L53" sqref="L53"/>
    </sheetView>
  </sheetViews>
  <sheetFormatPr defaultColWidth="10.796875" defaultRowHeight="13.5" x14ac:dyDescent="0.45"/>
  <cols>
    <col min="1" max="1" width="2.6640625" style="449" customWidth="1"/>
    <col min="2" max="2" width="22.6640625" style="449" customWidth="1"/>
    <col min="3" max="3" width="10.6640625" style="449" customWidth="1"/>
    <col min="4" max="4" width="11.86328125" style="449" customWidth="1"/>
    <col min="5" max="5" width="12" style="449" customWidth="1"/>
    <col min="6" max="6" width="18.86328125" style="449" bestFit="1" customWidth="1"/>
    <col min="7" max="15" width="12" style="449" customWidth="1"/>
    <col min="16" max="16" width="13.6640625" style="263" customWidth="1"/>
    <col min="17" max="21" width="10.796875" style="449"/>
    <col min="22" max="22" width="13" style="449" customWidth="1"/>
    <col min="23" max="23" width="26.33203125" style="449" bestFit="1" customWidth="1"/>
    <col min="24" max="25" width="15.1328125" style="449" customWidth="1"/>
    <col min="26" max="16384" width="10.796875" style="449"/>
  </cols>
  <sheetData>
    <row r="2" spans="2:22" x14ac:dyDescent="0.45">
      <c r="B2" s="448" t="s">
        <v>532</v>
      </c>
      <c r="V2" s="450"/>
    </row>
    <row r="3" spans="2:22" x14ac:dyDescent="0.45">
      <c r="D3" s="451"/>
    </row>
    <row r="4" spans="2:22" s="452" customFormat="1" ht="37.049999999999997" customHeight="1" x14ac:dyDescent="0.45">
      <c r="B4" s="581" t="s">
        <v>482</v>
      </c>
      <c r="C4" s="581" t="s">
        <v>483</v>
      </c>
      <c r="D4" s="582" t="s">
        <v>531</v>
      </c>
      <c r="E4" s="582" t="s">
        <v>484</v>
      </c>
      <c r="F4" s="582" t="s">
        <v>17</v>
      </c>
      <c r="G4" s="582" t="s">
        <v>485</v>
      </c>
      <c r="H4" s="582" t="s">
        <v>529</v>
      </c>
      <c r="I4" s="582" t="s">
        <v>349</v>
      </c>
      <c r="J4" s="582" t="s">
        <v>486</v>
      </c>
      <c r="K4" s="582" t="s">
        <v>530</v>
      </c>
      <c r="L4" s="582" t="s">
        <v>110</v>
      </c>
      <c r="M4" s="582" t="s">
        <v>487</v>
      </c>
      <c r="N4" s="582" t="s">
        <v>60</v>
      </c>
      <c r="O4" s="582" t="s">
        <v>629</v>
      </c>
      <c r="P4" s="263"/>
      <c r="Q4" s="452" t="s">
        <v>19</v>
      </c>
      <c r="R4" s="452" t="s">
        <v>98</v>
      </c>
      <c r="S4" s="452" t="s">
        <v>171</v>
      </c>
      <c r="T4" s="452" t="s">
        <v>516</v>
      </c>
    </row>
    <row r="5" spans="2:22" x14ac:dyDescent="0.45">
      <c r="B5" s="583" t="s">
        <v>8</v>
      </c>
      <c r="C5" s="583" t="s">
        <v>11</v>
      </c>
      <c r="D5" s="583">
        <v>105.45</v>
      </c>
      <c r="E5" s="584">
        <v>1081706.1000000001</v>
      </c>
      <c r="F5" s="584">
        <f>E5+S5</f>
        <v>1084385.1000000001</v>
      </c>
      <c r="G5" s="585">
        <f>SLOPE(WACC!Y6:Y65,WACC!W6:W65)</f>
        <v>1.2613435336658045</v>
      </c>
      <c r="H5" s="586">
        <f>Q5/E5</f>
        <v>6.2016845425943323E-2</v>
      </c>
      <c r="I5" s="587">
        <v>0.21</v>
      </c>
      <c r="J5" s="588">
        <v>251.07</v>
      </c>
      <c r="K5" s="588">
        <v>2.25</v>
      </c>
      <c r="L5" s="588">
        <v>2.06</v>
      </c>
      <c r="M5" s="588">
        <v>7</v>
      </c>
      <c r="N5" s="588">
        <f>'Valuation Summary'!H38</f>
        <v>20.190007261352847</v>
      </c>
      <c r="O5" s="588">
        <v>0.42</v>
      </c>
      <c r="Q5" s="449">
        <v>67084</v>
      </c>
      <c r="R5" s="449">
        <f>49343+15062</f>
        <v>64405</v>
      </c>
      <c r="S5" s="458">
        <f>Q5-R5</f>
        <v>2679</v>
      </c>
      <c r="T5" s="459">
        <f>E5+S5</f>
        <v>1084385.1000000001</v>
      </c>
    </row>
    <row r="6" spans="2:22" x14ac:dyDescent="0.45">
      <c r="E6" s="459"/>
      <c r="F6" s="459"/>
      <c r="G6" s="503"/>
      <c r="H6" s="465"/>
      <c r="I6" s="504"/>
      <c r="J6" s="464"/>
      <c r="K6" s="464"/>
      <c r="L6" s="464"/>
      <c r="M6" s="464"/>
      <c r="N6" s="464"/>
      <c r="O6" s="464"/>
      <c r="S6" s="458"/>
      <c r="T6" s="459"/>
    </row>
    <row r="7" spans="2:22" x14ac:dyDescent="0.45">
      <c r="B7" s="450" t="s">
        <v>626</v>
      </c>
      <c r="E7" s="459"/>
      <c r="F7" s="459"/>
      <c r="G7" s="503"/>
      <c r="H7" s="465"/>
      <c r="I7" s="504"/>
      <c r="J7" s="464"/>
      <c r="K7" s="464"/>
      <c r="L7" s="464"/>
      <c r="M7" s="464"/>
      <c r="N7" s="464"/>
      <c r="O7" s="464"/>
      <c r="S7" s="458"/>
      <c r="T7" s="459"/>
    </row>
    <row r="8" spans="2:22" x14ac:dyDescent="0.45">
      <c r="B8" s="463" t="s">
        <v>501</v>
      </c>
      <c r="C8" s="449" t="s">
        <v>502</v>
      </c>
      <c r="D8" s="449">
        <v>169.68</v>
      </c>
      <c r="E8" s="459">
        <v>2684667.7972800001</v>
      </c>
      <c r="F8" s="459">
        <f>E8+S8</f>
        <v>2744422.7972800001</v>
      </c>
      <c r="G8" s="464">
        <v>1.3</v>
      </c>
      <c r="H8" s="465">
        <f>Q8/E8</f>
        <v>4.1386871073051307E-2</v>
      </c>
      <c r="I8" s="466">
        <v>0.21</v>
      </c>
      <c r="J8" s="464">
        <v>28.02</v>
      </c>
      <c r="K8" s="464">
        <v>2.8</v>
      </c>
      <c r="L8" s="464">
        <v>6.89</v>
      </c>
      <c r="M8" s="464">
        <v>64.03</v>
      </c>
      <c r="N8" s="464">
        <v>20.86</v>
      </c>
      <c r="O8" s="464">
        <v>5.89</v>
      </c>
      <c r="Q8" s="449">
        <f>1743+9740+99627</f>
        <v>111110</v>
      </c>
      <c r="R8" s="449">
        <f>20535+30820</f>
        <v>51355</v>
      </c>
      <c r="S8" s="458">
        <f>Q8-R8</f>
        <v>59755</v>
      </c>
      <c r="T8" s="459">
        <f>E8+S8</f>
        <v>2744422.7972800001</v>
      </c>
    </row>
    <row r="9" spans="2:22" x14ac:dyDescent="0.45">
      <c r="B9" s="463" t="s">
        <v>503</v>
      </c>
      <c r="C9" s="449" t="s">
        <v>73</v>
      </c>
      <c r="D9" s="449">
        <v>307.26</v>
      </c>
      <c r="E9" s="459">
        <v>2284627.9122950002</v>
      </c>
      <c r="F9" s="459">
        <f>E9+S9</f>
        <v>2228410.9122950002</v>
      </c>
      <c r="G9" s="464">
        <v>0.93169999999999997</v>
      </c>
      <c r="H9" s="465">
        <f>Q9/E9</f>
        <v>2.1101904489808639E-2</v>
      </c>
      <c r="I9" s="466">
        <v>0.21</v>
      </c>
      <c r="J9" s="464">
        <v>29.84</v>
      </c>
      <c r="K9" s="464">
        <v>2.0699999999999998</v>
      </c>
      <c r="L9" s="464">
        <v>9.93</v>
      </c>
      <c r="M9" s="464">
        <v>10.52</v>
      </c>
      <c r="N9" s="464">
        <v>19.84</v>
      </c>
      <c r="O9" s="464">
        <v>9.2200000000000006</v>
      </c>
      <c r="Q9" s="449">
        <f>6245+41965</f>
        <v>48210</v>
      </c>
      <c r="R9" s="449">
        <f>26562+77865</f>
        <v>104427</v>
      </c>
      <c r="S9" s="458">
        <f>Q9-R9</f>
        <v>-56217</v>
      </c>
      <c r="T9" s="459">
        <f>E9+S9</f>
        <v>2228410.9122950002</v>
      </c>
    </row>
    <row r="10" spans="2:22" x14ac:dyDescent="0.45">
      <c r="B10" s="463" t="s">
        <v>504</v>
      </c>
      <c r="C10" s="449" t="s">
        <v>74</v>
      </c>
      <c r="D10" s="449">
        <v>108.22</v>
      </c>
      <c r="E10" s="459">
        <v>1368065.1</v>
      </c>
      <c r="F10" s="459">
        <f>E10+S10</f>
        <v>1266660.1000000001</v>
      </c>
      <c r="G10" s="464">
        <v>1.1020000000000001</v>
      </c>
      <c r="H10" s="465">
        <f>Q10/E10</f>
        <v>1.0011950454696928E-2</v>
      </c>
      <c r="I10" s="466">
        <v>0.21</v>
      </c>
      <c r="J10" s="464">
        <v>23.22</v>
      </c>
      <c r="K10" s="464">
        <v>1.1399999999999999</v>
      </c>
      <c r="L10" s="464">
        <v>4.78</v>
      </c>
      <c r="M10" s="464">
        <v>5.09</v>
      </c>
      <c r="N10" s="464">
        <v>14.89</v>
      </c>
      <c r="O10" s="464">
        <v>4.66</v>
      </c>
      <c r="Q10" s="449">
        <f>13697</f>
        <v>13697</v>
      </c>
      <c r="R10" s="458">
        <v>115102</v>
      </c>
      <c r="S10" s="458">
        <f>Q10-R10</f>
        <v>-101405</v>
      </c>
      <c r="T10" s="459">
        <f>E10+S10</f>
        <v>1266660.1000000001</v>
      </c>
    </row>
    <row r="11" spans="2:22" x14ac:dyDescent="0.45">
      <c r="B11" s="473" t="s">
        <v>507</v>
      </c>
      <c r="C11" s="473" t="s">
        <v>505</v>
      </c>
      <c r="D11" s="473">
        <v>240.32</v>
      </c>
      <c r="E11" s="474">
        <v>615875.76</v>
      </c>
      <c r="F11" s="474">
        <f>E11+S11</f>
        <v>588361.76</v>
      </c>
      <c r="G11" s="475">
        <v>1.1990000000000001</v>
      </c>
      <c r="H11" s="476">
        <f>Q11/E11</f>
        <v>1.6115263247249736E-2</v>
      </c>
      <c r="I11" s="477">
        <v>0.21</v>
      </c>
      <c r="J11" s="475">
        <v>29.56</v>
      </c>
      <c r="K11" s="475">
        <v>3.31</v>
      </c>
      <c r="L11" s="475">
        <v>5.42</v>
      </c>
      <c r="M11" s="475">
        <v>4.9000000000000004</v>
      </c>
      <c r="N11" s="475">
        <v>16.41</v>
      </c>
      <c r="O11" s="475">
        <v>8.1199999999999992</v>
      </c>
      <c r="Q11" s="449">
        <v>9925</v>
      </c>
      <c r="R11" s="449">
        <f>11551+25888</f>
        <v>37439</v>
      </c>
      <c r="S11" s="458">
        <f>Q11-R11</f>
        <v>-27514</v>
      </c>
      <c r="T11" s="459">
        <f>E11+S11</f>
        <v>588361.76</v>
      </c>
    </row>
    <row r="12" spans="2:22" x14ac:dyDescent="0.45">
      <c r="B12" s="449" t="s">
        <v>67</v>
      </c>
      <c r="E12" s="459"/>
      <c r="F12" s="459"/>
      <c r="G12" s="464">
        <f>MAX(G8:G11)</f>
        <v>1.3</v>
      </c>
      <c r="H12" s="465">
        <f t="shared" ref="H12:O12" si="0">MAX(H8:H11)</f>
        <v>4.1386871073051307E-2</v>
      </c>
      <c r="I12" s="504">
        <f t="shared" si="0"/>
        <v>0.21</v>
      </c>
      <c r="J12" s="464">
        <f t="shared" si="0"/>
        <v>29.84</v>
      </c>
      <c r="K12" s="464">
        <f t="shared" si="0"/>
        <v>3.31</v>
      </c>
      <c r="L12" s="464">
        <f t="shared" si="0"/>
        <v>9.93</v>
      </c>
      <c r="M12" s="464">
        <f t="shared" si="0"/>
        <v>64.03</v>
      </c>
      <c r="N12" s="464">
        <f t="shared" si="0"/>
        <v>20.86</v>
      </c>
      <c r="O12" s="464">
        <f t="shared" si="0"/>
        <v>9.2200000000000006</v>
      </c>
      <c r="S12" s="458"/>
      <c r="T12" s="459"/>
    </row>
    <row r="13" spans="2:22" x14ac:dyDescent="0.45">
      <c r="B13" s="449" t="s">
        <v>630</v>
      </c>
      <c r="E13" s="459"/>
      <c r="F13" s="459"/>
      <c r="G13" s="464">
        <f t="shared" ref="G13:O13" si="1">AVERAGE(G8:G11)</f>
        <v>1.133175</v>
      </c>
      <c r="H13" s="465">
        <f t="shared" si="1"/>
        <v>2.2153997316201653E-2</v>
      </c>
      <c r="I13" s="466">
        <f t="shared" si="1"/>
        <v>0.21</v>
      </c>
      <c r="J13" s="464">
        <f t="shared" si="1"/>
        <v>27.66</v>
      </c>
      <c r="K13" s="464">
        <f t="shared" si="1"/>
        <v>2.3299999999999996</v>
      </c>
      <c r="L13" s="464">
        <f t="shared" si="1"/>
        <v>6.7550000000000008</v>
      </c>
      <c r="M13" s="464">
        <f t="shared" si="1"/>
        <v>21.135000000000002</v>
      </c>
      <c r="N13" s="464">
        <f t="shared" si="1"/>
        <v>18</v>
      </c>
      <c r="O13" s="464">
        <f t="shared" si="1"/>
        <v>6.9725000000000001</v>
      </c>
      <c r="S13" s="458"/>
      <c r="T13" s="459"/>
    </row>
    <row r="14" spans="2:22" x14ac:dyDescent="0.45">
      <c r="B14" s="449" t="s">
        <v>631</v>
      </c>
      <c r="E14" s="459"/>
      <c r="F14" s="459"/>
      <c r="G14" s="464">
        <f t="shared" ref="G14:O14" si="2">MEDIAN(G8:G11)</f>
        <v>1.1505000000000001</v>
      </c>
      <c r="H14" s="465">
        <f t="shared" si="2"/>
        <v>1.8608583868529188E-2</v>
      </c>
      <c r="I14" s="466">
        <f t="shared" si="2"/>
        <v>0.21</v>
      </c>
      <c r="J14" s="464">
        <f t="shared" si="2"/>
        <v>28.79</v>
      </c>
      <c r="K14" s="464">
        <f t="shared" si="2"/>
        <v>2.4349999999999996</v>
      </c>
      <c r="L14" s="464">
        <f t="shared" si="2"/>
        <v>6.1549999999999994</v>
      </c>
      <c r="M14" s="464">
        <f t="shared" si="2"/>
        <v>7.8049999999999997</v>
      </c>
      <c r="N14" s="464">
        <f t="shared" si="2"/>
        <v>18.125</v>
      </c>
      <c r="O14" s="464">
        <f t="shared" si="2"/>
        <v>7.004999999999999</v>
      </c>
      <c r="S14" s="458"/>
      <c r="T14" s="459"/>
    </row>
    <row r="15" spans="2:22" x14ac:dyDescent="0.45">
      <c r="B15" s="449" t="s">
        <v>66</v>
      </c>
      <c r="E15" s="459"/>
      <c r="F15" s="459"/>
      <c r="G15" s="464">
        <f>MIN(G8:G11)</f>
        <v>0.93169999999999997</v>
      </c>
      <c r="H15" s="465">
        <f t="shared" ref="H15:O15" si="3">MIN(H8:H11)</f>
        <v>1.0011950454696928E-2</v>
      </c>
      <c r="I15" s="466">
        <f t="shared" si="3"/>
        <v>0.21</v>
      </c>
      <c r="J15" s="464">
        <f t="shared" si="3"/>
        <v>23.22</v>
      </c>
      <c r="K15" s="464">
        <f t="shared" si="3"/>
        <v>1.1399999999999999</v>
      </c>
      <c r="L15" s="464">
        <f t="shared" si="3"/>
        <v>4.78</v>
      </c>
      <c r="M15" s="464">
        <f t="shared" si="3"/>
        <v>4.9000000000000004</v>
      </c>
      <c r="N15" s="464">
        <f t="shared" si="3"/>
        <v>14.89</v>
      </c>
      <c r="O15" s="464">
        <f t="shared" si="3"/>
        <v>4.66</v>
      </c>
      <c r="S15" s="458"/>
      <c r="T15" s="459"/>
    </row>
    <row r="16" spans="2:22" x14ac:dyDescent="0.45">
      <c r="B16" s="450" t="s">
        <v>488</v>
      </c>
      <c r="C16" s="450"/>
      <c r="D16" s="510"/>
      <c r="E16" s="511"/>
      <c r="F16" s="511"/>
      <c r="G16" s="512">
        <f t="shared" ref="G16:O16" si="4">SUMPRODUCT(G8:G11,$E$8:$E$11)/SUM($E$8:$E$11)</f>
        <v>1.1310845906210785</v>
      </c>
      <c r="H16" s="512">
        <f t="shared" si="4"/>
        <v>2.6310337375905202E-2</v>
      </c>
      <c r="I16" s="513">
        <f t="shared" si="4"/>
        <v>0.20999999999999996</v>
      </c>
      <c r="J16" s="512">
        <f t="shared" si="4"/>
        <v>27.809991179702902</v>
      </c>
      <c r="K16" s="512">
        <f t="shared" si="4"/>
        <v>2.2787075388408797</v>
      </c>
      <c r="L16" s="512">
        <f t="shared" si="4"/>
        <v>7.3435030692001231</v>
      </c>
      <c r="M16" s="512">
        <f t="shared" si="4"/>
        <v>29.614238667097137</v>
      </c>
      <c r="N16" s="512">
        <f t="shared" si="4"/>
        <v>18.956092932107723</v>
      </c>
      <c r="O16" s="512">
        <f t="shared" si="4"/>
        <v>6.9396541785559371</v>
      </c>
      <c r="S16" s="458"/>
      <c r="T16" s="459"/>
    </row>
    <row r="17" spans="2:24" x14ac:dyDescent="0.45">
      <c r="B17" s="463"/>
      <c r="E17" s="459" t="s">
        <v>623</v>
      </c>
      <c r="F17" s="459"/>
      <c r="G17" s="464"/>
      <c r="H17" s="465"/>
      <c r="I17" s="466"/>
      <c r="J17" s="464"/>
      <c r="K17" s="464"/>
      <c r="L17" s="464"/>
      <c r="M17" s="464"/>
      <c r="N17" s="464"/>
      <c r="O17" s="464"/>
      <c r="S17" s="458"/>
      <c r="T17" s="459"/>
    </row>
    <row r="18" spans="2:24" x14ac:dyDescent="0.45">
      <c r="B18" s="507" t="s">
        <v>627</v>
      </c>
      <c r="E18" s="459"/>
      <c r="F18" s="459"/>
      <c r="G18" s="464"/>
      <c r="H18" s="465"/>
      <c r="I18" s="466"/>
      <c r="J18" s="464"/>
      <c r="K18" s="464"/>
      <c r="L18" s="464"/>
      <c r="M18" s="464"/>
      <c r="N18" s="464"/>
      <c r="O18" s="464"/>
      <c r="S18" s="458"/>
      <c r="T18" s="459"/>
    </row>
    <row r="19" spans="2:24" x14ac:dyDescent="0.45">
      <c r="B19" s="463" t="s">
        <v>508</v>
      </c>
      <c r="C19" s="449" t="s">
        <v>506</v>
      </c>
      <c r="D19" s="449">
        <v>46.43</v>
      </c>
      <c r="E19" s="459">
        <v>24816.98</v>
      </c>
      <c r="F19" s="459">
        <f>E19+S19</f>
        <v>28533.98</v>
      </c>
      <c r="G19" s="464">
        <v>1.35</v>
      </c>
      <c r="H19" s="465">
        <f>Q19/E19</f>
        <v>0.31111762994530356</v>
      </c>
      <c r="I19" s="466">
        <v>0.21</v>
      </c>
      <c r="J19" s="464">
        <v>43.49</v>
      </c>
      <c r="K19" s="464">
        <v>2.5499999999999998</v>
      </c>
      <c r="L19" s="464">
        <v>2.5299999999999998</v>
      </c>
      <c r="M19" s="464">
        <v>4.54</v>
      </c>
      <c r="N19" s="464">
        <v>18.100000000000001</v>
      </c>
      <c r="O19" s="464">
        <v>1.07</v>
      </c>
      <c r="Q19" s="449">
        <v>7721</v>
      </c>
      <c r="R19" s="449">
        <f>2082+1922</f>
        <v>4004</v>
      </c>
      <c r="S19" s="458">
        <f>Q19-R19</f>
        <v>3717</v>
      </c>
      <c r="T19" s="459">
        <f>E19+S19</f>
        <v>28533.98</v>
      </c>
    </row>
    <row r="20" spans="2:24" x14ac:dyDescent="0.45">
      <c r="B20" s="463" t="s">
        <v>509</v>
      </c>
      <c r="C20" s="449" t="s">
        <v>510</v>
      </c>
      <c r="D20" s="449">
        <v>150.97</v>
      </c>
      <c r="E20" s="459">
        <v>407218.45</v>
      </c>
      <c r="F20" s="459">
        <f>E20+S20</f>
        <v>437805.45</v>
      </c>
      <c r="G20" s="464">
        <v>0.49</v>
      </c>
      <c r="H20" s="465">
        <f>Q20/E20</f>
        <v>9.6292297168755495E-2</v>
      </c>
      <c r="I20" s="466">
        <v>0.21</v>
      </c>
      <c r="J20" s="464">
        <v>35.36</v>
      </c>
      <c r="K20" s="464">
        <v>4.1900000000000004</v>
      </c>
      <c r="L20" s="464">
        <v>0.68</v>
      </c>
      <c r="M20" s="464">
        <v>5.31</v>
      </c>
      <c r="N20" s="464">
        <v>15.21</v>
      </c>
      <c r="O20" s="464">
        <v>4.2699999999999996</v>
      </c>
      <c r="Q20" s="449">
        <f>372+4191+34649</f>
        <v>39212</v>
      </c>
      <c r="R20" s="449">
        <v>8625</v>
      </c>
      <c r="S20" s="458">
        <f>Q20-R20</f>
        <v>30587</v>
      </c>
      <c r="T20" s="459">
        <f>E20+S20</f>
        <v>437805.45</v>
      </c>
    </row>
    <row r="21" spans="2:24" x14ac:dyDescent="0.45">
      <c r="B21" s="473" t="s">
        <v>511</v>
      </c>
      <c r="C21" s="473" t="s">
        <v>512</v>
      </c>
      <c r="D21" s="473">
        <v>84.69</v>
      </c>
      <c r="E21" s="474">
        <v>216361.15</v>
      </c>
      <c r="F21" s="474">
        <f>E21+S21</f>
        <v>165411.15</v>
      </c>
      <c r="G21" s="475">
        <v>0.65</v>
      </c>
      <c r="H21" s="476">
        <f>Q21/E21</f>
        <v>0.10709870972676934</v>
      </c>
      <c r="I21" s="477">
        <v>0.21</v>
      </c>
      <c r="J21" s="475">
        <v>45.54</v>
      </c>
      <c r="K21" s="475">
        <v>1.69</v>
      </c>
      <c r="L21" s="475">
        <v>1.76</v>
      </c>
      <c r="M21" s="475">
        <v>1.52</v>
      </c>
      <c r="N21" s="475">
        <v>1.63</v>
      </c>
      <c r="O21" s="475">
        <v>1.86</v>
      </c>
      <c r="Q21" s="449">
        <f>971+705+7229+14267</f>
        <v>23172</v>
      </c>
      <c r="R21" s="458">
        <f>28308+45814</f>
        <v>74122</v>
      </c>
      <c r="S21" s="458">
        <f>Q21-R21</f>
        <v>-50950</v>
      </c>
      <c r="T21" s="459">
        <f>E21+S21</f>
        <v>165411.15</v>
      </c>
    </row>
    <row r="22" spans="2:24" x14ac:dyDescent="0.45">
      <c r="B22" s="449" t="s">
        <v>695</v>
      </c>
      <c r="E22" s="459"/>
      <c r="F22" s="459"/>
      <c r="G22" s="464">
        <f>MAX(G19:G21)</f>
        <v>1.35</v>
      </c>
      <c r="H22" s="464">
        <f t="shared" ref="H22:O22" si="5">MAX(H19:H21)</f>
        <v>0.31111762994530356</v>
      </c>
      <c r="I22" s="464">
        <f t="shared" si="5"/>
        <v>0.21</v>
      </c>
      <c r="J22" s="464">
        <f t="shared" si="5"/>
        <v>45.54</v>
      </c>
      <c r="K22" s="464">
        <f t="shared" si="5"/>
        <v>4.1900000000000004</v>
      </c>
      <c r="L22" s="464">
        <f t="shared" si="5"/>
        <v>2.5299999999999998</v>
      </c>
      <c r="M22" s="464">
        <f t="shared" si="5"/>
        <v>5.31</v>
      </c>
      <c r="N22" s="464">
        <f t="shared" si="5"/>
        <v>18.100000000000001</v>
      </c>
      <c r="O22" s="464">
        <f t="shared" si="5"/>
        <v>4.2699999999999996</v>
      </c>
      <c r="R22" s="458"/>
      <c r="S22" s="458"/>
      <c r="T22" s="459"/>
    </row>
    <row r="23" spans="2:24" x14ac:dyDescent="0.45">
      <c r="B23" s="449" t="s">
        <v>630</v>
      </c>
      <c r="E23" s="459"/>
      <c r="F23" s="459"/>
      <c r="G23" s="464">
        <f t="shared" ref="G23:O23" si="6">AVERAGE(G19:G21)</f>
        <v>0.83000000000000007</v>
      </c>
      <c r="H23" s="465">
        <f t="shared" si="6"/>
        <v>0.1715028789469428</v>
      </c>
      <c r="I23" s="466">
        <f t="shared" si="6"/>
        <v>0.21</v>
      </c>
      <c r="J23" s="464">
        <f t="shared" si="6"/>
        <v>41.463333333333331</v>
      </c>
      <c r="K23" s="464">
        <f t="shared" si="6"/>
        <v>2.81</v>
      </c>
      <c r="L23" s="464">
        <f t="shared" si="6"/>
        <v>1.6566666666666665</v>
      </c>
      <c r="M23" s="464">
        <f t="shared" si="6"/>
        <v>3.7899999999999996</v>
      </c>
      <c r="N23" s="464">
        <f t="shared" si="6"/>
        <v>11.646666666666668</v>
      </c>
      <c r="O23" s="464">
        <f t="shared" si="6"/>
        <v>2.4</v>
      </c>
      <c r="R23" s="458"/>
      <c r="S23" s="458"/>
      <c r="T23" s="459"/>
    </row>
    <row r="24" spans="2:24" x14ac:dyDescent="0.45">
      <c r="B24" s="449" t="s">
        <v>631</v>
      </c>
      <c r="E24" s="459"/>
      <c r="F24" s="459"/>
      <c r="G24" s="464">
        <f t="shared" ref="G24:O24" si="7">MEDIAN(G19:G21)</f>
        <v>0.65</v>
      </c>
      <c r="H24" s="465">
        <f t="shared" si="7"/>
        <v>0.10709870972676934</v>
      </c>
      <c r="I24" s="466">
        <f t="shared" si="7"/>
        <v>0.21</v>
      </c>
      <c r="J24" s="464">
        <f t="shared" si="7"/>
        <v>43.49</v>
      </c>
      <c r="K24" s="464">
        <f t="shared" si="7"/>
        <v>2.5499999999999998</v>
      </c>
      <c r="L24" s="464">
        <f t="shared" si="7"/>
        <v>1.76</v>
      </c>
      <c r="M24" s="464">
        <f t="shared" si="7"/>
        <v>4.54</v>
      </c>
      <c r="N24" s="464">
        <f t="shared" si="7"/>
        <v>15.21</v>
      </c>
      <c r="O24" s="464">
        <f t="shared" si="7"/>
        <v>1.86</v>
      </c>
      <c r="R24" s="458"/>
      <c r="S24" s="458"/>
      <c r="T24" s="459"/>
    </row>
    <row r="25" spans="2:24" x14ac:dyDescent="0.45">
      <c r="B25" s="449" t="s">
        <v>66</v>
      </c>
      <c r="E25" s="459"/>
      <c r="F25" s="459"/>
      <c r="G25" s="464">
        <f>MIN(G19:G21)</f>
        <v>0.49</v>
      </c>
      <c r="H25" s="464">
        <f t="shared" ref="H25:O25" si="8">MIN(H19:H21)</f>
        <v>9.6292297168755495E-2</v>
      </c>
      <c r="I25" s="464">
        <f t="shared" si="8"/>
        <v>0.21</v>
      </c>
      <c r="J25" s="464">
        <f t="shared" si="8"/>
        <v>35.36</v>
      </c>
      <c r="K25" s="464">
        <f t="shared" si="8"/>
        <v>1.69</v>
      </c>
      <c r="L25" s="464">
        <f t="shared" si="8"/>
        <v>0.68</v>
      </c>
      <c r="M25" s="464">
        <f t="shared" si="8"/>
        <v>1.52</v>
      </c>
      <c r="N25" s="464">
        <f t="shared" si="8"/>
        <v>1.63</v>
      </c>
      <c r="O25" s="464">
        <f t="shared" si="8"/>
        <v>1.07</v>
      </c>
      <c r="R25" s="458"/>
      <c r="S25" s="458"/>
      <c r="T25" s="459"/>
    </row>
    <row r="26" spans="2:24" x14ac:dyDescent="0.45">
      <c r="B26" s="450" t="s">
        <v>488</v>
      </c>
      <c r="C26" s="450"/>
      <c r="D26" s="510"/>
      <c r="E26" s="511"/>
      <c r="F26" s="511"/>
      <c r="G26" s="512">
        <f t="shared" ref="G26:O26" si="9">SUMPRODUCT(G19:G21,$E$19:$E$21)/SUM($E$19:$E$21)</f>
        <v>0.57630580192141057</v>
      </c>
      <c r="H26" s="512">
        <f t="shared" si="9"/>
        <v>0.10812055794618781</v>
      </c>
      <c r="I26" s="513">
        <f t="shared" si="9"/>
        <v>0.21000000000000002</v>
      </c>
      <c r="J26" s="512">
        <f t="shared" si="9"/>
        <v>39.068098760175445</v>
      </c>
      <c r="K26" s="512">
        <f t="shared" si="9"/>
        <v>3.2930138959091981</v>
      </c>
      <c r="L26" s="512">
        <f t="shared" si="9"/>
        <v>1.1111889723415878</v>
      </c>
      <c r="M26" s="512">
        <f t="shared" si="9"/>
        <v>4.0158570958224367</v>
      </c>
      <c r="N26" s="512">
        <f t="shared" si="9"/>
        <v>10.789151042406797</v>
      </c>
      <c r="O26" s="512">
        <f t="shared" si="9"/>
        <v>3.3433376362040645</v>
      </c>
      <c r="S26" s="458"/>
      <c r="T26" s="459"/>
      <c r="W26" s="450"/>
      <c r="X26" s="450"/>
    </row>
    <row r="27" spans="2:24" s="263" customFormat="1" x14ac:dyDescent="0.45"/>
    <row r="28" spans="2:24" s="263" customFormat="1" x14ac:dyDescent="0.45">
      <c r="B28" s="507" t="s">
        <v>628</v>
      </c>
    </row>
    <row r="29" spans="2:24" s="263" customFormat="1" x14ac:dyDescent="0.45">
      <c r="B29" s="506" t="s">
        <v>624</v>
      </c>
      <c r="C29" s="473" t="s">
        <v>625</v>
      </c>
      <c r="D29" s="473">
        <v>329.93</v>
      </c>
      <c r="E29" s="474">
        <v>1466674.50434873</v>
      </c>
      <c r="F29" s="474">
        <f>E29+S29</f>
        <v>1473284.12834873</v>
      </c>
      <c r="G29" s="475">
        <v>1.27</v>
      </c>
      <c r="H29" s="476">
        <f>Q29/E29</f>
        <v>9.8434437615118574E-3</v>
      </c>
      <c r="I29" s="508">
        <v>0.21</v>
      </c>
      <c r="J29" s="475">
        <v>34.53</v>
      </c>
      <c r="K29" s="475">
        <v>1.64</v>
      </c>
      <c r="L29" s="475">
        <v>4.54</v>
      </c>
      <c r="M29" s="475">
        <v>6.54</v>
      </c>
      <c r="N29" s="475">
        <v>7.5</v>
      </c>
      <c r="O29" s="475">
        <v>9.16</v>
      </c>
      <c r="Q29" s="273">
        <f>399.163+14037.965</f>
        <v>14437.128000000001</v>
      </c>
      <c r="R29" s="273">
        <f>6714.594+1112.91</f>
        <v>7827.5039999999999</v>
      </c>
      <c r="S29" s="273">
        <f>Q29-R29</f>
        <v>6609.6240000000007</v>
      </c>
      <c r="T29" s="459">
        <f>E29+S29</f>
        <v>1473284.12834873</v>
      </c>
    </row>
    <row r="30" spans="2:24" s="263" customFormat="1" x14ac:dyDescent="0.45"/>
    <row r="31" spans="2:24" s="263" customFormat="1" x14ac:dyDescent="0.45"/>
    <row r="32" spans="2:24" s="263" customFormat="1" x14ac:dyDescent="0.45">
      <c r="B32" s="515" t="s">
        <v>632</v>
      </c>
      <c r="C32" s="546" t="s">
        <v>110</v>
      </c>
      <c r="D32" s="546"/>
      <c r="F32" s="581" t="s">
        <v>482</v>
      </c>
      <c r="G32" s="581" t="s">
        <v>696</v>
      </c>
      <c r="H32" s="581" t="s">
        <v>698</v>
      </c>
      <c r="I32" s="581"/>
      <c r="J32" s="581"/>
      <c r="K32" s="581"/>
      <c r="L32" s="581"/>
      <c r="M32" s="581"/>
      <c r="N32" s="581"/>
      <c r="O32" s="581"/>
    </row>
    <row r="33" spans="2:17" s="263" customFormat="1" x14ac:dyDescent="0.45">
      <c r="B33" s="450"/>
      <c r="C33" s="547" t="s">
        <v>67</v>
      </c>
      <c r="D33" s="548" t="s">
        <v>66</v>
      </c>
      <c r="F33" s="457" t="s">
        <v>8</v>
      </c>
      <c r="G33" s="457" t="s">
        <v>11</v>
      </c>
      <c r="H33" s="457"/>
    </row>
    <row r="34" spans="2:17" s="263" customFormat="1" x14ac:dyDescent="0.45">
      <c r="B34" s="449" t="s">
        <v>633</v>
      </c>
      <c r="C34" s="552">
        <f>AVERAGE(L12,L22,L29)</f>
        <v>5.666666666666667</v>
      </c>
      <c r="D34" s="552">
        <f>AVERAGE(L15,L25,L29)</f>
        <v>3.3333333333333335</v>
      </c>
      <c r="F34" s="449"/>
      <c r="G34" s="449"/>
      <c r="H34" s="449"/>
    </row>
    <row r="35" spans="2:17" s="263" customFormat="1" ht="13.5" customHeight="1" x14ac:dyDescent="0.45">
      <c r="B35" s="473" t="s">
        <v>723</v>
      </c>
      <c r="C35" s="618">
        <f>D44</f>
        <v>513983</v>
      </c>
      <c r="D35" s="618"/>
      <c r="F35" s="450" t="s">
        <v>626</v>
      </c>
      <c r="G35" s="449"/>
      <c r="H35" s="616" t="s">
        <v>699</v>
      </c>
      <c r="I35" s="616"/>
      <c r="J35" s="616"/>
      <c r="K35" s="616"/>
      <c r="L35" s="616"/>
      <c r="M35" s="616"/>
      <c r="N35" s="616"/>
      <c r="O35" s="616"/>
    </row>
    <row r="36" spans="2:17" s="263" customFormat="1" ht="13.5" customHeight="1" x14ac:dyDescent="0.45">
      <c r="B36" s="449" t="s">
        <v>17</v>
      </c>
      <c r="C36" s="549">
        <f>C34*C35</f>
        <v>2912570.3333333335</v>
      </c>
      <c r="D36" s="549">
        <f>D34*C35</f>
        <v>1713276.6666666667</v>
      </c>
      <c r="F36" s="463" t="s">
        <v>501</v>
      </c>
      <c r="G36" s="449" t="s">
        <v>502</v>
      </c>
      <c r="H36" s="616"/>
      <c r="I36" s="616"/>
      <c r="J36" s="616"/>
      <c r="K36" s="616"/>
      <c r="L36" s="616"/>
      <c r="M36" s="616"/>
      <c r="N36" s="616"/>
      <c r="O36" s="616"/>
      <c r="P36" s="567"/>
      <c r="Q36" s="567"/>
    </row>
    <row r="37" spans="2:17" s="263" customFormat="1" x14ac:dyDescent="0.45">
      <c r="B37" s="509" t="s">
        <v>634</v>
      </c>
      <c r="C37" s="518">
        <f>D46</f>
        <v>2679</v>
      </c>
      <c r="D37" s="518">
        <f>C37</f>
        <v>2679</v>
      </c>
      <c r="F37" s="463" t="s">
        <v>503</v>
      </c>
      <c r="G37" s="449" t="s">
        <v>73</v>
      </c>
      <c r="H37" s="616"/>
      <c r="I37" s="616"/>
      <c r="J37" s="616"/>
      <c r="K37" s="616"/>
      <c r="L37" s="616"/>
      <c r="M37" s="616"/>
      <c r="N37" s="616"/>
      <c r="O37" s="616"/>
      <c r="P37" s="567"/>
      <c r="Q37" s="567"/>
    </row>
    <row r="38" spans="2:17" s="263" customFormat="1" x14ac:dyDescent="0.45">
      <c r="B38" s="516" t="s">
        <v>635</v>
      </c>
      <c r="C38" s="519">
        <f>C36-C37</f>
        <v>2909891.3333333335</v>
      </c>
      <c r="D38" s="519">
        <f>D36-D37</f>
        <v>1710597.6666666667</v>
      </c>
      <c r="F38" s="463" t="s">
        <v>504</v>
      </c>
      <c r="G38" s="449" t="s">
        <v>74</v>
      </c>
      <c r="H38" s="616"/>
      <c r="I38" s="616"/>
      <c r="J38" s="616"/>
      <c r="K38" s="616"/>
      <c r="L38" s="616"/>
      <c r="M38" s="616"/>
      <c r="N38" s="616"/>
      <c r="O38" s="616"/>
      <c r="P38" s="567"/>
      <c r="Q38" s="567"/>
    </row>
    <row r="39" spans="2:17" s="263" customFormat="1" x14ac:dyDescent="0.45">
      <c r="B39" s="509" t="s">
        <v>612</v>
      </c>
      <c r="C39" s="550">
        <f>D48</f>
        <v>10347</v>
      </c>
      <c r="D39" s="550">
        <f>C39</f>
        <v>10347</v>
      </c>
      <c r="F39" s="473" t="s">
        <v>507</v>
      </c>
      <c r="G39" s="473" t="s">
        <v>505</v>
      </c>
      <c r="H39" s="617"/>
      <c r="I39" s="617"/>
      <c r="J39" s="617"/>
      <c r="K39" s="617"/>
      <c r="L39" s="617"/>
      <c r="M39" s="617"/>
      <c r="N39" s="617"/>
      <c r="O39" s="617"/>
      <c r="P39" s="567"/>
      <c r="Q39" s="567"/>
    </row>
    <row r="40" spans="2:17" s="263" customFormat="1" x14ac:dyDescent="0.45">
      <c r="B40" s="517" t="s">
        <v>636</v>
      </c>
      <c r="C40" s="551">
        <f>C38/C39</f>
        <v>281.23043716375116</v>
      </c>
      <c r="D40" s="551">
        <f>D38/D39</f>
        <v>165.32305660255793</v>
      </c>
      <c r="F40" s="449"/>
      <c r="G40" s="449"/>
      <c r="H40" s="449"/>
    </row>
    <row r="41" spans="2:17" s="263" customFormat="1" x14ac:dyDescent="0.45"/>
    <row r="42" spans="2:17" s="263" customFormat="1" ht="13.5" customHeight="1" x14ac:dyDescent="0.45">
      <c r="B42" s="515" t="s">
        <v>632</v>
      </c>
      <c r="C42" s="560" t="s">
        <v>60</v>
      </c>
      <c r="D42" s="553" t="s">
        <v>110</v>
      </c>
      <c r="F42" s="507" t="s">
        <v>627</v>
      </c>
      <c r="G42" s="449"/>
      <c r="H42" s="616" t="s">
        <v>700</v>
      </c>
      <c r="I42" s="616"/>
      <c r="J42" s="616"/>
      <c r="K42" s="616"/>
      <c r="L42" s="616"/>
      <c r="M42" s="616"/>
      <c r="N42" s="616"/>
      <c r="O42" s="616"/>
    </row>
    <row r="43" spans="2:17" s="263" customFormat="1" ht="13.5" customHeight="1" x14ac:dyDescent="0.45">
      <c r="B43" s="449" t="s">
        <v>633</v>
      </c>
      <c r="C43" s="561">
        <v>19</v>
      </c>
      <c r="D43" s="554">
        <f>AVERAGE(L16,L26,L29)</f>
        <v>4.3315640138472373</v>
      </c>
      <c r="F43" s="463" t="s">
        <v>508</v>
      </c>
      <c r="G43" s="449" t="s">
        <v>506</v>
      </c>
      <c r="H43" s="616"/>
      <c r="I43" s="616"/>
      <c r="J43" s="616"/>
      <c r="K43" s="616"/>
      <c r="L43" s="616"/>
      <c r="M43" s="616"/>
      <c r="N43" s="616"/>
      <c r="O43" s="616"/>
    </row>
    <row r="44" spans="2:17" s="263" customFormat="1" x14ac:dyDescent="0.45">
      <c r="B44" s="449" t="s">
        <v>638</v>
      </c>
      <c r="C44" s="562">
        <f>AMZN_IS!G27</f>
        <v>53709</v>
      </c>
      <c r="D44" s="555">
        <f>AMZN_IS!G13</f>
        <v>513983</v>
      </c>
      <c r="F44" s="463" t="s">
        <v>509</v>
      </c>
      <c r="G44" s="449" t="s">
        <v>510</v>
      </c>
      <c r="H44" s="616"/>
      <c r="I44" s="616"/>
      <c r="J44" s="616"/>
      <c r="K44" s="616"/>
      <c r="L44" s="616"/>
      <c r="M44" s="616"/>
      <c r="N44" s="616"/>
      <c r="O44" s="616"/>
    </row>
    <row r="45" spans="2:17" s="263" customFormat="1" x14ac:dyDescent="0.45">
      <c r="B45" s="457" t="s">
        <v>17</v>
      </c>
      <c r="C45" s="563">
        <f>C43*C44</f>
        <v>1020471</v>
      </c>
      <c r="D45" s="556">
        <f>D43*D44</f>
        <v>2226350.2665292444</v>
      </c>
      <c r="F45" s="473" t="s">
        <v>697</v>
      </c>
      <c r="G45" s="473" t="s">
        <v>512</v>
      </c>
      <c r="H45" s="617"/>
      <c r="I45" s="617"/>
      <c r="J45" s="617"/>
      <c r="K45" s="617"/>
      <c r="L45" s="617"/>
      <c r="M45" s="617"/>
      <c r="N45" s="617"/>
      <c r="O45" s="617"/>
    </row>
    <row r="46" spans="2:17" s="263" customFormat="1" x14ac:dyDescent="0.45">
      <c r="B46" s="509" t="s">
        <v>634</v>
      </c>
      <c r="C46" s="562">
        <f>S5</f>
        <v>2679</v>
      </c>
      <c r="D46" s="555">
        <f>S5</f>
        <v>2679</v>
      </c>
      <c r="F46" s="449"/>
      <c r="G46" s="449"/>
      <c r="H46" s="568"/>
      <c r="I46" s="568"/>
      <c r="J46" s="568"/>
      <c r="K46" s="568"/>
      <c r="L46" s="568"/>
      <c r="M46" s="568"/>
      <c r="N46" s="568"/>
      <c r="O46" s="568"/>
    </row>
    <row r="47" spans="2:17" s="263" customFormat="1" ht="13.5" customHeight="1" x14ac:dyDescent="0.45">
      <c r="B47" s="516" t="s">
        <v>635</v>
      </c>
      <c r="C47" s="563">
        <f>C45-C46</f>
        <v>1017792</v>
      </c>
      <c r="D47" s="556">
        <f>D45-D46</f>
        <v>2223671.2665292444</v>
      </c>
      <c r="F47" s="507" t="s">
        <v>628</v>
      </c>
      <c r="H47" s="616" t="s">
        <v>701</v>
      </c>
      <c r="I47" s="616"/>
      <c r="J47" s="616"/>
      <c r="K47" s="616"/>
      <c r="L47" s="616"/>
      <c r="M47" s="616"/>
      <c r="N47" s="616"/>
      <c r="O47" s="616"/>
    </row>
    <row r="48" spans="2:17" s="263" customFormat="1" x14ac:dyDescent="0.45">
      <c r="B48" s="509" t="s">
        <v>612</v>
      </c>
      <c r="C48" s="564">
        <f>DCF!J42</f>
        <v>10347</v>
      </c>
      <c r="D48" s="557">
        <f>DCF!J42</f>
        <v>10347</v>
      </c>
      <c r="F48" s="506" t="s">
        <v>624</v>
      </c>
      <c r="G48" s="473" t="s">
        <v>625</v>
      </c>
      <c r="H48" s="617"/>
      <c r="I48" s="617"/>
      <c r="J48" s="617"/>
      <c r="K48" s="617"/>
      <c r="L48" s="617"/>
      <c r="M48" s="617"/>
      <c r="N48" s="617"/>
      <c r="O48" s="617"/>
    </row>
    <row r="49" spans="2:16" s="263" customFormat="1" x14ac:dyDescent="0.45">
      <c r="B49" s="517" t="s">
        <v>636</v>
      </c>
      <c r="C49" s="565">
        <f>C47/C48</f>
        <v>98.36590316033633</v>
      </c>
      <c r="D49" s="558">
        <f>D47/D48</f>
        <v>214.90975804863675</v>
      </c>
      <c r="H49" s="568"/>
      <c r="I49" s="568"/>
      <c r="J49" s="568"/>
      <c r="K49" s="568"/>
      <c r="L49" s="568"/>
      <c r="M49" s="568"/>
      <c r="N49" s="568"/>
      <c r="O49" s="568"/>
    </row>
    <row r="50" spans="2:16" s="450" customFormat="1" ht="14.25" x14ac:dyDescent="0.45">
      <c r="B50" s="509" t="s">
        <v>637</v>
      </c>
      <c r="C50" s="566">
        <f>C49/DCF!$F$103-1</f>
        <v>-6.7179676051812964E-2</v>
      </c>
      <c r="D50" s="559">
        <f>D49/DCF!$F$103-1</f>
        <v>1.0380252067201208</v>
      </c>
      <c r="H50"/>
      <c r="I50"/>
      <c r="J50"/>
      <c r="K50"/>
      <c r="L50"/>
      <c r="M50"/>
      <c r="N50"/>
      <c r="O50"/>
      <c r="P50" s="263"/>
    </row>
    <row r="51" spans="2:16" ht="14.25" x14ac:dyDescent="0.45">
      <c r="E51"/>
      <c r="F51"/>
      <c r="G51"/>
    </row>
    <row r="52" spans="2:16" ht="14.25" x14ac:dyDescent="0.45">
      <c r="E52"/>
      <c r="F52"/>
      <c r="G52"/>
      <c r="I52"/>
      <c r="J52"/>
      <c r="K52" s="466"/>
      <c r="L52" s="299"/>
      <c r="M52"/>
    </row>
    <row r="53" spans="2:16" ht="14.25" x14ac:dyDescent="0.45">
      <c r="E53"/>
      <c r="F53"/>
      <c r="G53"/>
      <c r="I53"/>
      <c r="J53"/>
      <c r="K53" s="514"/>
      <c r="L53" s="299"/>
      <c r="M53"/>
    </row>
    <row r="54" spans="2:16" ht="14.25" x14ac:dyDescent="0.45">
      <c r="E54"/>
      <c r="F54"/>
      <c r="G54"/>
      <c r="I54"/>
      <c r="J54"/>
      <c r="K54" s="514"/>
      <c r="L54" s="299"/>
      <c r="M54"/>
    </row>
    <row r="55" spans="2:16" ht="14.25" x14ac:dyDescent="0.45">
      <c r="E55"/>
      <c r="F55"/>
      <c r="G55"/>
      <c r="I55"/>
      <c r="J55"/>
      <c r="K55" s="505"/>
      <c r="L55"/>
      <c r="M55"/>
    </row>
    <row r="56" spans="2:16" ht="14.25" x14ac:dyDescent="0.45">
      <c r="E56"/>
      <c r="F56"/>
      <c r="G56"/>
      <c r="I56"/>
      <c r="J56"/>
      <c r="K56"/>
      <c r="L56"/>
      <c r="M56"/>
    </row>
    <row r="57" spans="2:16" ht="14.25" x14ac:dyDescent="0.45">
      <c r="E57"/>
      <c r="F57"/>
      <c r="G57"/>
      <c r="I57"/>
      <c r="J57"/>
      <c r="K57"/>
      <c r="L57"/>
      <c r="M57"/>
    </row>
    <row r="58" spans="2:16" ht="14.25" x14ac:dyDescent="0.45">
      <c r="E58"/>
      <c r="F58"/>
      <c r="G58"/>
      <c r="I58"/>
      <c r="J58"/>
      <c r="K58"/>
      <c r="L58"/>
      <c r="M58"/>
    </row>
    <row r="59" spans="2:16" ht="14.25" x14ac:dyDescent="0.45">
      <c r="I59"/>
      <c r="J59"/>
      <c r="K59"/>
      <c r="L59"/>
      <c r="M59"/>
    </row>
    <row r="60" spans="2:16" x14ac:dyDescent="0.45">
      <c r="G60" s="263"/>
    </row>
    <row r="77" ht="16.05" customHeight="1" x14ac:dyDescent="0.45"/>
    <row r="78" ht="16.05" customHeight="1" x14ac:dyDescent="0.45"/>
    <row r="79" ht="16.05" customHeight="1" x14ac:dyDescent="0.45"/>
  </sheetData>
  <mergeCells count="4">
    <mergeCell ref="H42:O45"/>
    <mergeCell ref="H47:O48"/>
    <mergeCell ref="C35:D35"/>
    <mergeCell ref="H35:O39"/>
  </mergeCells>
  <pageMargins left="0.7" right="0.7" top="0.75" bottom="0.75" header="0.3" footer="0.3"/>
  <pageSetup scale="58" orientation="landscape" horizontalDpi="0" verticalDpi="0"/>
  <ignoredErrors>
    <ignoredError sqref="C36:D39" formula="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D7C0-6CE3-4565-BC77-869FCD8DDF15}">
  <dimension ref="E2:H11"/>
  <sheetViews>
    <sheetView showGridLines="0" workbookViewId="0">
      <selection activeCell="C54" sqref="C54"/>
    </sheetView>
  </sheetViews>
  <sheetFormatPr defaultRowHeight="14.25" x14ac:dyDescent="0.45"/>
  <cols>
    <col min="5" max="5" width="28.33203125" customWidth="1"/>
    <col min="6" max="6" width="11.53125" bestFit="1" customWidth="1"/>
    <col min="7" max="7" width="9.6640625" bestFit="1" customWidth="1"/>
    <col min="8" max="8" width="5.19921875" bestFit="1" customWidth="1"/>
  </cols>
  <sheetData>
    <row r="2" spans="5:8" ht="15.75" x14ac:dyDescent="0.55000000000000004">
      <c r="E2" s="569" t="s">
        <v>702</v>
      </c>
      <c r="F2" s="570">
        <v>45044</v>
      </c>
    </row>
    <row r="3" spans="5:8" ht="15.75" x14ac:dyDescent="0.55000000000000004">
      <c r="F3" s="571">
        <f>DCF!F103</f>
        <v>105.45</v>
      </c>
    </row>
    <row r="6" spans="5:8" x14ac:dyDescent="0.45">
      <c r="E6" t="s">
        <v>707</v>
      </c>
      <c r="F6" t="s">
        <v>66</v>
      </c>
      <c r="G6" t="s">
        <v>59</v>
      </c>
      <c r="H6" t="s">
        <v>67</v>
      </c>
    </row>
    <row r="7" spans="5:8" ht="28.5" x14ac:dyDescent="0.45">
      <c r="E7" s="572" t="s">
        <v>703</v>
      </c>
      <c r="F7" s="573">
        <f>DCF!V68</f>
        <v>146.17005878078507</v>
      </c>
      <c r="G7" s="573">
        <f>H7-F7</f>
        <v>32.580931967933907</v>
      </c>
      <c r="H7" s="573">
        <f>DCF!U68</f>
        <v>178.75099074871898</v>
      </c>
    </row>
    <row r="8" spans="5:8" ht="28.5" x14ac:dyDescent="0.45">
      <c r="E8" s="572" t="s">
        <v>704</v>
      </c>
      <c r="F8" s="573">
        <f>DCF!X68</f>
        <v>117.68404710949451</v>
      </c>
      <c r="G8" s="573">
        <f>H8-F8</f>
        <v>25.870714457307116</v>
      </c>
      <c r="H8" s="573">
        <f>DCF!W68</f>
        <v>143.55476156680163</v>
      </c>
    </row>
    <row r="9" spans="5:8" ht="28.5" x14ac:dyDescent="0.45">
      <c r="E9" s="572" t="s">
        <v>705</v>
      </c>
      <c r="F9" s="573">
        <f>DCF!Z68</f>
        <v>91.189270354203828</v>
      </c>
      <c r="G9" s="573">
        <f>H9-F9</f>
        <v>19.673841857799871</v>
      </c>
      <c r="H9" s="573">
        <f>DCF!Y68</f>
        <v>110.8631122120037</v>
      </c>
    </row>
    <row r="10" spans="5:8" ht="28.5" x14ac:dyDescent="0.45">
      <c r="E10" s="572" t="s">
        <v>712</v>
      </c>
      <c r="F10" s="573">
        <f>'Relative Valuation &amp; WACC'!D40</f>
        <v>165.32305660255793</v>
      </c>
      <c r="G10" s="573">
        <f>H10-F10</f>
        <v>115.90738056119324</v>
      </c>
      <c r="H10" s="573">
        <f>'Relative Valuation &amp; WACC'!C40</f>
        <v>281.23043716375116</v>
      </c>
    </row>
    <row r="11" spans="5:8" x14ac:dyDescent="0.45">
      <c r="E11" s="574" t="s">
        <v>706</v>
      </c>
      <c r="F11" s="573">
        <v>81.430000000000007</v>
      </c>
      <c r="G11" s="573">
        <f>H11-F11</f>
        <v>65.139999999999986</v>
      </c>
      <c r="H11" s="573">
        <v>146.57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1CB6B-29C4-400B-BAEA-A3CA800134E9}">
  <dimension ref="E4:Y29"/>
  <sheetViews>
    <sheetView showGridLines="0" workbookViewId="0">
      <selection activeCell="S4" sqref="S4:Y28"/>
    </sheetView>
  </sheetViews>
  <sheetFormatPr defaultRowHeight="14.25" x14ac:dyDescent="0.45"/>
  <sheetData>
    <row r="4" spans="5:25" ht="69.75" customHeight="1" x14ac:dyDescent="0.8">
      <c r="E4" s="619" t="s">
        <v>717</v>
      </c>
      <c r="F4" s="619"/>
      <c r="G4" s="619"/>
      <c r="H4" s="619"/>
      <c r="I4" s="619"/>
      <c r="J4" s="619"/>
      <c r="K4" s="619"/>
      <c r="S4" s="619" t="s">
        <v>718</v>
      </c>
      <c r="T4" s="619"/>
      <c r="U4" s="619"/>
      <c r="V4" s="619"/>
      <c r="W4" s="619"/>
      <c r="X4" s="619"/>
      <c r="Y4" s="619"/>
    </row>
    <row r="7" spans="5:25" ht="20" customHeight="1" x14ac:dyDescent="0.45"/>
    <row r="8" spans="5:25" ht="20" customHeight="1" x14ac:dyDescent="0.45"/>
    <row r="9" spans="5:25" ht="20" customHeight="1" x14ac:dyDescent="0.8">
      <c r="S9" s="619" t="s">
        <v>719</v>
      </c>
      <c r="T9" s="619"/>
      <c r="U9" s="619"/>
      <c r="V9" s="619"/>
      <c r="W9" s="619"/>
      <c r="X9" s="619"/>
      <c r="Y9" s="619"/>
    </row>
    <row r="10" spans="5:25" ht="20" customHeight="1" x14ac:dyDescent="0.45"/>
    <row r="14" spans="5:25" ht="25.9" x14ac:dyDescent="0.8">
      <c r="E14" s="619" t="s">
        <v>716</v>
      </c>
      <c r="F14" s="619"/>
      <c r="G14" s="619"/>
      <c r="H14" s="619"/>
      <c r="I14" s="619"/>
      <c r="J14" s="619"/>
      <c r="K14" s="619"/>
    </row>
    <row r="18" spans="19:25" ht="25.9" x14ac:dyDescent="0.8">
      <c r="S18" s="619" t="s">
        <v>720</v>
      </c>
      <c r="T18" s="619"/>
      <c r="U18" s="619"/>
      <c r="V18" s="619"/>
      <c r="W18" s="619"/>
      <c r="X18" s="619"/>
      <c r="Y18" s="619"/>
    </row>
    <row r="29" spans="19:25" ht="25.9" x14ac:dyDescent="0.8">
      <c r="S29" s="619"/>
      <c r="T29" s="619"/>
      <c r="U29" s="619"/>
      <c r="V29" s="619"/>
      <c r="W29" s="619"/>
      <c r="X29" s="619"/>
      <c r="Y29" s="619"/>
    </row>
  </sheetData>
  <mergeCells count="6">
    <mergeCell ref="S29:Y29"/>
    <mergeCell ref="E14:K14"/>
    <mergeCell ref="E4:K4"/>
    <mergeCell ref="S4:Y4"/>
    <mergeCell ref="S9:Y9"/>
    <mergeCell ref="S18:Y1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1132-A9F1-413E-9A24-93BB42B02836}">
  <dimension ref="B2:C36"/>
  <sheetViews>
    <sheetView showGridLines="0" workbookViewId="0">
      <selection activeCell="H30" sqref="H30"/>
    </sheetView>
  </sheetViews>
  <sheetFormatPr defaultRowHeight="14.25" x14ac:dyDescent="0.45"/>
  <cols>
    <col min="1" max="1" width="9.06640625" style="589"/>
    <col min="2" max="2" width="41.1328125" style="590" bestFit="1" customWidth="1"/>
    <col min="3" max="3" width="78.9296875" style="591" customWidth="1"/>
    <col min="4" max="16384" width="9.06640625" style="589"/>
  </cols>
  <sheetData>
    <row r="2" spans="2:3" x14ac:dyDescent="0.45">
      <c r="B2" s="592" t="s">
        <v>10</v>
      </c>
      <c r="C2" s="593" t="s">
        <v>650</v>
      </c>
    </row>
    <row r="3" spans="2:3" x14ac:dyDescent="0.45">
      <c r="B3" s="592"/>
      <c r="C3" s="594"/>
    </row>
    <row r="4" spans="2:3" ht="72" x14ac:dyDescent="0.45">
      <c r="B4" s="603" t="s">
        <v>542</v>
      </c>
      <c r="C4" s="604" t="s">
        <v>672</v>
      </c>
    </row>
    <row r="5" spans="2:3" ht="36" x14ac:dyDescent="0.45">
      <c r="B5" s="600" t="s">
        <v>33</v>
      </c>
      <c r="C5" s="605" t="s">
        <v>663</v>
      </c>
    </row>
    <row r="6" spans="2:3" x14ac:dyDescent="0.45">
      <c r="B6" s="600"/>
      <c r="C6" s="601"/>
    </row>
    <row r="7" spans="2:3" ht="36" x14ac:dyDescent="0.45">
      <c r="B7" s="600" t="s">
        <v>568</v>
      </c>
      <c r="C7" s="605" t="s">
        <v>667</v>
      </c>
    </row>
    <row r="8" spans="2:3" ht="36" x14ac:dyDescent="0.45">
      <c r="B8" s="600" t="s">
        <v>569</v>
      </c>
      <c r="C8" s="605" t="s">
        <v>666</v>
      </c>
    </row>
    <row r="9" spans="2:3" ht="27" x14ac:dyDescent="0.45">
      <c r="B9" s="600" t="s">
        <v>583</v>
      </c>
      <c r="C9" s="601" t="s">
        <v>665</v>
      </c>
    </row>
    <row r="10" spans="2:3" ht="27" x14ac:dyDescent="0.45">
      <c r="B10" s="600" t="s">
        <v>584</v>
      </c>
      <c r="C10" s="601" t="s">
        <v>662</v>
      </c>
    </row>
    <row r="11" spans="2:3" x14ac:dyDescent="0.45">
      <c r="B11" s="600"/>
      <c r="C11" s="601"/>
    </row>
    <row r="12" spans="2:3" x14ac:dyDescent="0.45">
      <c r="B12" s="600" t="s">
        <v>585</v>
      </c>
      <c r="C12" s="620" t="s">
        <v>664</v>
      </c>
    </row>
    <row r="13" spans="2:3" x14ac:dyDescent="0.45">
      <c r="B13" s="600" t="s">
        <v>586</v>
      </c>
      <c r="C13" s="620"/>
    </row>
    <row r="14" spans="2:3" x14ac:dyDescent="0.45">
      <c r="B14" s="600"/>
      <c r="C14" s="601"/>
    </row>
    <row r="15" spans="2:3" x14ac:dyDescent="0.45">
      <c r="B15" s="600" t="s">
        <v>582</v>
      </c>
      <c r="C15" s="620" t="s">
        <v>668</v>
      </c>
    </row>
    <row r="16" spans="2:3" x14ac:dyDescent="0.45">
      <c r="B16" s="600" t="s">
        <v>588</v>
      </c>
      <c r="C16" s="620"/>
    </row>
    <row r="17" spans="2:3" x14ac:dyDescent="0.45">
      <c r="B17" s="606"/>
      <c r="C17" s="601"/>
    </row>
    <row r="18" spans="2:3" x14ac:dyDescent="0.45">
      <c r="B18" s="600" t="s">
        <v>589</v>
      </c>
      <c r="C18" s="602" t="s">
        <v>669</v>
      </c>
    </row>
    <row r="19" spans="2:3" x14ac:dyDescent="0.45">
      <c r="B19" s="595"/>
      <c r="C19" s="597"/>
    </row>
    <row r="20" spans="2:3" x14ac:dyDescent="0.45">
      <c r="B20" s="598" t="s">
        <v>28</v>
      </c>
      <c r="C20" s="593" t="s">
        <v>650</v>
      </c>
    </row>
    <row r="21" spans="2:3" x14ac:dyDescent="0.45">
      <c r="B21" s="595" t="s">
        <v>590</v>
      </c>
      <c r="C21" s="594"/>
    </row>
    <row r="22" spans="2:3" ht="27" x14ac:dyDescent="0.45">
      <c r="B22" s="596" t="s">
        <v>617</v>
      </c>
      <c r="C22" s="599" t="s">
        <v>673</v>
      </c>
    </row>
    <row r="23" spans="2:3" ht="40.5" x14ac:dyDescent="0.45">
      <c r="B23" s="600" t="s">
        <v>591</v>
      </c>
      <c r="C23" s="601" t="s">
        <v>670</v>
      </c>
    </row>
    <row r="24" spans="2:3" ht="27" x14ac:dyDescent="0.45">
      <c r="B24" s="600" t="s">
        <v>592</v>
      </c>
      <c r="C24" s="601" t="s">
        <v>671</v>
      </c>
    </row>
    <row r="25" spans="2:3" x14ac:dyDescent="0.45">
      <c r="B25" s="606"/>
      <c r="C25" s="607"/>
    </row>
    <row r="26" spans="2:3" ht="40.5" x14ac:dyDescent="0.45">
      <c r="B26" s="600" t="s">
        <v>593</v>
      </c>
      <c r="C26" s="601" t="s">
        <v>674</v>
      </c>
    </row>
    <row r="27" spans="2:3" ht="40.5" x14ac:dyDescent="0.45">
      <c r="B27" s="600" t="s">
        <v>36</v>
      </c>
      <c r="C27" s="607" t="s">
        <v>675</v>
      </c>
    </row>
    <row r="28" spans="2:3" x14ac:dyDescent="0.45">
      <c r="B28" s="600" t="s">
        <v>594</v>
      </c>
      <c r="C28" s="607" t="s">
        <v>678</v>
      </c>
    </row>
    <row r="29" spans="2:3" x14ac:dyDescent="0.45">
      <c r="B29" s="606"/>
      <c r="C29" s="607"/>
    </row>
    <row r="30" spans="2:3" x14ac:dyDescent="0.45">
      <c r="B30" s="606" t="s">
        <v>595</v>
      </c>
      <c r="C30" s="607"/>
    </row>
    <row r="31" spans="2:3" x14ac:dyDescent="0.45">
      <c r="B31" s="600" t="s">
        <v>596</v>
      </c>
      <c r="C31" s="601" t="s">
        <v>676</v>
      </c>
    </row>
    <row r="32" spans="2:3" x14ac:dyDescent="0.45">
      <c r="B32" s="600" t="s">
        <v>19</v>
      </c>
      <c r="C32" s="607" t="s">
        <v>677</v>
      </c>
    </row>
    <row r="33" spans="2:3" x14ac:dyDescent="0.45">
      <c r="B33" s="600" t="s">
        <v>597</v>
      </c>
      <c r="C33" s="607" t="s">
        <v>678</v>
      </c>
    </row>
    <row r="34" spans="2:3" x14ac:dyDescent="0.45">
      <c r="B34" s="606"/>
      <c r="C34" s="607"/>
    </row>
    <row r="35" spans="2:3" x14ac:dyDescent="0.45">
      <c r="B35" s="606" t="s">
        <v>599</v>
      </c>
      <c r="C35" s="607"/>
    </row>
    <row r="36" spans="2:3" x14ac:dyDescent="0.45">
      <c r="B36" s="608" t="s">
        <v>600</v>
      </c>
      <c r="C36" s="609" t="s">
        <v>679</v>
      </c>
    </row>
  </sheetData>
  <mergeCells count="2">
    <mergeCell ref="C12:C13"/>
    <mergeCell ref="C15:C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68FE-FBCB-4A67-B1EA-FA041B24B0C5}">
  <sheetPr>
    <pageSetUpPr fitToPage="1"/>
  </sheetPr>
  <dimension ref="B2:Y84"/>
  <sheetViews>
    <sheetView showGridLines="0" zoomScale="85" zoomScaleNormal="85" workbookViewId="0">
      <selection activeCell="S8" sqref="S8"/>
    </sheetView>
  </sheetViews>
  <sheetFormatPr defaultColWidth="11.53125" defaultRowHeight="15" x14ac:dyDescent="0.55000000000000004"/>
  <cols>
    <col min="1" max="1" width="2.1328125" style="174" customWidth="1"/>
    <col min="2" max="2" width="42.1328125" style="174" customWidth="1"/>
    <col min="3" max="4" width="13.6640625" style="174" customWidth="1"/>
    <col min="5" max="5" width="13.6640625" style="233" customWidth="1"/>
    <col min="6" max="10" width="13.6640625" style="174" customWidth="1"/>
    <col min="11" max="11" width="4.59765625" style="174" customWidth="1"/>
    <col min="12" max="12" width="35.3984375" style="174" customWidth="1"/>
    <col min="13" max="13" width="13.6640625" style="174" customWidth="1"/>
    <col min="14" max="14" width="13.6640625" style="175" customWidth="1"/>
    <col min="15" max="18" width="13.6640625" style="174" customWidth="1"/>
    <col min="19" max="19" width="15.1328125" style="174" customWidth="1"/>
    <col min="20" max="16384" width="11.53125" style="174"/>
  </cols>
  <sheetData>
    <row r="2" spans="2:19" ht="30" customHeight="1" x14ac:dyDescent="0.45">
      <c r="B2" s="173" t="s">
        <v>481</v>
      </c>
      <c r="E2" s="174"/>
      <c r="N2" s="174"/>
    </row>
    <row r="3" spans="2:19" x14ac:dyDescent="0.45">
      <c r="E3" s="174"/>
      <c r="G3" s="173"/>
    </row>
    <row r="4" spans="2:19" x14ac:dyDescent="0.45">
      <c r="B4" s="176" t="s">
        <v>328</v>
      </c>
      <c r="C4" s="177"/>
      <c r="D4" s="177"/>
      <c r="E4" s="177"/>
      <c r="F4" s="177"/>
      <c r="G4" s="177"/>
      <c r="H4" s="177"/>
      <c r="I4" s="177"/>
      <c r="J4" s="177"/>
      <c r="L4" s="176" t="s">
        <v>329</v>
      </c>
      <c r="M4" s="177"/>
      <c r="N4" s="177"/>
      <c r="O4" s="177"/>
      <c r="P4" s="177"/>
      <c r="Q4" s="177"/>
      <c r="R4" s="177"/>
      <c r="S4" s="177"/>
    </row>
    <row r="5" spans="2:19" x14ac:dyDescent="0.45">
      <c r="B5" s="173"/>
      <c r="E5" s="174"/>
      <c r="L5" s="173"/>
      <c r="N5" s="174"/>
    </row>
    <row r="6" spans="2:19" x14ac:dyDescent="0.45">
      <c r="B6" s="173" t="s">
        <v>330</v>
      </c>
      <c r="E6" s="174"/>
      <c r="L6" s="175"/>
      <c r="N6" s="174"/>
    </row>
    <row r="7" spans="2:19" x14ac:dyDescent="0.45">
      <c r="B7" s="176" t="s">
        <v>331</v>
      </c>
      <c r="C7" s="178" t="s">
        <v>267</v>
      </c>
      <c r="D7" s="178" t="s">
        <v>332</v>
      </c>
      <c r="E7" s="176">
        <v>2023</v>
      </c>
      <c r="F7" s="176">
        <v>2024</v>
      </c>
      <c r="G7" s="176">
        <v>2025</v>
      </c>
      <c r="H7" s="176">
        <v>2026</v>
      </c>
      <c r="I7" s="176">
        <v>2027</v>
      </c>
      <c r="J7" s="179" t="s">
        <v>333</v>
      </c>
      <c r="L7" s="176" t="s">
        <v>334</v>
      </c>
      <c r="M7" s="178" t="s">
        <v>332</v>
      </c>
      <c r="N7" s="176">
        <v>2023</v>
      </c>
      <c r="O7" s="176">
        <v>2024</v>
      </c>
      <c r="P7" s="176">
        <v>2025</v>
      </c>
      <c r="Q7" s="176">
        <v>2026</v>
      </c>
      <c r="R7" s="176">
        <v>2027</v>
      </c>
      <c r="S7" s="179" t="s">
        <v>333</v>
      </c>
    </row>
    <row r="8" spans="2:19" x14ac:dyDescent="0.45">
      <c r="B8" s="174" t="s">
        <v>280</v>
      </c>
      <c r="C8" s="180">
        <f t="shared" ref="C8:C20" si="0">D8/$D$8</f>
        <v>1</v>
      </c>
      <c r="D8" s="181">
        <f>AMZN_IS!G13</f>
        <v>513983</v>
      </c>
      <c r="E8" s="181">
        <f>AMZN_IS!H13</f>
        <v>559640.99699999997</v>
      </c>
      <c r="F8" s="181">
        <f>AMZN_IS!I13</f>
        <v>622029.49790804414</v>
      </c>
      <c r="G8" s="181">
        <f>AMZN_IS!J13</f>
        <v>689957.22583864792</v>
      </c>
      <c r="H8" s="181">
        <f>AMZN_IS!K13</f>
        <v>763394.09155672102</v>
      </c>
      <c r="I8" s="181">
        <f>AMZN_IS!L13</f>
        <v>842173.59956358478</v>
      </c>
      <c r="J8" s="182"/>
      <c r="L8" s="174" t="s">
        <v>335</v>
      </c>
      <c r="N8" s="183">
        <f>AMZN_IS!R13</f>
        <v>8.8831725952025709E-2</v>
      </c>
      <c r="O8" s="183">
        <f>AMZN_IS!S13</f>
        <v>0.11147950425805586</v>
      </c>
      <c r="P8" s="183">
        <f>AMZN_IS!T13</f>
        <v>0.10920338691179832</v>
      </c>
      <c r="Q8" s="183">
        <f>AMZN_IS!U13</f>
        <v>0.10643683835445028</v>
      </c>
      <c r="R8" s="183">
        <f>AMZN_IS!V13</f>
        <v>0.10319638163064093</v>
      </c>
      <c r="S8" s="182"/>
    </row>
    <row r="9" spans="2:19" ht="16.149999999999999" x14ac:dyDescent="0.45">
      <c r="B9" s="184" t="s">
        <v>336</v>
      </c>
      <c r="C9" s="180">
        <f t="shared" si="0"/>
        <v>0.56194660134673713</v>
      </c>
      <c r="D9" s="185">
        <f>AMZN_IS!G15</f>
        <v>288831</v>
      </c>
      <c r="E9" s="186">
        <f>AMZN_IS!H15</f>
        <v>303166.93975256471</v>
      </c>
      <c r="F9" s="186">
        <f>AMZN_IS!I15</f>
        <v>333803.84389306518</v>
      </c>
      <c r="G9" s="186">
        <f>AMZN_IS!J15</f>
        <v>371029.87012453325</v>
      </c>
      <c r="H9" s="186">
        <f>AMZN_IS!K15</f>
        <v>411376.96293813997</v>
      </c>
      <c r="I9" s="186">
        <f>AMZN_IS!L15</f>
        <v>454773.74376433581</v>
      </c>
      <c r="J9" s="187"/>
      <c r="L9" s="174" t="s">
        <v>337</v>
      </c>
      <c r="M9" s="183">
        <f>AMZN_IS!G59</f>
        <v>0.56194660134673713</v>
      </c>
      <c r="N9" s="183">
        <f>AMZN_IS!H59</f>
        <v>0.5417168173484701</v>
      </c>
      <c r="O9" s="183">
        <f>AMZN_IS!I59</f>
        <v>0.53663667883225064</v>
      </c>
      <c r="P9" s="183">
        <f>AMZN_IS!J59</f>
        <v>0.53775778588816692</v>
      </c>
      <c r="Q9" s="183">
        <f>AMZN_IS!K59</f>
        <v>0.53887889294408331</v>
      </c>
      <c r="R9" s="183">
        <f>AMZN_IS!L59</f>
        <v>0.54</v>
      </c>
      <c r="S9" s="187"/>
    </row>
    <row r="10" spans="2:19" x14ac:dyDescent="0.45">
      <c r="B10" s="174" t="s">
        <v>281</v>
      </c>
      <c r="C10" s="180">
        <f t="shared" si="0"/>
        <v>0.43805339865326287</v>
      </c>
      <c r="D10" s="181">
        <f t="shared" ref="D10:I10" si="1">D8-D9</f>
        <v>225152</v>
      </c>
      <c r="E10" s="181">
        <f t="shared" si="1"/>
        <v>256474.05724743527</v>
      </c>
      <c r="F10" s="181">
        <f t="shared" si="1"/>
        <v>288225.65401497897</v>
      </c>
      <c r="G10" s="181">
        <f t="shared" si="1"/>
        <v>318927.35571411467</v>
      </c>
      <c r="H10" s="181">
        <f t="shared" si="1"/>
        <v>352017.12861858105</v>
      </c>
      <c r="I10" s="181">
        <f t="shared" si="1"/>
        <v>387399.85579924897</v>
      </c>
      <c r="J10" s="182"/>
      <c r="L10" s="174" t="s">
        <v>480</v>
      </c>
      <c r="M10" s="183">
        <f>AMZN_IS!G63+AMZN_IS!G64</f>
        <v>0.30645371539525623</v>
      </c>
      <c r="N10" s="183">
        <f>AMZN_IS!H63+AMZN_IS!H64</f>
        <v>0.30889547125077504</v>
      </c>
      <c r="O10" s="183">
        <f>AMZN_IS!I63+AMZN_IS!I64</f>
        <v>0.30789785401445963</v>
      </c>
      <c r="P10" s="183">
        <f>AMZN_IS!J63+AMZN_IS!J64</f>
        <v>0.30776523600963973</v>
      </c>
      <c r="Q10" s="183">
        <f>AMZN_IS!K63+AMZN_IS!K64</f>
        <v>0.30763261800481989</v>
      </c>
      <c r="R10" s="183">
        <f>AMZN_IS!L63+AMZN_IS!L64</f>
        <v>0.3075</v>
      </c>
      <c r="S10" s="182"/>
    </row>
    <row r="11" spans="2:19" x14ac:dyDescent="0.45">
      <c r="B11" s="174" t="s">
        <v>478</v>
      </c>
      <c r="C11" s="180">
        <f t="shared" si="0"/>
        <v>0.30645371539525629</v>
      </c>
      <c r="D11" s="181">
        <f>AMZN_IS!G20+AMZN_IS!G21</f>
        <v>157512</v>
      </c>
      <c r="E11" s="181">
        <f>AMZN_IS!H20+AMZN_IS!H21</f>
        <v>172870.56949956855</v>
      </c>
      <c r="F11" s="181">
        <f>AMZN_IS!I20+AMZN_IS!I21</f>
        <v>191521.54753957858</v>
      </c>
      <c r="G11" s="181">
        <f>AMZN_IS!J20+AMZN_IS!J21</f>
        <v>212344.84844678777</v>
      </c>
      <c r="H11" s="181">
        <f>AMZN_IS!K20+AMZN_IS!K21</f>
        <v>234844.92295500526</v>
      </c>
      <c r="I11" s="181">
        <f>AMZN_IS!L20+AMZN_IS!L21</f>
        <v>258968.38186580231</v>
      </c>
      <c r="J11" s="182"/>
      <c r="L11" s="174" t="s">
        <v>340</v>
      </c>
      <c r="M11" s="183">
        <f>AMZN_IS!G65+AMZN_IS!G66+AMZN_IS!G67</f>
        <v>0.10777010134576435</v>
      </c>
      <c r="N11" s="183">
        <f>AMZN_IS!H65+AMZN_IS!H66+AMZN_IS!H67</f>
        <v>0.10147436222943745</v>
      </c>
      <c r="O11" s="183">
        <f>AMZN_IS!I65+AMZN_IS!I66+AMZN_IS!I67</f>
        <v>9.6629135036515004E-2</v>
      </c>
      <c r="P11" s="183">
        <f>AMZN_IS!J65+AMZN_IS!J66+AMZN_IS!J67</f>
        <v>9.3919423357676654E-2</v>
      </c>
      <c r="Q11" s="183">
        <f>AMZN_IS!K65+AMZN_IS!K66+AMZN_IS!K67</f>
        <v>9.1209711678838346E-2</v>
      </c>
      <c r="R11" s="183">
        <f>AMZN_IS!L65+AMZN_IS!L66+AMZN_IS!L67</f>
        <v>8.8499999999999995E-2</v>
      </c>
      <c r="S11" s="182"/>
    </row>
    <row r="12" spans="2:19" ht="16.149999999999999" x14ac:dyDescent="0.45">
      <c r="B12" s="184" t="s">
        <v>479</v>
      </c>
      <c r="C12" s="180">
        <f t="shared" si="0"/>
        <v>0.10777010134576435</v>
      </c>
      <c r="D12" s="185">
        <f>AMZN_IS!G22+AMZN_IS!G23+AMZN_IS!G24</f>
        <v>55392</v>
      </c>
      <c r="E12" s="186">
        <f>AMZN_IS!H22+AMZN_IS!H23+AMZN_IS!H24</f>
        <v>56789.213248021522</v>
      </c>
      <c r="F12" s="186">
        <f>AMZN_IS!I22+AMZN_IS!I23+AMZN_IS!I24</f>
        <v>60106.172350052017</v>
      </c>
      <c r="G12" s="186">
        <f>AMZN_IS!J22+AMZN_IS!J23+AMZN_IS!J24</f>
        <v>64800.384792228098</v>
      </c>
      <c r="H12" s="186">
        <f>AMZN_IS!K22+AMZN_IS!K23+AMZN_IS!K24</f>
        <v>69628.954988217243</v>
      </c>
      <c r="I12" s="186">
        <f>AMZN_IS!L22+AMZN_IS!L23+AMZN_IS!L24</f>
        <v>74532.363561377249</v>
      </c>
      <c r="J12" s="182"/>
      <c r="L12" s="174" t="s">
        <v>342</v>
      </c>
      <c r="M12" s="188">
        <f>-(AMZN_IS!G76+AMZN_IS!G78)</f>
        <v>3.0773391337845808E-2</v>
      </c>
      <c r="N12" s="188">
        <f>-(AMZN_IS!H76+AMZN_IS!H78)</f>
        <v>2.7999999999999997E-2</v>
      </c>
      <c r="O12" s="188">
        <f>-(AMZN_IS!I76+AMZN_IS!I78)</f>
        <v>2.7999999999999997E-2</v>
      </c>
      <c r="P12" s="188">
        <f>-(AMZN_IS!J76+AMZN_IS!J78)</f>
        <v>2.7999999999999997E-2</v>
      </c>
      <c r="Q12" s="188">
        <f>-(AMZN_IS!K76+AMZN_IS!K78)</f>
        <v>2.7999999999999997E-2</v>
      </c>
      <c r="R12" s="188">
        <f>-(AMZN_IS!L76+AMZN_IS!L78)</f>
        <v>2.7999999999999997E-2</v>
      </c>
      <c r="S12" s="182"/>
    </row>
    <row r="13" spans="2:19" x14ac:dyDescent="0.45">
      <c r="B13" s="174" t="s">
        <v>283</v>
      </c>
      <c r="C13" s="180">
        <f t="shared" si="0"/>
        <v>2.3829581912242232E-2</v>
      </c>
      <c r="D13" s="181">
        <f t="shared" ref="D13:I13" si="2">D10-D11-D12</f>
        <v>12248</v>
      </c>
      <c r="E13" s="181">
        <f t="shared" si="2"/>
        <v>26814.274499845196</v>
      </c>
      <c r="F13" s="181">
        <f t="shared" si="2"/>
        <v>36597.934125348373</v>
      </c>
      <c r="G13" s="181">
        <f t="shared" si="2"/>
        <v>41782.122475098804</v>
      </c>
      <c r="H13" s="181">
        <f t="shared" si="2"/>
        <v>47543.250675358548</v>
      </c>
      <c r="I13" s="181">
        <f t="shared" si="2"/>
        <v>53899.110372069408</v>
      </c>
      <c r="J13" s="182"/>
      <c r="L13" s="174" t="s">
        <v>343</v>
      </c>
      <c r="M13" s="188">
        <f>-AMZN_IS!G77</f>
        <v>3.524944154877141E-2</v>
      </c>
      <c r="N13" s="188">
        <f>-AMZN_IS!H77</f>
        <v>3.5000000000000003E-2</v>
      </c>
      <c r="O13" s="188">
        <f>-AMZN_IS!I77</f>
        <v>3.5000000000000003E-2</v>
      </c>
      <c r="P13" s="188">
        <f>-AMZN_IS!J77</f>
        <v>3.5000000000000003E-2</v>
      </c>
      <c r="Q13" s="188">
        <f>-AMZN_IS!K77</f>
        <v>3.5000000000000003E-2</v>
      </c>
      <c r="R13" s="188">
        <f>-AMZN_IS!L77</f>
        <v>3.5000000000000003E-2</v>
      </c>
      <c r="S13" s="182"/>
    </row>
    <row r="14" spans="2:19" x14ac:dyDescent="0.45">
      <c r="B14" s="174" t="s">
        <v>285</v>
      </c>
      <c r="C14" s="180">
        <f t="shared" si="0"/>
        <v>-3.0773391337845804E-2</v>
      </c>
      <c r="D14" s="181">
        <f>AMZN_IS!G34+AMZN_IS!G36</f>
        <v>-15817</v>
      </c>
      <c r="E14" s="181">
        <f>AMZN_IS!H34+AMZN_IS!H36</f>
        <v>-15669.947915999997</v>
      </c>
      <c r="F14" s="181">
        <f>AMZN_IS!I34+AMZN_IS!I36</f>
        <v>-17416.825941425235</v>
      </c>
      <c r="G14" s="181">
        <f>AMZN_IS!J34+AMZN_IS!J36</f>
        <v>-19318.802323482138</v>
      </c>
      <c r="H14" s="181">
        <f>AMZN_IS!K34+AMZN_IS!K36</f>
        <v>-21375.034563588186</v>
      </c>
      <c r="I14" s="181">
        <f>AMZN_IS!L34+AMZN_IS!L36</f>
        <v>-23580.860787780373</v>
      </c>
      <c r="J14" s="182"/>
      <c r="M14" s="188"/>
      <c r="N14" s="188"/>
      <c r="O14" s="188"/>
      <c r="P14" s="188"/>
      <c r="Q14" s="188"/>
      <c r="R14" s="188"/>
      <c r="S14" s="182"/>
    </row>
    <row r="15" spans="2:19" ht="16.149999999999999" x14ac:dyDescent="0.45">
      <c r="B15" s="184" t="s">
        <v>345</v>
      </c>
      <c r="C15" s="180">
        <f t="shared" si="0"/>
        <v>4.6052106781741811E-3</v>
      </c>
      <c r="D15" s="185">
        <f>-AMZN_IS!G35</f>
        <v>2367</v>
      </c>
      <c r="E15" s="186">
        <f ca="1">-AMZN_IS!H35</f>
        <v>2661.2027613628816</v>
      </c>
      <c r="F15" s="186">
        <f ca="1">-AMZN_IS!I35</f>
        <v>3503.7111308397825</v>
      </c>
      <c r="G15" s="186">
        <f ca="1">-AMZN_IS!J35</f>
        <v>4329.5825903755094</v>
      </c>
      <c r="H15" s="186">
        <f ca="1">-AMZN_IS!K35</f>
        <v>5170.55594625087</v>
      </c>
      <c r="I15" s="186">
        <f ca="1">-AMZN_IS!L35</f>
        <v>6017.9011618948352</v>
      </c>
      <c r="J15" s="182"/>
      <c r="L15" s="174" t="s">
        <v>346</v>
      </c>
      <c r="M15" s="183">
        <f>D38/D8</f>
        <v>0.36327076965580574</v>
      </c>
      <c r="N15" s="183">
        <f t="shared" ref="N15:R15" si="3">E38/E8</f>
        <v>0.37083352756660176</v>
      </c>
      <c r="O15" s="183">
        <f t="shared" si="3"/>
        <v>0.36670205533677941</v>
      </c>
      <c r="P15" s="183">
        <f t="shared" si="3"/>
        <v>0.35974947315680061</v>
      </c>
      <c r="Q15" s="183">
        <f t="shared" si="3"/>
        <v>0.35060484946464593</v>
      </c>
      <c r="R15" s="183">
        <f t="shared" si="3"/>
        <v>0.3398081938108018</v>
      </c>
      <c r="S15" s="182"/>
    </row>
    <row r="16" spans="2:19" x14ac:dyDescent="0.45">
      <c r="B16" s="174" t="s">
        <v>286</v>
      </c>
      <c r="C16" s="180">
        <f t="shared" si="0"/>
        <v>-1.1549020103777752E-2</v>
      </c>
      <c r="D16" s="181">
        <f t="shared" ref="D16:I16" si="4">D13+D14-D15</f>
        <v>-5936</v>
      </c>
      <c r="E16" s="181">
        <f t="shared" ca="1" si="4"/>
        <v>8483.1238224823173</v>
      </c>
      <c r="F16" s="181">
        <f t="shared" ca="1" si="4"/>
        <v>15677.397053083354</v>
      </c>
      <c r="G16" s="181">
        <f t="shared" ca="1" si="4"/>
        <v>18133.737561241156</v>
      </c>
      <c r="H16" s="181">
        <f t="shared" ca="1" si="4"/>
        <v>20997.66016551949</v>
      </c>
      <c r="I16" s="181">
        <f t="shared" ca="1" si="4"/>
        <v>24300.3484223942</v>
      </c>
      <c r="J16" s="182"/>
      <c r="L16" s="174" t="s">
        <v>347</v>
      </c>
      <c r="M16" s="183">
        <f>AMZN_IS!G28/AMZN_BS!G15</f>
        <v>0.22205500361513536</v>
      </c>
      <c r="N16" s="183">
        <f>AMZN_IS!H28/AMZN_BS!H15</f>
        <v>0.22328078192748926</v>
      </c>
      <c r="O16" s="183">
        <f>AMZN_IS!I28/AMZN_BS!I15</f>
        <v>0.22344434345956563</v>
      </c>
      <c r="P16" s="183">
        <f>AMZN_IS!J28/AMZN_BS!J15</f>
        <v>0.22473973148741952</v>
      </c>
      <c r="Q16" s="183">
        <f>AMZN_IS!K28/AMZN_BS!K15</f>
        <v>0.22685795738835143</v>
      </c>
      <c r="R16" s="183">
        <f>AMZN_IS!L28/AMZN_BS!L15</f>
        <v>0.22954125715823323</v>
      </c>
      <c r="S16" s="182"/>
    </row>
    <row r="17" spans="2:19" ht="16.149999999999999" x14ac:dyDescent="0.45">
      <c r="B17" s="184" t="s">
        <v>348</v>
      </c>
      <c r="C17" s="180">
        <f t="shared" si="0"/>
        <v>6.2531251033594495E-3</v>
      </c>
      <c r="D17" s="185">
        <f>AMZN_IS!G39+AMZN_IS!G40</f>
        <v>3214</v>
      </c>
      <c r="E17" s="186">
        <f ca="1">AMZN_IS!H39+AMZN_IS!H40</f>
        <v>-1781.4560027212865</v>
      </c>
      <c r="F17" s="186">
        <f ca="1">AMZN_IS!I39+AMZN_IS!I40</f>
        <v>-3292.2533811474982</v>
      </c>
      <c r="G17" s="186">
        <f ca="1">AMZN_IS!J39+AMZN_IS!J40</f>
        <v>-3923.0777588337537</v>
      </c>
      <c r="H17" s="186">
        <f ca="1">AMZN_IS!K39+AMZN_IS!K40</f>
        <v>-4663.9733319446723</v>
      </c>
      <c r="I17" s="186">
        <f ca="1">AMZN_IS!L39+AMZN_IS!L40</f>
        <v>-5524.1599684845742</v>
      </c>
      <c r="J17" s="182"/>
      <c r="L17" s="177" t="s">
        <v>349</v>
      </c>
      <c r="M17" s="189">
        <v>0.21</v>
      </c>
      <c r="N17" s="189">
        <f>M17</f>
        <v>0.21</v>
      </c>
      <c r="O17" s="189">
        <f t="shared" ref="O17:R17" si="5">N17</f>
        <v>0.21</v>
      </c>
      <c r="P17" s="189">
        <f t="shared" si="5"/>
        <v>0.21</v>
      </c>
      <c r="Q17" s="189">
        <f t="shared" si="5"/>
        <v>0.21</v>
      </c>
      <c r="R17" s="189">
        <f t="shared" si="5"/>
        <v>0.21</v>
      </c>
      <c r="S17" s="190"/>
    </row>
    <row r="18" spans="2:19" ht="19.05" customHeight="1" x14ac:dyDescent="0.45">
      <c r="B18" s="174" t="s">
        <v>288</v>
      </c>
      <c r="C18" s="180">
        <f t="shared" si="0"/>
        <v>-5.2958950004183018E-3</v>
      </c>
      <c r="D18" s="181">
        <f t="shared" ref="D18:I18" si="6">D16+D17</f>
        <v>-2722</v>
      </c>
      <c r="E18" s="181">
        <f t="shared" ca="1" si="6"/>
        <v>6701.6678197610308</v>
      </c>
      <c r="F18" s="181">
        <f t="shared" ca="1" si="6"/>
        <v>12385.143671935855</v>
      </c>
      <c r="G18" s="181">
        <f t="shared" ca="1" si="6"/>
        <v>14210.659802407403</v>
      </c>
      <c r="H18" s="181">
        <f t="shared" ca="1" si="6"/>
        <v>16333.686833574819</v>
      </c>
      <c r="I18" s="181">
        <f t="shared" ca="1" si="6"/>
        <v>18776.188453909625</v>
      </c>
      <c r="J18" s="182"/>
      <c r="L18" s="174" t="s">
        <v>32</v>
      </c>
      <c r="M18" s="181">
        <f>M19/D18</f>
        <v>-397.39386480529026</v>
      </c>
      <c r="N18" s="181">
        <f>$M18+1*($R18-$M18)/5</f>
        <v>-311.91509184423222</v>
      </c>
      <c r="O18" s="181">
        <f>$M18+2*($R18-$M18)/5</f>
        <v>-226.43631888317415</v>
      </c>
      <c r="P18" s="181">
        <f>$M18+3*($R18-$M18)/5</f>
        <v>-140.95754592211614</v>
      </c>
      <c r="Q18" s="181">
        <f>$M18+4*($R18-$M18)/5</f>
        <v>-55.478772961058041</v>
      </c>
      <c r="R18" s="181">
        <v>30</v>
      </c>
      <c r="S18" s="182"/>
    </row>
    <row r="19" spans="2:19" x14ac:dyDescent="0.45">
      <c r="B19" s="174" t="s">
        <v>350</v>
      </c>
      <c r="C19" s="180">
        <f t="shared" si="0"/>
        <v>0</v>
      </c>
      <c r="D19" s="181">
        <v>0</v>
      </c>
      <c r="E19" s="181">
        <v>0</v>
      </c>
      <c r="F19" s="181">
        <v>0</v>
      </c>
      <c r="G19" s="181">
        <v>0</v>
      </c>
      <c r="H19" s="181">
        <v>0</v>
      </c>
      <c r="I19" s="181">
        <v>0</v>
      </c>
      <c r="J19" s="182"/>
      <c r="L19" s="174" t="s">
        <v>351</v>
      </c>
      <c r="M19" s="181">
        <f>WACC!F51</f>
        <v>1081706.1000000001</v>
      </c>
      <c r="N19" s="181">
        <f ca="1">N18*E18</f>
        <v>-2090351.3335102974</v>
      </c>
      <c r="O19" s="181">
        <f ca="1">O18*F18</f>
        <v>-2804446.3419123939</v>
      </c>
      <c r="P19" s="181">
        <f ca="1">P18*G18</f>
        <v>-2003099.7316814114</v>
      </c>
      <c r="Q19" s="181">
        <f ca="1">Q18*H18</f>
        <v>-906172.90345692041</v>
      </c>
      <c r="R19" s="181">
        <f ca="1">R18*I18</f>
        <v>563285.65361728868</v>
      </c>
      <c r="S19" s="182"/>
    </row>
    <row r="20" spans="2:19" x14ac:dyDescent="0.45">
      <c r="B20" s="174" t="s">
        <v>352</v>
      </c>
      <c r="C20" s="180">
        <f t="shared" si="0"/>
        <v>0</v>
      </c>
      <c r="D20" s="181">
        <v>0</v>
      </c>
      <c r="E20" s="181">
        <v>0</v>
      </c>
      <c r="F20" s="181">
        <v>0</v>
      </c>
      <c r="G20" s="181">
        <v>0</v>
      </c>
      <c r="H20" s="181">
        <v>0</v>
      </c>
      <c r="I20" s="181">
        <v>0</v>
      </c>
      <c r="J20" s="182"/>
      <c r="K20" s="173"/>
      <c r="L20" s="174" t="s">
        <v>353</v>
      </c>
      <c r="M20" s="181">
        <f>DCF!J35</f>
        <v>67084</v>
      </c>
      <c r="N20" s="181">
        <f t="shared" ref="N20:R20" ca="1" si="7">E55</f>
        <v>178448.667061368</v>
      </c>
      <c r="O20" s="181">
        <f t="shared" ca="1" si="7"/>
        <v>205306.77114340605</v>
      </c>
      <c r="P20" s="181">
        <f t="shared" ca="1" si="7"/>
        <v>230818.21903646464</v>
      </c>
      <c r="Q20" s="181">
        <f t="shared" ca="1" si="7"/>
        <v>255655.00958671345</v>
      </c>
      <c r="R20" s="181">
        <f t="shared" ca="1" si="7"/>
        <v>279317.16714135231</v>
      </c>
      <c r="S20" s="182"/>
    </row>
    <row r="21" spans="2:19" x14ac:dyDescent="0.45">
      <c r="D21" s="191"/>
      <c r="E21" s="174"/>
      <c r="L21" s="174" t="s">
        <v>354</v>
      </c>
      <c r="M21" s="192">
        <f>WACC!F41</f>
        <v>1.1266735701884587</v>
      </c>
      <c r="N21" s="192">
        <v>1.2739162918920433</v>
      </c>
      <c r="O21" s="192">
        <v>1.284647035287259</v>
      </c>
      <c r="P21" s="192">
        <v>1.2991956423887865</v>
      </c>
      <c r="Q21" s="192">
        <v>1.2822438355342369</v>
      </c>
      <c r="R21" s="192">
        <v>1.2730086035543053</v>
      </c>
      <c r="S21" s="182"/>
    </row>
    <row r="22" spans="2:19" x14ac:dyDescent="0.45">
      <c r="B22" s="175"/>
      <c r="E22" s="175"/>
      <c r="L22" s="174" t="s">
        <v>20</v>
      </c>
      <c r="M22" s="193">
        <f>WACC!F54</f>
        <v>8.323923300270672E-2</v>
      </c>
      <c r="N22" s="193">
        <v>9.506539605406239E-2</v>
      </c>
      <c r="O22" s="193">
        <v>9.5655586940799259E-2</v>
      </c>
      <c r="P22" s="193">
        <v>9.6455760331383256E-2</v>
      </c>
      <c r="Q22" s="193">
        <v>9.552341095438302E-2</v>
      </c>
      <c r="R22" s="193">
        <v>9.5015473195486783E-2</v>
      </c>
      <c r="S22" s="182"/>
    </row>
    <row r="23" spans="2:19" x14ac:dyDescent="0.45">
      <c r="B23" s="173" t="s">
        <v>355</v>
      </c>
      <c r="E23" s="175"/>
      <c r="L23" s="173" t="s">
        <v>356</v>
      </c>
      <c r="M23" s="194">
        <f>WACC!F55</f>
        <v>8.0134866526278006E-2</v>
      </c>
      <c r="N23" s="195">
        <v>9.2005471824259305E-2</v>
      </c>
      <c r="O23" s="195">
        <v>9.2134598459184966E-2</v>
      </c>
      <c r="P23" s="195">
        <v>9.2228096654255964E-2</v>
      </c>
      <c r="Q23" s="195">
        <v>9.2183503315631521E-2</v>
      </c>
      <c r="R23" s="195">
        <v>9.2114649243373398E-2</v>
      </c>
      <c r="S23" s="182"/>
    </row>
    <row r="24" spans="2:19" x14ac:dyDescent="0.45">
      <c r="B24" s="196" t="s">
        <v>357</v>
      </c>
      <c r="C24" s="178" t="s">
        <v>267</v>
      </c>
      <c r="D24" s="178" t="s">
        <v>332</v>
      </c>
      <c r="E24" s="176">
        <v>2023</v>
      </c>
      <c r="F24" s="176">
        <v>2024</v>
      </c>
      <c r="G24" s="176">
        <v>2025</v>
      </c>
      <c r="H24" s="176">
        <v>2026</v>
      </c>
      <c r="I24" s="176">
        <v>2027</v>
      </c>
      <c r="J24" s="197"/>
      <c r="N24" s="174"/>
    </row>
    <row r="25" spans="2:19" x14ac:dyDescent="0.45">
      <c r="B25" s="198" t="s">
        <v>292</v>
      </c>
      <c r="E25" s="174"/>
      <c r="N25" s="174"/>
    </row>
    <row r="26" spans="2:19" x14ac:dyDescent="0.45">
      <c r="B26" s="198" t="s">
        <v>294</v>
      </c>
      <c r="E26" s="174"/>
      <c r="J26" s="197"/>
      <c r="L26" s="176" t="s">
        <v>358</v>
      </c>
      <c r="M26" s="178" t="s">
        <v>332</v>
      </c>
      <c r="N26" s="176">
        <v>2023</v>
      </c>
      <c r="O26" s="176">
        <v>2024</v>
      </c>
      <c r="P26" s="176">
        <v>2025</v>
      </c>
      <c r="Q26" s="176">
        <v>2026</v>
      </c>
      <c r="R26" s="176">
        <v>2027</v>
      </c>
      <c r="S26" s="179" t="s">
        <v>333</v>
      </c>
    </row>
    <row r="27" spans="2:19" x14ac:dyDescent="0.45">
      <c r="B27" s="198" t="s">
        <v>143</v>
      </c>
      <c r="C27" s="199">
        <f>D27/$D$8</f>
        <v>0.10484393452701743</v>
      </c>
      <c r="D27" s="200">
        <f>AMZN_BS!G8</f>
        <v>53888</v>
      </c>
      <c r="E27" s="201">
        <f>AMZN_BS!H8</f>
        <v>61330.520219178077</v>
      </c>
      <c r="F27" s="201">
        <f>AMZN_BS!I8</f>
        <v>68167.616209100728</v>
      </c>
      <c r="G27" s="201">
        <f>AMZN_BS!J8</f>
        <v>75611.750776838133</v>
      </c>
      <c r="H27" s="201">
        <f>AMZN_BS!K8</f>
        <v>83659.626471969415</v>
      </c>
      <c r="I27" s="201">
        <f>AMZN_BS!L8</f>
        <v>92292.997212447648</v>
      </c>
      <c r="L27" s="202" t="s">
        <v>359</v>
      </c>
      <c r="M27" s="203"/>
      <c r="N27" s="203"/>
      <c r="O27" s="203"/>
      <c r="P27" s="203"/>
      <c r="Q27" s="203"/>
      <c r="R27" s="203"/>
      <c r="S27" s="203"/>
    </row>
    <row r="28" spans="2:19" x14ac:dyDescent="0.45">
      <c r="B28" s="204" t="s">
        <v>360</v>
      </c>
      <c r="C28" s="199"/>
      <c r="D28" s="200">
        <v>0</v>
      </c>
      <c r="E28" s="205">
        <f ca="1">E41-E27-E29-E30-E31-E32-E33-E40</f>
        <v>0</v>
      </c>
      <c r="F28" s="205">
        <f t="shared" ref="F28:I28" ca="1" si="8">F41-F27-F29-F30-F31-F32-F33-F40</f>
        <v>0</v>
      </c>
      <c r="G28" s="205">
        <f t="shared" ca="1" si="8"/>
        <v>0</v>
      </c>
      <c r="H28" s="205">
        <f t="shared" ca="1" si="8"/>
        <v>0</v>
      </c>
      <c r="I28" s="205">
        <f t="shared" ca="1" si="8"/>
        <v>0</v>
      </c>
      <c r="L28" s="206" t="s">
        <v>361</v>
      </c>
      <c r="M28" s="207">
        <f>D34/D50</f>
        <v>0.9446435811136924</v>
      </c>
      <c r="N28" s="207">
        <f t="shared" ref="N28:R28" ca="1" si="9">E34/E50</f>
        <v>0.93884985380737951</v>
      </c>
      <c r="O28" s="207">
        <f t="shared" ca="1" si="9"/>
        <v>0.94477816592411823</v>
      </c>
      <c r="P28" s="207">
        <f t="shared" ca="1" si="9"/>
        <v>0.94761785961828116</v>
      </c>
      <c r="Q28" s="207">
        <f t="shared" ca="1" si="9"/>
        <v>0.95046471334097737</v>
      </c>
      <c r="R28" s="207">
        <f t="shared" ca="1" si="9"/>
        <v>0.95331881450620193</v>
      </c>
    </row>
    <row r="29" spans="2:19" x14ac:dyDescent="0.45">
      <c r="B29" s="198" t="s">
        <v>297</v>
      </c>
      <c r="C29" s="199">
        <f>D29/$D$8</f>
        <v>3.1397925612325697E-2</v>
      </c>
      <c r="D29" s="208">
        <f>AMZN_BS!G9</f>
        <v>16138</v>
      </c>
      <c r="E29" s="201">
        <f>AMZN_BS!H9</f>
        <v>18399.156065753425</v>
      </c>
      <c r="F29" s="201">
        <f>AMZN_BS!I9</f>
        <v>19598.189660116459</v>
      </c>
      <c r="G29" s="201">
        <f>AMZN_BS!J9</f>
        <v>20793.231463630484</v>
      </c>
      <c r="H29" s="201">
        <f>AMZN_BS!K9</f>
        <v>21960.651948891973</v>
      </c>
      <c r="I29" s="201">
        <f>AMZN_BS!L9</f>
        <v>23073.249303111912</v>
      </c>
      <c r="L29" s="206" t="s">
        <v>362</v>
      </c>
      <c r="M29" s="207">
        <f>(D27+D28+D29+D30)/D50</f>
        <v>0.72323721145740161</v>
      </c>
      <c r="N29" s="207">
        <f t="shared" ref="N29:R29" ca="1" si="10">(E27+E28+E29+E30)/E50</f>
        <v>0.71309326212646507</v>
      </c>
      <c r="O29" s="207">
        <f t="shared" ca="1" si="10"/>
        <v>0.7226423647749638</v>
      </c>
      <c r="P29" s="207">
        <f t="shared" ca="1" si="10"/>
        <v>0.72790753082292936</v>
      </c>
      <c r="Q29" s="207">
        <f t="shared" ca="1" si="10"/>
        <v>0.73321537675529858</v>
      </c>
      <c r="R29" s="207">
        <f t="shared" ca="1" si="10"/>
        <v>0.7385664236341255</v>
      </c>
    </row>
    <row r="30" spans="2:19" x14ac:dyDescent="0.45">
      <c r="B30" s="198" t="s">
        <v>299</v>
      </c>
      <c r="C30" s="199">
        <f>D30/$D$8</f>
        <v>8.2415177155664682E-2</v>
      </c>
      <c r="D30" s="208">
        <f>AMZN_BS!G11</f>
        <v>42360</v>
      </c>
      <c r="E30" s="201">
        <f>AMZN_BS!H11</f>
        <v>38331.575136986299</v>
      </c>
      <c r="F30" s="201">
        <f>AMZN_BS!I11</f>
        <v>43882.902934608588</v>
      </c>
      <c r="G30" s="201">
        <f>AMZN_BS!J11</f>
        <v>50092.78488965526</v>
      </c>
      <c r="H30" s="201">
        <f>AMZN_BS!K11</f>
        <v>56993.120534029171</v>
      </c>
      <c r="I30" s="201">
        <f>AMZN_BS!L11</f>
        <v>64605.098048713349</v>
      </c>
      <c r="L30" s="206" t="s">
        <v>363</v>
      </c>
      <c r="M30" s="207">
        <f>D8/D30</f>
        <v>12.133687440982058</v>
      </c>
      <c r="N30" s="207">
        <f t="shared" ref="N30:R30" si="11">E8/E30</f>
        <v>14.6</v>
      </c>
      <c r="O30" s="207">
        <f t="shared" si="11"/>
        <v>14.174757281553401</v>
      </c>
      <c r="P30" s="207">
        <f t="shared" si="11"/>
        <v>13.773584905660377</v>
      </c>
      <c r="Q30" s="207">
        <f t="shared" si="11"/>
        <v>13.394495412844037</v>
      </c>
      <c r="R30" s="207">
        <f t="shared" si="11"/>
        <v>13.035714285714286</v>
      </c>
    </row>
    <row r="31" spans="2:19" x14ac:dyDescent="0.45">
      <c r="B31" s="198" t="s">
        <v>6</v>
      </c>
      <c r="C31" s="199">
        <f>D31/$D$8</f>
        <v>6.6938011568475994E-2</v>
      </c>
      <c r="D31" s="208">
        <f>AMZN_BS!G10</f>
        <v>34405</v>
      </c>
      <c r="E31" s="201">
        <f>AMZN_BS!H10</f>
        <v>37376.745996891543</v>
      </c>
      <c r="F31" s="201">
        <f>AMZN_BS!I10</f>
        <v>40468.00025278941</v>
      </c>
      <c r="G31" s="201">
        <f>AMZN_BS!J10</f>
        <v>44218.628357307389</v>
      </c>
      <c r="H31" s="201">
        <f>AMZN_BS!K10</f>
        <v>48181.822371521877</v>
      </c>
      <c r="I31" s="201">
        <f>AMZN_BS!L10</f>
        <v>52330.129419457822</v>
      </c>
      <c r="L31" s="206" t="s">
        <v>364</v>
      </c>
      <c r="M31" s="207">
        <f>365/M30</f>
        <v>30.081539661817612</v>
      </c>
      <c r="N31" s="207">
        <f t="shared" ref="N31:R31" si="12">365/N30</f>
        <v>25</v>
      </c>
      <c r="O31" s="207">
        <f t="shared" si="12"/>
        <v>25.749999999999996</v>
      </c>
      <c r="P31" s="207">
        <f t="shared" si="12"/>
        <v>26.5</v>
      </c>
      <c r="Q31" s="207">
        <f t="shared" si="12"/>
        <v>27.25</v>
      </c>
      <c r="R31" s="207">
        <f t="shared" si="12"/>
        <v>28</v>
      </c>
    </row>
    <row r="32" spans="2:19" x14ac:dyDescent="0.45">
      <c r="B32" s="198" t="s">
        <v>301</v>
      </c>
      <c r="C32" s="199">
        <f>D32/$D$8</f>
        <v>0</v>
      </c>
      <c r="D32" s="208"/>
      <c r="E32" s="201"/>
      <c r="F32" s="201"/>
      <c r="G32" s="201"/>
      <c r="H32" s="201"/>
      <c r="I32" s="201"/>
      <c r="L32" s="209" t="s">
        <v>365</v>
      </c>
      <c r="M32" s="192">
        <f>D9/D45</f>
        <v>3.6285301507537691</v>
      </c>
      <c r="N32" s="192">
        <f t="shared" ref="N32:R32" si="13">E9/E45</f>
        <v>3.4761904761904763</v>
      </c>
      <c r="O32" s="192">
        <f t="shared" si="13"/>
        <v>3.4761904761904763</v>
      </c>
      <c r="P32" s="192">
        <f t="shared" si="13"/>
        <v>3.4761904761904763</v>
      </c>
      <c r="Q32" s="192">
        <f t="shared" si="13"/>
        <v>3.4761904761904758</v>
      </c>
      <c r="R32" s="192">
        <f t="shared" si="13"/>
        <v>3.4761904761904763</v>
      </c>
    </row>
    <row r="33" spans="2:25" x14ac:dyDescent="0.45">
      <c r="B33" s="198" t="s">
        <v>302</v>
      </c>
      <c r="C33" s="199">
        <f>D33/$D$8</f>
        <v>0</v>
      </c>
      <c r="D33" s="208"/>
      <c r="E33" s="201"/>
      <c r="F33" s="201"/>
      <c r="G33" s="201"/>
      <c r="H33" s="201"/>
      <c r="I33" s="201"/>
      <c r="L33" s="209" t="s">
        <v>366</v>
      </c>
      <c r="M33" s="192">
        <f>365/M32</f>
        <v>100.59169548975005</v>
      </c>
      <c r="N33" s="192">
        <f t="shared" ref="N33:R33" si="14">365/N32</f>
        <v>105</v>
      </c>
      <c r="O33" s="192">
        <f t="shared" si="14"/>
        <v>105</v>
      </c>
      <c r="P33" s="192">
        <f t="shared" si="14"/>
        <v>105</v>
      </c>
      <c r="Q33" s="192">
        <f t="shared" si="14"/>
        <v>105.00000000000001</v>
      </c>
      <c r="R33" s="192">
        <f t="shared" si="14"/>
        <v>105</v>
      </c>
    </row>
    <row r="34" spans="2:25" x14ac:dyDescent="0.45">
      <c r="B34" s="198" t="s">
        <v>303</v>
      </c>
      <c r="C34" s="199"/>
      <c r="D34" s="201">
        <f>SUM(D27:D33)</f>
        <v>146791</v>
      </c>
      <c r="E34" s="201">
        <f ca="1">SUM(E27:E33)</f>
        <v>155437.99741880933</v>
      </c>
      <c r="F34" s="201">
        <f t="shared" ref="F34:I34" ca="1" si="15">SUM(F27:F33)</f>
        <v>172116.70905661519</v>
      </c>
      <c r="G34" s="201">
        <f t="shared" ca="1" si="15"/>
        <v>190716.39548743126</v>
      </c>
      <c r="H34" s="201">
        <f t="shared" ca="1" si="15"/>
        <v>210795.22132641243</v>
      </c>
      <c r="I34" s="201">
        <f t="shared" ca="1" si="15"/>
        <v>232301.47398373071</v>
      </c>
      <c r="L34" s="202" t="s">
        <v>367</v>
      </c>
      <c r="M34" s="210"/>
      <c r="N34" s="210"/>
      <c r="O34" s="211"/>
      <c r="P34" s="211"/>
      <c r="Q34" s="211"/>
      <c r="R34" s="211"/>
    </row>
    <row r="35" spans="2:25" x14ac:dyDescent="0.45">
      <c r="C35" s="199"/>
      <c r="D35" s="212"/>
      <c r="E35" s="201"/>
      <c r="F35" s="201"/>
      <c r="G35" s="201"/>
      <c r="H35" s="201"/>
      <c r="I35" s="201"/>
      <c r="L35" s="206" t="s">
        <v>368</v>
      </c>
      <c r="M35" s="207">
        <f>D9/D31</f>
        <v>8.3950297921813686</v>
      </c>
      <c r="N35" s="207">
        <f t="shared" ref="N35:R35" si="16">E9/E31</f>
        <v>8.1111111111111107</v>
      </c>
      <c r="O35" s="207">
        <f t="shared" si="16"/>
        <v>8.2485875706214689</v>
      </c>
      <c r="P35" s="207">
        <f t="shared" si="16"/>
        <v>8.3908045977011483</v>
      </c>
      <c r="Q35" s="207">
        <f t="shared" si="16"/>
        <v>8.5380116959064321</v>
      </c>
      <c r="R35" s="207">
        <f t="shared" si="16"/>
        <v>8.6904761904761898</v>
      </c>
      <c r="T35" s="211"/>
    </row>
    <row r="36" spans="2:25" x14ac:dyDescent="0.45">
      <c r="B36" s="198" t="s">
        <v>304</v>
      </c>
      <c r="C36" s="199"/>
      <c r="D36" s="212"/>
      <c r="E36" s="201"/>
      <c r="F36" s="201"/>
      <c r="G36" s="201"/>
      <c r="H36" s="201"/>
      <c r="I36" s="201"/>
      <c r="L36" s="206" t="s">
        <v>369</v>
      </c>
      <c r="M36" s="207">
        <f>365/M35</f>
        <v>43.4781065744328</v>
      </c>
      <c r="N36" s="207">
        <f t="shared" ref="N36:R36" si="17">365/N35</f>
        <v>45</v>
      </c>
      <c r="O36" s="207">
        <f t="shared" si="17"/>
        <v>44.25</v>
      </c>
      <c r="P36" s="207">
        <f t="shared" si="17"/>
        <v>43.500000000000007</v>
      </c>
      <c r="Q36" s="207">
        <f t="shared" si="17"/>
        <v>42.75</v>
      </c>
      <c r="R36" s="207">
        <f t="shared" si="17"/>
        <v>42</v>
      </c>
    </row>
    <row r="37" spans="2:25" x14ac:dyDescent="0.45">
      <c r="B37" s="198" t="s">
        <v>297</v>
      </c>
      <c r="C37" s="199">
        <f>D37/$D$8</f>
        <v>0</v>
      </c>
      <c r="D37" s="208"/>
      <c r="E37" s="201"/>
      <c r="F37" s="201"/>
      <c r="G37" s="201"/>
      <c r="H37" s="201"/>
      <c r="I37" s="201"/>
      <c r="L37" s="206" t="s">
        <v>370</v>
      </c>
      <c r="M37" s="207">
        <f>D8/D41</f>
        <v>1.1108942562273734</v>
      </c>
      <c r="N37" s="207">
        <f t="shared" ref="N37:R37" ca="1" si="18">E8/E41</f>
        <v>1.1265924937285914</v>
      </c>
      <c r="O37" s="207">
        <f t="shared" ca="1" si="18"/>
        <v>1.1256141500654906</v>
      </c>
      <c r="P37" s="207">
        <f t="shared" ca="1" si="18"/>
        <v>1.1284552400956702</v>
      </c>
      <c r="Q37" s="207">
        <f t="shared" ca="1" si="18"/>
        <v>1.1341291240078124</v>
      </c>
      <c r="R37" s="207">
        <f t="shared" ca="1" si="18"/>
        <v>1.1420168660993073</v>
      </c>
      <c r="U37" s="174" t="s">
        <v>371</v>
      </c>
    </row>
    <row r="38" spans="2:25" x14ac:dyDescent="0.45">
      <c r="B38" s="198" t="s">
        <v>305</v>
      </c>
      <c r="C38" s="199">
        <f>D38/$D$8</f>
        <v>0.36327076965580574</v>
      </c>
      <c r="D38" s="208">
        <f>AMZN_BS!G15</f>
        <v>186715</v>
      </c>
      <c r="E38" s="201">
        <f>AMZN_BS!H15</f>
        <v>207533.64508839999</v>
      </c>
      <c r="F38" s="201">
        <f>AMZN_BS!I15</f>
        <v>228099.49536298472</v>
      </c>
      <c r="G38" s="201">
        <f>AMZN_BS!J15</f>
        <v>248211.7484961813</v>
      </c>
      <c r="H38" s="201">
        <f>AMZN_BS!K15</f>
        <v>267649.6705524443</v>
      </c>
      <c r="I38" s="201">
        <f>AMZN_BS!L15</f>
        <v>286177.4897428432</v>
      </c>
      <c r="L38" s="206" t="s">
        <v>372</v>
      </c>
      <c r="M38" s="207">
        <f>D8/D38</f>
        <v>2.7527675869640897</v>
      </c>
      <c r="N38" s="207">
        <f t="shared" ref="N38:R38" si="19">E8/E38</f>
        <v>2.6966278010566338</v>
      </c>
      <c r="O38" s="207">
        <f t="shared" si="19"/>
        <v>2.7270095311617473</v>
      </c>
      <c r="P38" s="207">
        <f t="shared" si="19"/>
        <v>2.779712201452313</v>
      </c>
      <c r="Q38" s="207">
        <f t="shared" si="19"/>
        <v>2.8522138285507013</v>
      </c>
      <c r="R38" s="207">
        <f t="shared" si="19"/>
        <v>2.9428366302337587</v>
      </c>
      <c r="U38" s="174" t="s">
        <v>371</v>
      </c>
      <c r="V38" s="174" t="s">
        <v>373</v>
      </c>
      <c r="Y38" s="174" t="s">
        <v>374</v>
      </c>
    </row>
    <row r="39" spans="2:25" x14ac:dyDescent="0.45">
      <c r="B39" s="198" t="s">
        <v>306</v>
      </c>
      <c r="C39" s="199">
        <f>D39/$D$8</f>
        <v>0.25130986822521367</v>
      </c>
      <c r="D39" s="208">
        <f>AMZN_BS!G16+AMZN_BS!G17</f>
        <v>129169</v>
      </c>
      <c r="E39" s="201">
        <f>AMZN_BS!H16+AMZN_BS!H17</f>
        <v>133783.83927999999</v>
      </c>
      <c r="F39" s="201">
        <f>AMZN_BS!I16+AMZN_BS!I17</f>
        <v>152397.22698747081</v>
      </c>
      <c r="G39" s="201">
        <f>AMZN_BS!J16+AMZN_BS!J17</f>
        <v>172489.30645966198</v>
      </c>
      <c r="H39" s="201">
        <f>AMZN_BS!K16+AMZN_BS!K17</f>
        <v>194665.49334696386</v>
      </c>
      <c r="I39" s="201">
        <f>AMZN_BS!L16+AMZN_BS!L17</f>
        <v>218965.13588653205</v>
      </c>
      <c r="L39" s="202" t="s">
        <v>375</v>
      </c>
      <c r="M39" s="202"/>
      <c r="N39" s="202"/>
      <c r="O39" s="213"/>
      <c r="P39" s="213"/>
      <c r="Q39" s="213"/>
      <c r="R39" s="213"/>
      <c r="V39" s="174" t="s">
        <v>376</v>
      </c>
      <c r="Y39" s="174" t="s">
        <v>377</v>
      </c>
    </row>
    <row r="40" spans="2:25" x14ac:dyDescent="0.45">
      <c r="B40" s="214" t="s">
        <v>307</v>
      </c>
      <c r="C40" s="199">
        <f t="shared" ref="C40:C41" si="20">D40/$D$8</f>
        <v>0.61458063788101946</v>
      </c>
      <c r="D40" s="215">
        <f>SUM(D38:D39)</f>
        <v>315884</v>
      </c>
      <c r="E40" s="216">
        <f t="shared" ref="E40:I40" si="21">SUM(E38:E39)</f>
        <v>341317.48436839995</v>
      </c>
      <c r="F40" s="216">
        <f t="shared" si="21"/>
        <v>380496.72235045553</v>
      </c>
      <c r="G40" s="216">
        <f t="shared" si="21"/>
        <v>420701.05495584325</v>
      </c>
      <c r="H40" s="216">
        <f t="shared" si="21"/>
        <v>462315.16389940819</v>
      </c>
      <c r="I40" s="216">
        <f t="shared" si="21"/>
        <v>505142.62562937522</v>
      </c>
      <c r="L40" s="209" t="s">
        <v>378</v>
      </c>
      <c r="M40" s="193">
        <f>D10/D$8</f>
        <v>0.43805339865326287</v>
      </c>
      <c r="N40" s="193">
        <f t="shared" ref="N40:R40" si="22">E10/E$8</f>
        <v>0.45828318265152984</v>
      </c>
      <c r="O40" s="193">
        <f t="shared" si="22"/>
        <v>0.46336332116774942</v>
      </c>
      <c r="P40" s="193">
        <f t="shared" si="22"/>
        <v>0.46224221411183308</v>
      </c>
      <c r="Q40" s="193">
        <f t="shared" si="22"/>
        <v>0.46112110705591675</v>
      </c>
      <c r="R40" s="193">
        <f t="shared" si="22"/>
        <v>0.45999999999999996</v>
      </c>
      <c r="T40" s="211"/>
    </row>
    <row r="41" spans="2:25" x14ac:dyDescent="0.45">
      <c r="B41" s="204" t="s">
        <v>308</v>
      </c>
      <c r="C41" s="199">
        <f t="shared" si="20"/>
        <v>0.90017568674450321</v>
      </c>
      <c r="D41" s="217">
        <f>D40+D34</f>
        <v>462675</v>
      </c>
      <c r="E41" s="205">
        <f ca="1">E66</f>
        <v>496755.48178720928</v>
      </c>
      <c r="F41" s="205">
        <f t="shared" ref="F41:I41" ca="1" si="23">F66</f>
        <v>552613.43140707072</v>
      </c>
      <c r="G41" s="205">
        <f t="shared" ca="1" si="23"/>
        <v>611417.45044327457</v>
      </c>
      <c r="H41" s="205">
        <f t="shared" ca="1" si="23"/>
        <v>673110.38522582059</v>
      </c>
      <c r="I41" s="205">
        <f t="shared" ca="1" si="23"/>
        <v>737444.09961310599</v>
      </c>
      <c r="L41" s="206" t="s">
        <v>379</v>
      </c>
      <c r="M41" s="193">
        <f>D13/D$8</f>
        <v>2.3829581912242232E-2</v>
      </c>
      <c r="N41" s="193">
        <f t="shared" ref="N41:R41" si="24">E13/E$8</f>
        <v>4.7913349171317406E-2</v>
      </c>
      <c r="O41" s="193">
        <f t="shared" si="24"/>
        <v>5.8836332116774817E-2</v>
      </c>
      <c r="P41" s="193">
        <f t="shared" si="24"/>
        <v>6.0557554744516712E-2</v>
      </c>
      <c r="Q41" s="193">
        <f t="shared" si="24"/>
        <v>6.2278777372258495E-2</v>
      </c>
      <c r="R41" s="193">
        <f t="shared" si="24"/>
        <v>6.3999999999999974E-2</v>
      </c>
    </row>
    <row r="42" spans="2:25" x14ac:dyDescent="0.45">
      <c r="C42" s="218"/>
      <c r="E42" s="213"/>
      <c r="F42" s="213"/>
      <c r="G42" s="213"/>
      <c r="H42" s="213"/>
      <c r="I42" s="213"/>
      <c r="L42" s="206" t="s">
        <v>380</v>
      </c>
      <c r="M42" s="219">
        <f>D18/D41</f>
        <v>-5.8831793375479545E-3</v>
      </c>
      <c r="N42" s="219">
        <f t="shared" ref="N42:R42" ca="1" si="25">E18/E41</f>
        <v>1.3490878441139709E-2</v>
      </c>
      <c r="O42" s="219">
        <f t="shared" ca="1" si="25"/>
        <v>2.24119483314053E-2</v>
      </c>
      <c r="P42" s="219">
        <f t="shared" ca="1" si="25"/>
        <v>2.324215606228567E-2</v>
      </c>
      <c r="Q42" s="219">
        <f t="shared" ca="1" si="25"/>
        <v>2.4265985478882576E-2</v>
      </c>
      <c r="R42" s="219">
        <f t="shared" ca="1" si="25"/>
        <v>2.5461168465189969E-2</v>
      </c>
    </row>
    <row r="43" spans="2:25" x14ac:dyDescent="0.45">
      <c r="B43" s="198" t="s">
        <v>309</v>
      </c>
      <c r="C43" s="218"/>
      <c r="E43" s="213"/>
      <c r="F43" s="213"/>
      <c r="G43" s="213"/>
      <c r="H43" s="213"/>
      <c r="I43" s="213"/>
      <c r="L43" s="206" t="s">
        <v>381</v>
      </c>
      <c r="M43" s="219">
        <f>D18/D8</f>
        <v>-5.2958950004183018E-3</v>
      </c>
      <c r="N43" s="219">
        <f t="shared" ref="N43:R43" ca="1" si="26">E18/E8</f>
        <v>1.1974940820429264E-2</v>
      </c>
      <c r="O43" s="219">
        <f t="shared" ca="1" si="26"/>
        <v>1.9910862288024123E-2</v>
      </c>
      <c r="P43" s="219">
        <f t="shared" ca="1" si="26"/>
        <v>2.0596435938668872E-2</v>
      </c>
      <c r="Q43" s="219">
        <f t="shared" ca="1" si="26"/>
        <v>2.1396139967846749E-2</v>
      </c>
      <c r="R43" s="219">
        <f t="shared" ca="1" si="26"/>
        <v>2.2294914568254651E-2</v>
      </c>
    </row>
    <row r="44" spans="2:25" x14ac:dyDescent="0.45">
      <c r="B44" s="198" t="s">
        <v>310</v>
      </c>
      <c r="C44" s="218"/>
      <c r="E44" s="213"/>
      <c r="F44" s="213"/>
      <c r="G44" s="213"/>
      <c r="H44" s="213"/>
      <c r="I44" s="213"/>
      <c r="L44" s="206" t="s">
        <v>382</v>
      </c>
      <c r="M44" s="219">
        <f>D18/D65</f>
        <v>-1.8638346240490815E-2</v>
      </c>
      <c r="N44" s="219">
        <f t="shared" ref="N44:R44" ca="1" si="27">E18/E65</f>
        <v>4.3874970664566901E-2</v>
      </c>
      <c r="O44" s="219">
        <f t="shared" ca="1" si="27"/>
        <v>7.500246963316258E-2</v>
      </c>
      <c r="P44" s="219">
        <f t="shared" ca="1" si="27"/>
        <v>7.9238443502822276E-2</v>
      </c>
      <c r="Q44" s="219">
        <f t="shared" ca="1" si="27"/>
        <v>8.347390881792853E-2</v>
      </c>
      <c r="R44" s="219">
        <f t="shared" ca="1" si="27"/>
        <v>8.7554945716845106E-2</v>
      </c>
    </row>
    <row r="45" spans="2:25" x14ac:dyDescent="0.45">
      <c r="B45" s="198" t="s">
        <v>5</v>
      </c>
      <c r="C45" s="199">
        <f t="shared" ref="C45:C50" si="28">D45/$D$8</f>
        <v>0.15486893535389304</v>
      </c>
      <c r="D45" s="200">
        <f>AMZN_BS!G23</f>
        <v>79600</v>
      </c>
      <c r="E45" s="201">
        <f>AMZN_BS!H23</f>
        <v>87212.407326080254</v>
      </c>
      <c r="F45" s="201">
        <f>AMZN_BS!I23</f>
        <v>96025.763311703675</v>
      </c>
      <c r="G45" s="201">
        <f>AMZN_BS!J23</f>
        <v>106734.62017281093</v>
      </c>
      <c r="H45" s="201">
        <f>AMZN_BS!K23</f>
        <v>118341.31810549233</v>
      </c>
      <c r="I45" s="201">
        <f>AMZN_BS!L23</f>
        <v>130825.32354864455</v>
      </c>
      <c r="L45" s="209" t="s">
        <v>383</v>
      </c>
      <c r="M45" s="201"/>
      <c r="N45" s="201"/>
      <c r="O45" s="201"/>
      <c r="P45" s="201"/>
      <c r="Q45" s="201"/>
      <c r="R45" s="201"/>
    </row>
    <row r="46" spans="2:25" x14ac:dyDescent="0.45">
      <c r="B46" s="198" t="s">
        <v>311</v>
      </c>
      <c r="C46" s="199">
        <f t="shared" si="28"/>
        <v>0.14746207559393987</v>
      </c>
      <c r="D46" s="208">
        <f>AMZN_BS!G24+AMZN_BS!G25</f>
        <v>75793</v>
      </c>
      <c r="E46" s="201">
        <f>AMZN_BS!H24+AMZN_BS!H25</f>
        <v>78349.739580000009</v>
      </c>
      <c r="F46" s="201">
        <f>AMZN_BS!I24+AMZN_BS!I25</f>
        <v>86151.085460264119</v>
      </c>
      <c r="G46" s="201">
        <f>AMZN_BS!J24+AMZN_BS!J25</f>
        <v>94524.139939894754</v>
      </c>
      <c r="H46" s="201">
        <f>AMZN_BS!K24+AMZN_BS!K25</f>
        <v>103439.89940593571</v>
      </c>
      <c r="I46" s="201">
        <f>AMZN_BS!L24+AMZN_BS!L25</f>
        <v>112851.26234152037</v>
      </c>
      <c r="L46" s="220" t="s">
        <v>384</v>
      </c>
      <c r="M46" s="201"/>
      <c r="N46" s="201"/>
      <c r="O46" s="201"/>
      <c r="P46" s="201"/>
      <c r="Q46" s="201"/>
      <c r="R46" s="201"/>
    </row>
    <row r="47" spans="2:25" x14ac:dyDescent="0.45">
      <c r="B47" s="198" t="s">
        <v>312</v>
      </c>
      <c r="C47" s="199">
        <f t="shared" si="28"/>
        <v>0</v>
      </c>
      <c r="D47" s="208"/>
      <c r="E47" s="201"/>
      <c r="F47" s="201"/>
      <c r="G47" s="201"/>
      <c r="H47" s="201"/>
      <c r="I47" s="201"/>
      <c r="L47" s="202" t="s">
        <v>385</v>
      </c>
      <c r="M47" s="202"/>
      <c r="N47" s="202"/>
      <c r="O47" s="213"/>
      <c r="P47" s="213"/>
      <c r="Q47" s="213"/>
      <c r="R47" s="213"/>
    </row>
    <row r="48" spans="2:25" x14ac:dyDescent="0.45">
      <c r="B48" s="198" t="s">
        <v>313</v>
      </c>
      <c r="C48" s="199">
        <f t="shared" si="28"/>
        <v>0</v>
      </c>
      <c r="D48" s="208"/>
      <c r="E48" s="201"/>
      <c r="F48" s="201"/>
      <c r="G48" s="201"/>
      <c r="H48" s="201"/>
      <c r="I48" s="201"/>
      <c r="L48" s="206" t="s">
        <v>386</v>
      </c>
      <c r="M48" s="221">
        <f>D56/D66</f>
        <v>0.68435078618900957</v>
      </c>
      <c r="N48" s="221">
        <f t="shared" ref="N48:R48" ca="1" si="29">E56/E66</f>
        <v>0.69251538549665992</v>
      </c>
      <c r="O48" s="221">
        <f t="shared" ca="1" si="29"/>
        <v>0.70118386179785497</v>
      </c>
      <c r="P48" s="221">
        <f t="shared" ca="1" si="29"/>
        <v>0.70668081003562577</v>
      </c>
      <c r="Q48" s="221">
        <f t="shared" ca="1" si="29"/>
        <v>0.70929856020267357</v>
      </c>
      <c r="R48" s="221">
        <f t="shared" ca="1" si="29"/>
        <v>0.70919782707042023</v>
      </c>
      <c r="T48" s="211"/>
    </row>
    <row r="49" spans="2:21" x14ac:dyDescent="0.45">
      <c r="B49" s="198" t="s">
        <v>314</v>
      </c>
      <c r="C49" s="199">
        <f t="shared" si="28"/>
        <v>0</v>
      </c>
      <c r="D49" s="208"/>
      <c r="E49" s="201"/>
      <c r="F49" s="201"/>
      <c r="G49" s="201"/>
      <c r="H49" s="201"/>
      <c r="I49" s="201"/>
      <c r="L49" s="209" t="s">
        <v>387</v>
      </c>
      <c r="M49" s="192">
        <f>D41/D65</f>
        <v>3.1680737864875415</v>
      </c>
      <c r="N49" s="192">
        <f t="shared" ref="N49:R49" ca="1" si="30">E41/E65</f>
        <v>3.2521952411025019</v>
      </c>
      <c r="O49" s="192">
        <f t="shared" ca="1" si="30"/>
        <v>3.3465394674350337</v>
      </c>
      <c r="P49" s="192">
        <f t="shared" ca="1" si="30"/>
        <v>3.4092552898480899</v>
      </c>
      <c r="Q49" s="192">
        <f t="shared" ca="1" si="30"/>
        <v>3.4399554425915047</v>
      </c>
      <c r="R49" s="192">
        <f t="shared" ca="1" si="30"/>
        <v>3.4387638507851119</v>
      </c>
    </row>
    <row r="50" spans="2:21" x14ac:dyDescent="0.45">
      <c r="B50" s="198" t="s">
        <v>315</v>
      </c>
      <c r="C50" s="199">
        <f t="shared" si="28"/>
        <v>0.30233101094783288</v>
      </c>
      <c r="D50" s="208">
        <f>SUM(D45:D49)</f>
        <v>155393</v>
      </c>
      <c r="E50" s="208">
        <f t="shared" ref="E50:I50" si="31">SUM(E45:E49)</f>
        <v>165562.14690608025</v>
      </c>
      <c r="F50" s="208">
        <f t="shared" si="31"/>
        <v>182176.84877196781</v>
      </c>
      <c r="G50" s="208">
        <f t="shared" si="31"/>
        <v>201258.7601127057</v>
      </c>
      <c r="H50" s="208">
        <f t="shared" si="31"/>
        <v>221781.21751142805</v>
      </c>
      <c r="I50" s="208">
        <f t="shared" si="31"/>
        <v>243676.58589016492</v>
      </c>
      <c r="L50" s="209" t="s">
        <v>388</v>
      </c>
      <c r="M50" s="192">
        <f>D56/D65</f>
        <v>2.1680737864875415</v>
      </c>
      <c r="N50" s="192">
        <f t="shared" ref="N50:R50" ca="1" si="32">E56/E65</f>
        <v>2.2521952411025019</v>
      </c>
      <c r="O50" s="192">
        <f t="shared" ca="1" si="32"/>
        <v>2.3465394674350337</v>
      </c>
      <c r="P50" s="192">
        <f t="shared" ca="1" si="32"/>
        <v>2.4092552898480903</v>
      </c>
      <c r="Q50" s="192">
        <f t="shared" ca="1" si="32"/>
        <v>2.4399554425915051</v>
      </c>
      <c r="R50" s="192">
        <f t="shared" ca="1" si="32"/>
        <v>2.4387638507851119</v>
      </c>
    </row>
    <row r="51" spans="2:21" x14ac:dyDescent="0.45">
      <c r="C51" s="199"/>
      <c r="D51" s="212"/>
      <c r="E51" s="201"/>
      <c r="F51" s="201"/>
      <c r="G51" s="201"/>
      <c r="H51" s="201"/>
      <c r="I51" s="201"/>
      <c r="L51" s="206" t="s">
        <v>389</v>
      </c>
      <c r="M51" s="221">
        <f>D13/D15</f>
        <v>5.1744824672581329</v>
      </c>
      <c r="N51" s="221">
        <f t="shared" ref="N51:R51" ca="1" si="33">E13/E15</f>
        <v>10.075998300149367</v>
      </c>
      <c r="O51" s="221">
        <f t="shared" ca="1" si="33"/>
        <v>10.445477026690966</v>
      </c>
      <c r="P51" s="221">
        <f t="shared" ca="1" si="33"/>
        <v>9.6503812094909112</v>
      </c>
      <c r="Q51" s="221">
        <f t="shared" ca="1" si="33"/>
        <v>9.194997824137614</v>
      </c>
      <c r="R51" s="221">
        <f t="shared" ca="1" si="33"/>
        <v>8.9564632123499983</v>
      </c>
    </row>
    <row r="52" spans="2:21" x14ac:dyDescent="0.45">
      <c r="B52" s="198" t="s">
        <v>316</v>
      </c>
      <c r="C52" s="199"/>
      <c r="D52" s="212"/>
      <c r="E52" s="201"/>
      <c r="F52" s="201"/>
      <c r="G52" s="201"/>
      <c r="H52" s="201"/>
      <c r="I52" s="201"/>
      <c r="L52" s="202" t="s">
        <v>390</v>
      </c>
      <c r="M52" s="202"/>
      <c r="N52" s="202"/>
    </row>
    <row r="53" spans="2:21" x14ac:dyDescent="0.45">
      <c r="B53" s="198" t="s">
        <v>314</v>
      </c>
      <c r="C53" s="199">
        <f>D53/$D$8</f>
        <v>0.13064634433434569</v>
      </c>
      <c r="D53" s="208">
        <f>AMZN_BS!G30</f>
        <v>67150</v>
      </c>
      <c r="E53" s="208">
        <f ca="1">AMZN_BS!H30</f>
        <v>76034.364610368037</v>
      </c>
      <c r="F53" s="208">
        <f ca="1">AMZN_BS!I30</f>
        <v>100106.03230970807</v>
      </c>
      <c r="G53" s="208">
        <f ca="1">AMZN_BS!J30</f>
        <v>123702.35972501454</v>
      </c>
      <c r="H53" s="208">
        <f ca="1">AMZN_BS!K30</f>
        <v>147730.169892882</v>
      </c>
      <c r="I53" s="208">
        <f ca="1">AMZN_BS!L30</f>
        <v>171940.03319699527</v>
      </c>
      <c r="L53" s="206" t="s">
        <v>381</v>
      </c>
      <c r="M53" s="222">
        <f>M43</f>
        <v>-5.2958950004183018E-3</v>
      </c>
      <c r="N53" s="222">
        <f t="shared" ref="N53:R53" ca="1" si="34">N43</f>
        <v>1.1974940820429264E-2</v>
      </c>
      <c r="O53" s="222">
        <f t="shared" ca="1" si="34"/>
        <v>1.9910862288024123E-2</v>
      </c>
      <c r="P53" s="222">
        <f t="shared" ca="1" si="34"/>
        <v>2.0596435938668872E-2</v>
      </c>
      <c r="Q53" s="222">
        <f t="shared" ca="1" si="34"/>
        <v>2.1396139967846749E-2</v>
      </c>
      <c r="R53" s="222">
        <f t="shared" ca="1" si="34"/>
        <v>2.2294914568254651E-2</v>
      </c>
      <c r="T53" s="211"/>
      <c r="U53" s="174" t="s">
        <v>391</v>
      </c>
    </row>
    <row r="54" spans="2:21" x14ac:dyDescent="0.45">
      <c r="B54" s="198" t="s">
        <v>317</v>
      </c>
      <c r="C54" s="199">
        <f>D54/$D$8</f>
        <v>0.18305858364965377</v>
      </c>
      <c r="D54" s="208">
        <f>AMZN_BS!G29+AMZN_BS!G31</f>
        <v>94089</v>
      </c>
      <c r="E54" s="208">
        <f>AMZN_BS!H29+AMZN_BS!H31</f>
        <v>102414.30245099998</v>
      </c>
      <c r="F54" s="208">
        <f>AMZN_BS!I29+AMZN_BS!I31</f>
        <v>105200.73883369798</v>
      </c>
      <c r="G54" s="208">
        <f>AMZN_BS!J29+AMZN_BS!J31</f>
        <v>107115.8593114501</v>
      </c>
      <c r="H54" s="208">
        <f>AMZN_BS!K29+AMZN_BS!K31</f>
        <v>107924.83969383144</v>
      </c>
      <c r="I54" s="208">
        <f>AMZN_BS!L29+AMZN_BS!L31</f>
        <v>107377.13394435708</v>
      </c>
      <c r="L54" s="206" t="s">
        <v>62</v>
      </c>
      <c r="M54" s="221">
        <f>M37</f>
        <v>1.1108942562273734</v>
      </c>
      <c r="N54" s="221">
        <f t="shared" ref="N54:R54" ca="1" si="35">N37</f>
        <v>1.1265924937285914</v>
      </c>
      <c r="O54" s="221">
        <f t="shared" ca="1" si="35"/>
        <v>1.1256141500654906</v>
      </c>
      <c r="P54" s="221">
        <f t="shared" ca="1" si="35"/>
        <v>1.1284552400956702</v>
      </c>
      <c r="Q54" s="221">
        <f t="shared" ca="1" si="35"/>
        <v>1.1341291240078124</v>
      </c>
      <c r="R54" s="221">
        <f t="shared" ca="1" si="35"/>
        <v>1.1420168660993073</v>
      </c>
      <c r="U54" s="174" t="s">
        <v>392</v>
      </c>
    </row>
    <row r="55" spans="2:21" x14ac:dyDescent="0.45">
      <c r="B55" s="214" t="s">
        <v>318</v>
      </c>
      <c r="C55" s="223">
        <f>D55/$D$8</f>
        <v>0.31370492798399946</v>
      </c>
      <c r="D55" s="215">
        <f>SUM(D53:D54)</f>
        <v>161239</v>
      </c>
      <c r="E55" s="216">
        <f t="shared" ref="E55:I55" ca="1" si="36">SUM(E53:E54)</f>
        <v>178448.667061368</v>
      </c>
      <c r="F55" s="216">
        <f t="shared" ca="1" si="36"/>
        <v>205306.77114340605</v>
      </c>
      <c r="G55" s="216">
        <f t="shared" ca="1" si="36"/>
        <v>230818.21903646464</v>
      </c>
      <c r="H55" s="216">
        <f t="shared" ca="1" si="36"/>
        <v>255655.00958671345</v>
      </c>
      <c r="I55" s="216">
        <f t="shared" ca="1" si="36"/>
        <v>279317.16714135231</v>
      </c>
      <c r="L55" s="206" t="s">
        <v>387</v>
      </c>
      <c r="M55" s="221">
        <f>M49</f>
        <v>3.1680737864875415</v>
      </c>
      <c r="N55" s="221">
        <f t="shared" ref="N55:R55" ca="1" si="37">N49</f>
        <v>3.2521952411025019</v>
      </c>
      <c r="O55" s="221">
        <f t="shared" ca="1" si="37"/>
        <v>3.3465394674350337</v>
      </c>
      <c r="P55" s="221">
        <f t="shared" ca="1" si="37"/>
        <v>3.4092552898480899</v>
      </c>
      <c r="Q55" s="221">
        <f t="shared" ca="1" si="37"/>
        <v>3.4399554425915047</v>
      </c>
      <c r="R55" s="221">
        <f t="shared" ca="1" si="37"/>
        <v>3.4387638507851119</v>
      </c>
      <c r="U55" s="174" t="s">
        <v>393</v>
      </c>
    </row>
    <row r="56" spans="2:21" x14ac:dyDescent="0.45">
      <c r="B56" s="204" t="s">
        <v>319</v>
      </c>
      <c r="C56" s="224">
        <f>D56/$D$8</f>
        <v>0.61603593893183239</v>
      </c>
      <c r="D56" s="225">
        <f>D50+D55</f>
        <v>316632</v>
      </c>
      <c r="E56" s="205">
        <f t="shared" ref="E56:I56" ca="1" si="38">E50+E55</f>
        <v>344010.81396744825</v>
      </c>
      <c r="F56" s="205">
        <f t="shared" ca="1" si="38"/>
        <v>387483.61991537386</v>
      </c>
      <c r="G56" s="205">
        <f t="shared" ca="1" si="38"/>
        <v>432076.97914917034</v>
      </c>
      <c r="H56" s="205">
        <f t="shared" ca="1" si="38"/>
        <v>477436.22709814151</v>
      </c>
      <c r="I56" s="205">
        <f t="shared" ca="1" si="38"/>
        <v>522993.75303151726</v>
      </c>
      <c r="L56" s="206" t="s">
        <v>382</v>
      </c>
      <c r="M56" s="219">
        <f>M53*M54*M55</f>
        <v>-1.8638346240490815E-2</v>
      </c>
      <c r="N56" s="219">
        <f t="shared" ref="N56:R56" ca="1" si="39">N53*N54*N55</f>
        <v>4.3874970664566901E-2</v>
      </c>
      <c r="O56" s="219">
        <f t="shared" ca="1" si="39"/>
        <v>7.5002469633162594E-2</v>
      </c>
      <c r="P56" s="219">
        <f t="shared" ca="1" si="39"/>
        <v>7.9238443502822276E-2</v>
      </c>
      <c r="Q56" s="219">
        <f t="shared" ca="1" si="39"/>
        <v>8.3473908817928544E-2</v>
      </c>
      <c r="R56" s="219">
        <f t="shared" ca="1" si="39"/>
        <v>8.7554945716845106E-2</v>
      </c>
    </row>
    <row r="57" spans="2:21" x14ac:dyDescent="0.45">
      <c r="C57" s="218"/>
      <c r="E57" s="213"/>
      <c r="F57" s="213"/>
      <c r="G57" s="213"/>
      <c r="H57" s="213"/>
      <c r="I57" s="213"/>
      <c r="L57" s="173"/>
      <c r="M57" s="226"/>
      <c r="N57" s="174"/>
    </row>
    <row r="58" spans="2:21" x14ac:dyDescent="0.45">
      <c r="B58" s="198" t="s">
        <v>320</v>
      </c>
      <c r="C58" s="218"/>
      <c r="E58" s="213"/>
      <c r="F58" s="213"/>
      <c r="G58" s="213"/>
      <c r="H58" s="213"/>
      <c r="I58" s="213"/>
      <c r="L58" s="173"/>
      <c r="M58" s="226"/>
      <c r="N58" s="174"/>
    </row>
    <row r="59" spans="2:21" x14ac:dyDescent="0.45">
      <c r="B59" s="204" t="s">
        <v>394</v>
      </c>
      <c r="C59" s="218"/>
      <c r="E59" s="213"/>
      <c r="F59" s="213"/>
      <c r="G59" s="213"/>
      <c r="H59" s="213"/>
      <c r="I59" s="213"/>
      <c r="L59" s="173"/>
      <c r="M59" s="226"/>
      <c r="N59" s="174"/>
    </row>
    <row r="60" spans="2:21" x14ac:dyDescent="0.45">
      <c r="B60" s="198" t="s">
        <v>321</v>
      </c>
      <c r="C60" s="218"/>
      <c r="E60" s="213"/>
      <c r="F60" s="213"/>
      <c r="G60" s="213"/>
      <c r="H60" s="213"/>
      <c r="I60" s="213"/>
      <c r="L60" s="173"/>
      <c r="M60" s="227"/>
      <c r="N60" s="174"/>
    </row>
    <row r="61" spans="2:21" x14ac:dyDescent="0.45">
      <c r="B61" s="198" t="s">
        <v>322</v>
      </c>
      <c r="C61" s="218"/>
      <c r="E61" s="213"/>
      <c r="F61" s="213"/>
      <c r="G61" s="213"/>
      <c r="H61" s="213"/>
      <c r="I61" s="213"/>
      <c r="L61" s="173"/>
      <c r="M61" s="228"/>
      <c r="N61" s="174"/>
    </row>
    <row r="62" spans="2:21" x14ac:dyDescent="0.45">
      <c r="B62" s="198" t="s">
        <v>323</v>
      </c>
      <c r="C62" s="199">
        <f>D62/$D$8</f>
        <v>0.13101016959704892</v>
      </c>
      <c r="D62" s="208">
        <f>AMZN_BS!G36+AMZN_BS!G38+AMZN_BS!G37</f>
        <v>67337</v>
      </c>
      <c r="E62" s="201">
        <f>AMZN_BS!H36+AMZN_BS!H38+AMZN_BS!H37</f>
        <v>67337</v>
      </c>
      <c r="F62" s="201">
        <f>AMZN_BS!I36+AMZN_BS!I38+AMZN_BS!I37</f>
        <v>67337</v>
      </c>
      <c r="G62" s="201">
        <f>AMZN_BS!J36+AMZN_BS!J38+AMZN_BS!J37</f>
        <v>67337</v>
      </c>
      <c r="H62" s="201">
        <f>AMZN_BS!K36+AMZN_BS!K38+AMZN_BS!K37</f>
        <v>67337</v>
      </c>
      <c r="I62" s="201">
        <f>AMZN_BS!L36+AMZN_BS!L38+AMZN_BS!L37</f>
        <v>67337</v>
      </c>
      <c r="N62" s="174"/>
    </row>
    <row r="63" spans="2:21" x14ac:dyDescent="0.45">
      <c r="B63" s="198" t="s">
        <v>324</v>
      </c>
      <c r="C63" s="199">
        <f>D63/$D$8</f>
        <v>0.16185943893085958</v>
      </c>
      <c r="D63" s="208">
        <f>AMZN_BS!G40</f>
        <v>83193</v>
      </c>
      <c r="E63" s="201">
        <f ca="1">AMZN_BS!H40</f>
        <v>89894.667819761031</v>
      </c>
      <c r="F63" s="201">
        <f ca="1">AMZN_BS!I40</f>
        <v>102279.81149169686</v>
      </c>
      <c r="G63" s="201">
        <f ca="1">AMZN_BS!J40</f>
        <v>116490.47129410428</v>
      </c>
      <c r="H63" s="201">
        <f ca="1">AMZN_BS!K40</f>
        <v>132824.15812767914</v>
      </c>
      <c r="I63" s="201">
        <f ca="1">AMZN_BS!L40</f>
        <v>151600.34658158876</v>
      </c>
      <c r="N63" s="174"/>
    </row>
    <row r="64" spans="2:21" x14ac:dyDescent="0.45">
      <c r="B64" s="198" t="s">
        <v>325</v>
      </c>
      <c r="C64" s="199">
        <f>D64/$D$8</f>
        <v>-8.7298607152376632E-3</v>
      </c>
      <c r="D64" s="208">
        <f>AMZN_BS!G39</f>
        <v>-4487</v>
      </c>
      <c r="E64" s="201">
        <f>AMZN_BS!H39</f>
        <v>-4487</v>
      </c>
      <c r="F64" s="201">
        <f>AMZN_BS!I39</f>
        <v>-4487</v>
      </c>
      <c r="G64" s="201">
        <f>AMZN_BS!J39</f>
        <v>-4487</v>
      </c>
      <c r="H64" s="201">
        <f>AMZN_BS!K39</f>
        <v>-4487</v>
      </c>
      <c r="I64" s="201">
        <f>AMZN_BS!L39</f>
        <v>-4487</v>
      </c>
      <c r="N64" s="174"/>
    </row>
    <row r="65" spans="2:14" x14ac:dyDescent="0.45">
      <c r="B65" s="229" t="s">
        <v>326</v>
      </c>
      <c r="C65" s="230">
        <f>D65/$D$8</f>
        <v>0.28413974781267087</v>
      </c>
      <c r="D65" s="231">
        <f>SUM(D62:D64)</f>
        <v>146043</v>
      </c>
      <c r="E65" s="232">
        <f t="shared" ref="E65:I65" ca="1" si="40">SUM(E62:E64)</f>
        <v>152744.66781976103</v>
      </c>
      <c r="F65" s="232">
        <f t="shared" ca="1" si="40"/>
        <v>165129.81149169686</v>
      </c>
      <c r="G65" s="232">
        <f t="shared" ca="1" si="40"/>
        <v>179340.4712941043</v>
      </c>
      <c r="H65" s="232">
        <f t="shared" ca="1" si="40"/>
        <v>195674.15812767914</v>
      </c>
      <c r="I65" s="232">
        <f t="shared" ca="1" si="40"/>
        <v>214450.34658158876</v>
      </c>
      <c r="N65" s="174"/>
    </row>
    <row r="66" spans="2:14" x14ac:dyDescent="0.45">
      <c r="B66" s="204" t="s">
        <v>327</v>
      </c>
      <c r="C66" s="224">
        <f>D66/$D$8</f>
        <v>0.90017568674450321</v>
      </c>
      <c r="D66" s="205">
        <f>D56+D65</f>
        <v>462675</v>
      </c>
      <c r="E66" s="205">
        <f ca="1">E56+E65</f>
        <v>496755.48178720928</v>
      </c>
      <c r="F66" s="205">
        <f t="shared" ref="F66:I66" ca="1" si="41">F56+F65</f>
        <v>552613.43140707072</v>
      </c>
      <c r="G66" s="205">
        <f t="shared" ca="1" si="41"/>
        <v>611417.45044327457</v>
      </c>
      <c r="H66" s="205">
        <f t="shared" ca="1" si="41"/>
        <v>673110.38522582059</v>
      </c>
      <c r="I66" s="205">
        <f t="shared" ca="1" si="41"/>
        <v>737444.09961310599</v>
      </c>
      <c r="N66" s="174"/>
    </row>
    <row r="67" spans="2:14" x14ac:dyDescent="0.45">
      <c r="E67" s="174"/>
      <c r="N67" s="174"/>
    </row>
    <row r="68" spans="2:14" x14ac:dyDescent="0.45">
      <c r="E68" s="174"/>
    </row>
    <row r="69" spans="2:14" x14ac:dyDescent="0.45">
      <c r="E69" s="174"/>
    </row>
    <row r="70" spans="2:14" x14ac:dyDescent="0.45">
      <c r="E70" s="174"/>
    </row>
    <row r="71" spans="2:14" x14ac:dyDescent="0.45">
      <c r="E71" s="174"/>
    </row>
    <row r="72" spans="2:14" x14ac:dyDescent="0.45">
      <c r="E72" s="174"/>
    </row>
    <row r="73" spans="2:14" x14ac:dyDescent="0.45">
      <c r="E73" s="174"/>
    </row>
    <row r="74" spans="2:14" x14ac:dyDescent="0.45">
      <c r="E74" s="174"/>
    </row>
    <row r="75" spans="2:14" x14ac:dyDescent="0.45">
      <c r="E75" s="174"/>
    </row>
    <row r="76" spans="2:14" x14ac:dyDescent="0.45">
      <c r="E76" s="174"/>
    </row>
    <row r="77" spans="2:14" x14ac:dyDescent="0.45">
      <c r="E77" s="174"/>
    </row>
    <row r="78" spans="2:14" x14ac:dyDescent="0.45">
      <c r="E78" s="174"/>
    </row>
    <row r="79" spans="2:14" x14ac:dyDescent="0.45">
      <c r="E79" s="174"/>
    </row>
    <row r="80" spans="2:14" x14ac:dyDescent="0.45">
      <c r="E80" s="174"/>
    </row>
    <row r="81" spans="14:14" s="174" customFormat="1" x14ac:dyDescent="0.45">
      <c r="N81" s="175"/>
    </row>
    <row r="82" spans="14:14" s="174" customFormat="1" x14ac:dyDescent="0.45">
      <c r="N82" s="175"/>
    </row>
    <row r="83" spans="14:14" s="174" customFormat="1" x14ac:dyDescent="0.45">
      <c r="N83" s="175"/>
    </row>
    <row r="84" spans="14:14" s="174" customFormat="1" x14ac:dyDescent="0.45">
      <c r="N84" s="175"/>
    </row>
  </sheetData>
  <sheetProtection formatCells="0" formatColumns="0" formatRows="0" insertColumns="0" insertRows="0" insertHyperlinks="0" deleteColumns="0" deleteRows="0" sort="0" autoFilter="0" pivotTables="0"/>
  <pageMargins left="0.25" right="0.25" top="0.75" bottom="0.75" header="0.3" footer="0.3"/>
  <pageSetup scale="45" orientation="landscape" horizontalDpi="0" verticalDpi="0"/>
  <extLst>
    <ext xmlns:x14="http://schemas.microsoft.com/office/spreadsheetml/2009/9/main" uri="{05C60535-1F16-4fd2-B633-F4F36F0B64E0}">
      <x14:sparklineGroups xmlns:xm="http://schemas.microsoft.com/office/excel/2006/main">
        <x14:sparklineGroup displayEmptyCellsAs="gap" xr2:uid="{86FA5E6E-B387-481A-AEB2-5A50BFDE43A6}">
          <x14:colorSeries rgb="FF376092"/>
          <x14:colorNegative rgb="FFD00000"/>
          <x14:colorAxis rgb="FF000000"/>
          <x14:colorMarkers rgb="FFD00000"/>
          <x14:colorFirst rgb="FFD00000"/>
          <x14:colorLast rgb="FFD00000"/>
          <x14:colorHigh rgb="FFD00000"/>
          <x14:colorLow rgb="FFD00000"/>
          <x14:sparklines>
            <x14:sparkline>
              <xm:f>Ratios!M28:R28</xm:f>
              <xm:sqref>S28</xm:sqref>
            </x14:sparkline>
            <x14:sparkline>
              <xm:f>Ratios!M29:R29</xm:f>
              <xm:sqref>S29</xm:sqref>
            </x14:sparkline>
            <x14:sparkline>
              <xm:f>Ratios!M30:R30</xm:f>
              <xm:sqref>S30</xm:sqref>
            </x14:sparkline>
            <x14:sparkline>
              <xm:f>Ratios!M31:R31</xm:f>
              <xm:sqref>S31</xm:sqref>
            </x14:sparkline>
            <x14:sparkline>
              <xm:f>Ratios!M32:R32</xm:f>
              <xm:sqref>S32</xm:sqref>
            </x14:sparkline>
            <x14:sparkline>
              <xm:f>Ratios!M33:R33</xm:f>
              <xm:sqref>S33</xm:sqref>
            </x14:sparkline>
            <x14:sparkline>
              <xm:f>Ratios!M34:R34</xm:f>
              <xm:sqref>S34</xm:sqref>
            </x14:sparkline>
            <x14:sparkline>
              <xm:f>Ratios!M35:R35</xm:f>
              <xm:sqref>S35</xm:sqref>
            </x14:sparkline>
            <x14:sparkline>
              <xm:f>Ratios!M36:R36</xm:f>
              <xm:sqref>S36</xm:sqref>
            </x14:sparkline>
            <x14:sparkline>
              <xm:f>Ratios!M37:R37</xm:f>
              <xm:sqref>S37</xm:sqref>
            </x14:sparkline>
            <x14:sparkline>
              <xm:f>Ratios!M38:R38</xm:f>
              <xm:sqref>S38</xm:sqref>
            </x14:sparkline>
            <x14:sparkline>
              <xm:f>Ratios!M39:R39</xm:f>
              <xm:sqref>S39</xm:sqref>
            </x14:sparkline>
            <x14:sparkline>
              <xm:f>Ratios!M40:R40</xm:f>
              <xm:sqref>S40</xm:sqref>
            </x14:sparkline>
            <x14:sparkline>
              <xm:f>Ratios!M41:R41</xm:f>
              <xm:sqref>S41</xm:sqref>
            </x14:sparkline>
            <x14:sparkline>
              <xm:f>Ratios!M42:R42</xm:f>
              <xm:sqref>S42</xm:sqref>
            </x14:sparkline>
            <x14:sparkline>
              <xm:f>Ratios!M43:R43</xm:f>
              <xm:sqref>S43</xm:sqref>
            </x14:sparkline>
            <x14:sparkline>
              <xm:f>Ratios!M44:R44</xm:f>
              <xm:sqref>S44</xm:sqref>
            </x14:sparkline>
            <x14:sparkline>
              <xm:f>Ratios!M45:R45</xm:f>
              <xm:sqref>S45</xm:sqref>
            </x14:sparkline>
            <x14:sparkline>
              <xm:f>Ratios!M46:R46</xm:f>
              <xm:sqref>S46</xm:sqref>
            </x14:sparkline>
            <x14:sparkline>
              <xm:f>Ratios!M47:R47</xm:f>
              <xm:sqref>S47</xm:sqref>
            </x14:sparkline>
            <x14:sparkline>
              <xm:f>Ratios!M48:R48</xm:f>
              <xm:sqref>S48</xm:sqref>
            </x14:sparkline>
            <x14:sparkline>
              <xm:f>Ratios!M49:R49</xm:f>
              <xm:sqref>S49</xm:sqref>
            </x14:sparkline>
            <x14:sparkline>
              <xm:f>Ratios!M50:R50</xm:f>
              <xm:sqref>S50</xm:sqref>
            </x14:sparkline>
            <x14:sparkline>
              <xm:f>Ratios!M51:R51</xm:f>
              <xm:sqref>S51</xm:sqref>
            </x14:sparkline>
            <x14:sparkline>
              <xm:f>Ratios!M52:R52</xm:f>
              <xm:sqref>S52</xm:sqref>
            </x14:sparkline>
            <x14:sparkline>
              <xm:f>Ratios!M53:R53</xm:f>
              <xm:sqref>S53</xm:sqref>
            </x14:sparkline>
            <x14:sparkline>
              <xm:f>Ratios!M54:R54</xm:f>
              <xm:sqref>S54</xm:sqref>
            </x14:sparkline>
            <x14:sparkline>
              <xm:f>Ratios!M55:R55</xm:f>
              <xm:sqref>S55</xm:sqref>
            </x14:sparkline>
            <x14:sparkline>
              <xm:f>Ratios!M56:R56</xm:f>
              <xm:sqref>S56</xm:sqref>
            </x14:sparkline>
          </x14:sparklines>
        </x14:sparklineGroup>
        <x14:sparklineGroup displayEmptyCellsAs="gap" negative="1" xr2:uid="{D34A32A9-E33E-4337-AE97-6398D0A4C07D}">
          <x14:colorSeries rgb="FF376092"/>
          <x14:colorNegative rgb="FFD00000"/>
          <x14:colorAxis rgb="FF000000"/>
          <x14:colorMarkers rgb="FFD00000"/>
          <x14:colorFirst rgb="FFD00000"/>
          <x14:colorLast rgb="FFD00000"/>
          <x14:colorHigh rgb="FFD00000"/>
          <x14:colorLow rgb="FFD00000"/>
          <x14:sparklines>
            <x14:sparkline>
              <xm:f>Ratios!D8:I8</xm:f>
              <xm:sqref>J8</xm:sqref>
            </x14:sparkline>
            <x14:sparkline>
              <xm:f>Ratios!D9:I9</xm:f>
              <xm:sqref>J9</xm:sqref>
            </x14:sparkline>
            <x14:sparkline>
              <xm:f>Ratios!D10:I10</xm:f>
              <xm:sqref>J10</xm:sqref>
            </x14:sparkline>
            <x14:sparkline>
              <xm:f>Ratios!D11:I11</xm:f>
              <xm:sqref>J11</xm:sqref>
            </x14:sparkline>
            <x14:sparkline>
              <xm:f>Ratios!D12:I12</xm:f>
              <xm:sqref>J12</xm:sqref>
            </x14:sparkline>
            <x14:sparkline>
              <xm:f>Ratios!D13:I13</xm:f>
              <xm:sqref>J13</xm:sqref>
            </x14:sparkline>
            <x14:sparkline>
              <xm:f>Ratios!D14:I14</xm:f>
              <xm:sqref>J14</xm:sqref>
            </x14:sparkline>
            <x14:sparkline>
              <xm:f>Ratios!D15:I15</xm:f>
              <xm:sqref>J15</xm:sqref>
            </x14:sparkline>
            <x14:sparkline>
              <xm:f>Ratios!D16:I16</xm:f>
              <xm:sqref>J16</xm:sqref>
            </x14:sparkline>
            <x14:sparkline>
              <xm:f>Ratios!D17:I17</xm:f>
              <xm:sqref>J17</xm:sqref>
            </x14:sparkline>
            <x14:sparkline>
              <xm:f>Ratios!D18:I18</xm:f>
              <xm:sqref>J18</xm:sqref>
            </x14:sparkline>
            <x14:sparkline>
              <xm:f>Ratios!D19:I19</xm:f>
              <xm:sqref>J19</xm:sqref>
            </x14:sparkline>
            <x14:sparkline>
              <xm:f>Ratios!D20:I20</xm:f>
              <xm:sqref>J20</xm:sqref>
            </x14:sparkline>
          </x14:sparklines>
        </x14:sparklineGroup>
        <x14:sparklineGroup displayEmptyCellsAs="gap" negative="1" xr2:uid="{FA0F6C67-3BAF-4A19-87E5-331F4DF42F19}">
          <x14:colorSeries rgb="FF376092"/>
          <x14:colorNegative rgb="FFD00000"/>
          <x14:colorAxis rgb="FF000000"/>
          <x14:colorMarkers rgb="FFD00000"/>
          <x14:colorFirst rgb="FFD00000"/>
          <x14:colorLast rgb="FFD00000"/>
          <x14:colorHigh rgb="FFD00000"/>
          <x14:colorLow rgb="FFD00000"/>
          <x14:sparklines>
            <x14:sparkline>
              <xm:f>Ratios!M8:R8</xm:f>
              <xm:sqref>S8</xm:sqref>
            </x14:sparkline>
            <x14:sparkline>
              <xm:f>Ratios!M9:R9</xm:f>
              <xm:sqref>S9</xm:sqref>
            </x14:sparkline>
            <x14:sparkline>
              <xm:f>Ratios!M10:R10</xm:f>
              <xm:sqref>S10</xm:sqref>
            </x14:sparkline>
            <x14:sparkline>
              <xm:f>Ratios!M11:R11</xm:f>
              <xm:sqref>S11</xm:sqref>
            </x14:sparkline>
            <x14:sparkline>
              <xm:f>Ratios!M12:R12</xm:f>
              <xm:sqref>S12</xm:sqref>
            </x14:sparkline>
            <x14:sparkline>
              <xm:f>Ratios!M13:R13</xm:f>
              <xm:sqref>S13</xm:sqref>
            </x14:sparkline>
            <x14:sparkline>
              <xm:f>Ratios!M14:R14</xm:f>
              <xm:sqref>S14</xm:sqref>
            </x14:sparkline>
            <x14:sparkline>
              <xm:f>Ratios!M15:R15</xm:f>
              <xm:sqref>S15</xm:sqref>
            </x14:sparkline>
            <x14:sparkline>
              <xm:f>Ratios!M16:R16</xm:f>
              <xm:sqref>S16</xm:sqref>
            </x14:sparkline>
            <x14:sparkline>
              <xm:f>Ratios!M17:R17</xm:f>
              <xm:sqref>S17</xm:sqref>
            </x14:sparkline>
            <x14:sparkline>
              <xm:f>Ratios!M18:R18</xm:f>
              <xm:sqref>S18</xm:sqref>
            </x14:sparkline>
            <x14:sparkline>
              <xm:f>Ratios!M19:R19</xm:f>
              <xm:sqref>S19</xm:sqref>
            </x14:sparkline>
            <x14:sparkline>
              <xm:f>Ratios!M20:R20</xm:f>
              <xm:sqref>S20</xm:sqref>
            </x14:sparkline>
            <x14:sparkline>
              <xm:f>Ratios!M21:R21</xm:f>
              <xm:sqref>S21</xm:sqref>
            </x14:sparkline>
            <x14:sparkline>
              <xm:f>Ratios!M22:R22</xm:f>
              <xm:sqref>S22</xm:sqref>
            </x14:sparkline>
            <x14:sparkline>
              <xm:f>Ratios!M23:R23</xm:f>
              <xm:sqref>S23</xm:sqref>
            </x14:sparkline>
          </x14:sparklines>
        </x14:sparklineGroup>
      </x14:sparklineGroup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CD3B-0805-4BAF-9DE0-FC214647D111}">
  <dimension ref="A1"/>
  <sheetViews>
    <sheetView showGridLines="0" workbookViewId="0"/>
  </sheetViews>
  <sheetFormatPr defaultRowHeight="14.25" x14ac:dyDescent="0.45"/>
  <sheetData>
    <row r="1" spans="1:1" x14ac:dyDescent="0.45">
      <c r="A1" t="s">
        <v>537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FdsFormulaCache xmlns="urn:fdsformulacache" version="2" timestamp="1658683423"><![CDATA[{"AMZN^FE_ESTIMATE(DEP_AMORT_EXP,MEAN,ANN_ROLL,2022,NOW,,,'')":38716.438,"AMZN^FE_ESTIMATE(DEP_AMORT_EXP,MEAN,ANN_ROLL,2023,NOW,,,'')":44728.72,"AMZN^FE_ESTIMATE(DEP_AMORT_EXP,MEAN,ANN_ROLL,2024,NOW,,,'')":52136.97,"AMZN^FE_ESTIMATE(DEP_AMORT_EXP,MEAN,ANN_ROLL,2025,NOW,,,'')":55507.54,"AMZN^FE_ESTIMATE(DEP_AMORT_EXP,MEAN,ANN_ROLL,2026,NOW,,,'')":58234.55,"AMZN^FE_ESTIMATE(DEP_AMORT_EXP,MEAN,ANN_ROLL,2027,NOW,,,'')":64625.0,"AMZN^FE_ESTIMATE(CAPEX,MEAN,ANN_ROLL,2022,NOW,,,'')":61050.723,"AMZN^FE_ESTIMATE(CAPEX,MEAN,ANN_ROLL,2023,NOW,,,'')":62598.887,"AMZN^FE_ESTIMATE(CAPEX,MEAN,ANN_ROLL,2024,NOW,,,'')":64481.453,"AMZN^FE_ESTIMATE(CAPEX,MEAN,ANN_ROLL,2025,NOW,,,'')":69493.41,"AMZN^FE_ESTIMATE(CAPEX,MEAN,ANN_ROLL,2026,NOW,,,'')":65697.0,"AMZN^FE_ESTIMATE(CAPEX,MEAN,ANN_ROLL,2027,NOW,,,'')":69051.93}]]></FdsFormulaCache>
</file>

<file path=customXml/item2.xml>��
</file>

<file path=customXml/itemProps1.xml><?xml version="1.0" encoding="utf-8"?>
<ds:datastoreItem xmlns:ds="http://schemas.openxmlformats.org/officeDocument/2006/customXml" ds:itemID="{A526D3C0-3EFD-4AAE-9122-7BC4D1911E20}">
  <ds:schemaRefs>
    <ds:schemaRef ds:uri="urn:fdsformulacache"/>
  </ds:schemaRefs>
</ds:datastoreItem>
</file>

<file path=customXml/itemProps2.xml><?xml version="1.0" encoding="utf-8"?>
<ds:datastoreItem xmlns:ds="http://schemas.openxmlformats.org/officeDocument/2006/customXml" ds:itemID="{56788BCF-B582-4AF5-8D64-82DA26F771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Outputs &gt;&gt;</vt:lpstr>
      <vt:lpstr>Cover Sheet</vt:lpstr>
      <vt:lpstr>Valuartion Summary</vt:lpstr>
      <vt:lpstr>Valuation Summary</vt:lpstr>
      <vt:lpstr>Financials Summary</vt:lpstr>
      <vt:lpstr>Scenarios</vt:lpstr>
      <vt:lpstr>DCF</vt:lpstr>
      <vt:lpstr>Inputs &gt;&gt;</vt:lpstr>
      <vt:lpstr>AMZN_Revenue Build</vt:lpstr>
      <vt:lpstr>AMZN_IS</vt:lpstr>
      <vt:lpstr>AMZN_BS</vt:lpstr>
      <vt:lpstr>AMZN_CFS</vt:lpstr>
      <vt:lpstr>WACC</vt:lpstr>
      <vt:lpstr>Relative Valuation &amp; WACC</vt:lpstr>
      <vt:lpstr>Football Feild</vt:lpstr>
      <vt:lpstr>Main Competitors &amp; Acq</vt:lpstr>
      <vt:lpstr>Assuptions</vt:lpstr>
      <vt:lpstr>Ratios</vt:lpstr>
      <vt:lpstr>DCF!Print_Area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AMZN_Eq Research</dc:title>
  <dc:creator>Suraj Udasi</dc:creator>
  <cp:lastModifiedBy>Suraj Udasi</cp:lastModifiedBy>
  <cp:lastPrinted>2023-05-04T15:26:23Z</cp:lastPrinted>
  <dcterms:created xsi:type="dcterms:W3CDTF">2022-06-12T18:45:32Z</dcterms:created>
  <dcterms:modified xsi:type="dcterms:W3CDTF">2024-03-01T17:55:07Z</dcterms:modified>
</cp:coreProperties>
</file>