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53B5B0C-0A95-44CE-8367-2E0438879133}" xr6:coauthVersionLast="47" xr6:coauthVersionMax="47" xr10:uidLastSave="{00000000-0000-0000-0000-000000000000}"/>
  <bookViews>
    <workbookView xWindow="-96" yWindow="0" windowWidth="11712" windowHeight="12336" tabRatio="726" xr2:uid="{00000000-000D-0000-FFFF-FFFF00000000}"/>
  </bookViews>
  <sheets>
    <sheet name="Trial" sheetId="20" r:id="rId1"/>
    <sheet name="BEAM GF" sheetId="11" r:id="rId2"/>
    <sheet name="2. Shear reinforcement" sheetId="19" r:id="rId3"/>
    <sheet name="BEAM 1F" sheetId="15" state="hidden" r:id="rId4"/>
    <sheet name="BEAM 2F" sheetId="16" state="hidden" r:id="rId5"/>
    <sheet name="BEAM RF" sheetId="17" state="hidden" r:id="rId6"/>
    <sheet name="BEAM SC" sheetId="18" state="hidden" r:id="rId7"/>
    <sheet name="column summary" sheetId="4" state="hidden" r:id="rId8"/>
  </sheets>
  <externalReferences>
    <externalReference r:id="rId9"/>
  </externalReferences>
  <definedNames>
    <definedName name="BeamArea." localSheetId="3">#REF!</definedName>
    <definedName name="BeamArea." localSheetId="4">#REF!</definedName>
    <definedName name="BeamArea." localSheetId="1">#REF!</definedName>
    <definedName name="BeamArea." localSheetId="5">#REF!</definedName>
    <definedName name="BeamArea." localSheetId="6">#REF!</definedName>
    <definedName name="BeamArea." localSheetId="0">#REF!</definedName>
    <definedName name="BeamArea.">#REF!</definedName>
    <definedName name="DIA12.">[1]Column!$E$5</definedName>
    <definedName name="DIA16.">[1]Column!$F$5</definedName>
    <definedName name="DIA20.">[1]Column!$G$5</definedName>
    <definedName name="DIA25." localSheetId="3">#REF!</definedName>
    <definedName name="DIA25." localSheetId="4">#REF!</definedName>
    <definedName name="DIA25." localSheetId="1">#REF!</definedName>
    <definedName name="DIA25." localSheetId="5">#REF!</definedName>
    <definedName name="DIA25." localSheetId="6">#REF!</definedName>
    <definedName name="DIA25." localSheetId="0">#REF!</definedName>
    <definedName name="DIA25.">#REF!</definedName>
    <definedName name="DIAA25.">[1]Column!$H$5</definedName>
    <definedName name="_xlnm.Print_Area" localSheetId="3">'BEAM 1F'!$A$1:$J$40</definedName>
    <definedName name="_xlnm.Print_Area" localSheetId="4">'BEAM 2F'!$A$1:$J$40</definedName>
    <definedName name="_xlnm.Print_Area" localSheetId="1">'BEAM GF'!$A$1:$J$18</definedName>
    <definedName name="_xlnm.Print_Area" localSheetId="5">'BEAM RF'!$A$1:$J$40</definedName>
    <definedName name="_xlnm.Print_Area" localSheetId="6">'BEAM SC'!$A$1:$J$40</definedName>
    <definedName name="_xlnm.Print_Area" localSheetId="7">'column summary'!$A$1:$N$42</definedName>
    <definedName name="_xlnm.Print_Area" localSheetId="0">Trial!$A$1:$J$31</definedName>
    <definedName name="_xlnm.Print_Titles" localSheetId="3">'BEAM 1F'!$2:$3</definedName>
    <definedName name="_xlnm.Print_Titles" localSheetId="4">'BEAM 2F'!$2:$3</definedName>
    <definedName name="_xlnm.Print_Titles" localSheetId="1">'BEAM GF'!$2:$3</definedName>
    <definedName name="_xlnm.Print_Titles" localSheetId="5">'BEAM RF'!$2:$3</definedName>
    <definedName name="_xlnm.Print_Titles" localSheetId="6">'BEAM SC'!$2:$3</definedName>
    <definedName name="_xlnm.Print_Titles" localSheetId="0">Trial!$2:$3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0" l="1"/>
  <c r="I30" i="20" s="1"/>
  <c r="C30" i="20"/>
  <c r="K30" i="20" s="1"/>
  <c r="H29" i="20"/>
  <c r="I29" i="20" s="1"/>
  <c r="I28" i="20"/>
  <c r="H28" i="20"/>
  <c r="K28" i="20" s="1"/>
  <c r="H26" i="20"/>
  <c r="I26" i="20" s="1"/>
  <c r="H25" i="20"/>
  <c r="I25" i="20" s="1"/>
  <c r="H24" i="20"/>
  <c r="C26" i="20" s="1"/>
  <c r="K26" i="20" s="1"/>
  <c r="H22" i="20"/>
  <c r="H21" i="20"/>
  <c r="I21" i="20" s="1"/>
  <c r="H20" i="20"/>
  <c r="I20" i="20" s="1"/>
  <c r="H48" i="20"/>
  <c r="I48" i="20" s="1"/>
  <c r="H47" i="20"/>
  <c r="I47" i="20" s="1"/>
  <c r="J41" i="20"/>
  <c r="D41" i="20"/>
  <c r="J39" i="20"/>
  <c r="K40" i="20" s="1"/>
  <c r="D39" i="20"/>
  <c r="E40" i="20" s="1"/>
  <c r="H16" i="20"/>
  <c r="K14" i="20" s="1"/>
  <c r="H15" i="20"/>
  <c r="I15" i="20" s="1"/>
  <c r="H14" i="20"/>
  <c r="C16" i="20" s="1"/>
  <c r="H12" i="20"/>
  <c r="I12" i="20" s="1"/>
  <c r="H11" i="20"/>
  <c r="K11" i="20" s="1"/>
  <c r="H10" i="20"/>
  <c r="I10" i="20" s="1"/>
  <c r="H8" i="20"/>
  <c r="I8" i="20" s="1"/>
  <c r="H7" i="20"/>
  <c r="K7" i="20" s="1"/>
  <c r="H6" i="20"/>
  <c r="C8" i="20" s="1"/>
  <c r="K8" i="20" l="1"/>
  <c r="K29" i="20"/>
  <c r="K21" i="20"/>
  <c r="C22" i="20"/>
  <c r="K22" i="20" s="1"/>
  <c r="K20" i="20"/>
  <c r="I22" i="20"/>
  <c r="I24" i="20"/>
  <c r="K24" i="20"/>
  <c r="K25" i="20"/>
  <c r="I14" i="20"/>
  <c r="K16" i="20"/>
  <c r="I6" i="20"/>
  <c r="K15" i="20"/>
  <c r="K6" i="20"/>
  <c r="I11" i="20"/>
  <c r="I7" i="20"/>
  <c r="C12" i="20"/>
  <c r="K12" i="20" s="1"/>
  <c r="I16" i="20"/>
  <c r="K10" i="20"/>
  <c r="N7" i="19" l="1"/>
  <c r="I7" i="19"/>
  <c r="F7" i="19"/>
  <c r="O7" i="19" s="1"/>
  <c r="H16" i="11"/>
  <c r="H15" i="11"/>
  <c r="K15" i="11" s="1"/>
  <c r="H14" i="11"/>
  <c r="H12" i="11"/>
  <c r="H11" i="11"/>
  <c r="K11" i="11" s="1"/>
  <c r="H10" i="11"/>
  <c r="H11" i="15"/>
  <c r="C35" i="15"/>
  <c r="C11" i="15"/>
  <c r="L37" i="16"/>
  <c r="K14" i="11" l="1"/>
  <c r="J7" i="19"/>
  <c r="K10" i="11"/>
  <c r="C16" i="11"/>
  <c r="K16" i="11" s="1"/>
  <c r="I15" i="11"/>
  <c r="I14" i="11"/>
  <c r="I16" i="11"/>
  <c r="I11" i="11"/>
  <c r="C12" i="11"/>
  <c r="K12" i="11" s="1"/>
  <c r="I10" i="11"/>
  <c r="I12" i="11"/>
  <c r="H35" i="18"/>
  <c r="H34" i="18"/>
  <c r="K34" i="18" s="1"/>
  <c r="H33" i="18"/>
  <c r="C35" i="18" s="1"/>
  <c r="H31" i="18"/>
  <c r="H30" i="18"/>
  <c r="K30" i="18" s="1"/>
  <c r="H29" i="18"/>
  <c r="K29" i="18" s="1"/>
  <c r="H23" i="18"/>
  <c r="H22" i="18"/>
  <c r="I22" i="18" s="1"/>
  <c r="H21" i="18"/>
  <c r="C23" i="18" s="1"/>
  <c r="H19" i="18"/>
  <c r="H18" i="18"/>
  <c r="K18" i="18" s="1"/>
  <c r="H17" i="18"/>
  <c r="C19" i="18" s="1"/>
  <c r="S15" i="18"/>
  <c r="T15" i="18" s="1"/>
  <c r="H15" i="18"/>
  <c r="I15" i="18" s="1"/>
  <c r="S14" i="18"/>
  <c r="T14" i="18" s="1"/>
  <c r="H14" i="18"/>
  <c r="I14" i="18" s="1"/>
  <c r="H13" i="18"/>
  <c r="C15" i="18" s="1"/>
  <c r="U8" i="18"/>
  <c r="O8" i="18"/>
  <c r="U6" i="18"/>
  <c r="V7" i="18" s="1"/>
  <c r="O6" i="18"/>
  <c r="P7" i="18" s="1"/>
  <c r="C31" i="17"/>
  <c r="C11" i="17"/>
  <c r="H13" i="17"/>
  <c r="I13" i="17" s="1"/>
  <c r="H14" i="17"/>
  <c r="I14" i="17" s="1"/>
  <c r="K14" i="17"/>
  <c r="H15" i="17"/>
  <c r="I15" i="17"/>
  <c r="H17" i="17"/>
  <c r="C19" i="17" s="1"/>
  <c r="K19" i="17" s="1"/>
  <c r="I17" i="17"/>
  <c r="K17" i="17"/>
  <c r="H18" i="17"/>
  <c r="I18" i="17" s="1"/>
  <c r="K18" i="17"/>
  <c r="H19" i="17"/>
  <c r="I19" i="17"/>
  <c r="H21" i="17"/>
  <c r="K21" i="17" s="1"/>
  <c r="I21" i="17"/>
  <c r="H22" i="17"/>
  <c r="I22" i="17" s="1"/>
  <c r="H23" i="17"/>
  <c r="I23" i="17" s="1"/>
  <c r="H39" i="17"/>
  <c r="H38" i="17"/>
  <c r="K38" i="17" s="1"/>
  <c r="H37" i="17"/>
  <c r="C39" i="17" s="1"/>
  <c r="H35" i="17"/>
  <c r="H34" i="17"/>
  <c r="K34" i="17" s="1"/>
  <c r="H33" i="17"/>
  <c r="C35" i="17" s="1"/>
  <c r="H31" i="17"/>
  <c r="H30" i="17"/>
  <c r="K30" i="17" s="1"/>
  <c r="H29" i="17"/>
  <c r="K29" i="17" s="1"/>
  <c r="H27" i="17"/>
  <c r="H26" i="17"/>
  <c r="K26" i="17" s="1"/>
  <c r="H25" i="17"/>
  <c r="K25" i="17" s="1"/>
  <c r="H11" i="17"/>
  <c r="H10" i="17"/>
  <c r="K10" i="17" s="1"/>
  <c r="H9" i="17"/>
  <c r="C23" i="17" l="1"/>
  <c r="I26" i="17"/>
  <c r="I21" i="18"/>
  <c r="K22" i="18"/>
  <c r="C27" i="17"/>
  <c r="K35" i="18"/>
  <c r="I34" i="18"/>
  <c r="K33" i="18"/>
  <c r="I35" i="18"/>
  <c r="I33" i="18"/>
  <c r="I29" i="18"/>
  <c r="I30" i="18"/>
  <c r="C31" i="18"/>
  <c r="K31" i="18" s="1"/>
  <c r="I31" i="18"/>
  <c r="K23" i="18"/>
  <c r="K21" i="18"/>
  <c r="I23" i="18"/>
  <c r="K19" i="18"/>
  <c r="K17" i="18"/>
  <c r="I18" i="18"/>
  <c r="I17" i="18"/>
  <c r="I19" i="18"/>
  <c r="K14" i="18"/>
  <c r="K15" i="18"/>
  <c r="I13" i="18"/>
  <c r="K13" i="18"/>
  <c r="K27" i="17"/>
  <c r="K11" i="17"/>
  <c r="K23" i="17"/>
  <c r="K22" i="17"/>
  <c r="C15" i="17"/>
  <c r="K15" i="17" s="1"/>
  <c r="K13" i="17"/>
  <c r="K39" i="17"/>
  <c r="K37" i="17"/>
  <c r="I37" i="17"/>
  <c r="I38" i="17"/>
  <c r="I39" i="17"/>
  <c r="K35" i="17"/>
  <c r="I33" i="17"/>
  <c r="I34" i="17"/>
  <c r="K33" i="17"/>
  <c r="I35" i="17"/>
  <c r="I30" i="17"/>
  <c r="I29" i="17"/>
  <c r="K31" i="17"/>
  <c r="I31" i="17"/>
  <c r="I27" i="17"/>
  <c r="I25" i="17"/>
  <c r="I9" i="17"/>
  <c r="K9" i="17"/>
  <c r="I11" i="17"/>
  <c r="I10" i="17"/>
  <c r="S15" i="17"/>
  <c r="T15" i="17" s="1"/>
  <c r="S14" i="17"/>
  <c r="T14" i="17" s="1"/>
  <c r="U8" i="17"/>
  <c r="O8" i="17"/>
  <c r="U6" i="17"/>
  <c r="V7" i="17" s="1"/>
  <c r="O6" i="17"/>
  <c r="P7" i="17" s="1"/>
  <c r="C27" i="16"/>
  <c r="C23" i="16"/>
  <c r="C19" i="16"/>
  <c r="H39" i="16"/>
  <c r="H38" i="16"/>
  <c r="I38" i="16" s="1"/>
  <c r="H37" i="16"/>
  <c r="C39" i="16" s="1"/>
  <c r="H35" i="16"/>
  <c r="I35" i="16" s="1"/>
  <c r="K34" i="16"/>
  <c r="I34" i="16"/>
  <c r="H34" i="16"/>
  <c r="H33" i="16"/>
  <c r="K33" i="16" s="1"/>
  <c r="H31" i="16"/>
  <c r="I31" i="16" s="1"/>
  <c r="H30" i="16"/>
  <c r="I30" i="16" s="1"/>
  <c r="H29" i="16"/>
  <c r="C31" i="16" s="1"/>
  <c r="H27" i="16"/>
  <c r="I27" i="16" s="1"/>
  <c r="H26" i="16"/>
  <c r="K26" i="16" s="1"/>
  <c r="I25" i="16"/>
  <c r="H25" i="16"/>
  <c r="H23" i="16"/>
  <c r="H22" i="16"/>
  <c r="I22" i="16" s="1"/>
  <c r="I21" i="16"/>
  <c r="H21" i="16"/>
  <c r="K21" i="16" s="1"/>
  <c r="H19" i="16"/>
  <c r="H18" i="16"/>
  <c r="I18" i="16" s="1"/>
  <c r="H17" i="16"/>
  <c r="S15" i="16"/>
  <c r="T15" i="16" s="1"/>
  <c r="H15" i="16"/>
  <c r="I15" i="16" s="1"/>
  <c r="S14" i="16"/>
  <c r="T14" i="16" s="1"/>
  <c r="H14" i="16"/>
  <c r="K14" i="16" s="1"/>
  <c r="H13" i="16"/>
  <c r="C15" i="16" s="1"/>
  <c r="H11" i="16"/>
  <c r="H10" i="16"/>
  <c r="K10" i="16" s="1"/>
  <c r="H9" i="16"/>
  <c r="K9" i="16" s="1"/>
  <c r="U8" i="16"/>
  <c r="O8" i="16"/>
  <c r="H7" i="16"/>
  <c r="U6" i="16"/>
  <c r="V7" i="16" s="1"/>
  <c r="O6" i="16"/>
  <c r="P7" i="16" s="1"/>
  <c r="H6" i="16"/>
  <c r="I6" i="16" s="1"/>
  <c r="H5" i="16"/>
  <c r="K5" i="16" s="1"/>
  <c r="K38" i="16" l="1"/>
  <c r="K23" i="16"/>
  <c r="C35" i="16"/>
  <c r="C7" i="16"/>
  <c r="C11" i="16"/>
  <c r="K11" i="16" s="1"/>
  <c r="K31" i="16"/>
  <c r="K27" i="16"/>
  <c r="K18" i="16"/>
  <c r="K15" i="16"/>
  <c r="I10" i="16"/>
  <c r="K6" i="16"/>
  <c r="K7" i="16"/>
  <c r="K19" i="16"/>
  <c r="K39" i="16"/>
  <c r="K29" i="16"/>
  <c r="K35" i="16"/>
  <c r="I29" i="16"/>
  <c r="I11" i="16"/>
  <c r="I17" i="16"/>
  <c r="I7" i="16"/>
  <c r="K17" i="16"/>
  <c r="I23" i="16"/>
  <c r="I13" i="16"/>
  <c r="K30" i="16"/>
  <c r="I37" i="16"/>
  <c r="K22" i="16"/>
  <c r="K13" i="16"/>
  <c r="K37" i="16"/>
  <c r="I14" i="16"/>
  <c r="K25" i="16"/>
  <c r="I19" i="16"/>
  <c r="I26" i="16"/>
  <c r="I5" i="16"/>
  <c r="I9" i="16"/>
  <c r="I33" i="16"/>
  <c r="I39" i="16"/>
  <c r="H39" i="15" l="1"/>
  <c r="K39" i="15" s="1"/>
  <c r="H38" i="15"/>
  <c r="I38" i="15" s="1"/>
  <c r="H37" i="15"/>
  <c r="C39" i="15" s="1"/>
  <c r="H35" i="15"/>
  <c r="H34" i="15"/>
  <c r="K34" i="15" s="1"/>
  <c r="H33" i="15"/>
  <c r="H31" i="15"/>
  <c r="I31" i="15" s="1"/>
  <c r="K30" i="15"/>
  <c r="H30" i="15"/>
  <c r="I30" i="15" s="1"/>
  <c r="H29" i="15"/>
  <c r="K29" i="15" s="1"/>
  <c r="H27" i="15"/>
  <c r="H26" i="15"/>
  <c r="K26" i="15" s="1"/>
  <c r="H25" i="15"/>
  <c r="C27" i="15" s="1"/>
  <c r="H23" i="15"/>
  <c r="H22" i="15"/>
  <c r="K22" i="15" s="1"/>
  <c r="H21" i="15"/>
  <c r="C23" i="15" s="1"/>
  <c r="H19" i="15"/>
  <c r="I19" i="15" s="1"/>
  <c r="H18" i="15"/>
  <c r="K18" i="15" s="1"/>
  <c r="H17" i="15"/>
  <c r="H15" i="15"/>
  <c r="H14" i="15"/>
  <c r="K14" i="15" s="1"/>
  <c r="H13" i="15"/>
  <c r="I29" i="15" l="1"/>
  <c r="C31" i="15"/>
  <c r="K31" i="15" s="1"/>
  <c r="C19" i="15"/>
  <c r="K19" i="15" s="1"/>
  <c r="I13" i="15"/>
  <c r="C15" i="15"/>
  <c r="I37" i="15"/>
  <c r="K37" i="15"/>
  <c r="K38" i="15"/>
  <c r="I39" i="15"/>
  <c r="K35" i="15"/>
  <c r="K33" i="15"/>
  <c r="I33" i="15"/>
  <c r="I34" i="15"/>
  <c r="I35" i="15"/>
  <c r="K27" i="15"/>
  <c r="I25" i="15"/>
  <c r="K25" i="15"/>
  <c r="I26" i="15"/>
  <c r="I27" i="15"/>
  <c r="K23" i="15"/>
  <c r="I21" i="15"/>
  <c r="K21" i="15"/>
  <c r="I22" i="15"/>
  <c r="I23" i="15"/>
  <c r="I17" i="15"/>
  <c r="K17" i="15"/>
  <c r="I18" i="15"/>
  <c r="K13" i="15"/>
  <c r="I14" i="15"/>
  <c r="K15" i="15"/>
  <c r="I15" i="15"/>
  <c r="S15" i="15"/>
  <c r="T15" i="15" s="1"/>
  <c r="S14" i="15"/>
  <c r="T14" i="15" s="1"/>
  <c r="H10" i="15"/>
  <c r="K10" i="15" s="1"/>
  <c r="H9" i="15"/>
  <c r="I9" i="15" s="1"/>
  <c r="U8" i="15"/>
  <c r="O8" i="15"/>
  <c r="U6" i="15"/>
  <c r="V7" i="15" s="1"/>
  <c r="O6" i="15"/>
  <c r="P7" i="15" s="1"/>
  <c r="H8" i="11"/>
  <c r="H7" i="11"/>
  <c r="K7" i="11" s="1"/>
  <c r="H6" i="11"/>
  <c r="K6" i="11" l="1"/>
  <c r="C8" i="11"/>
  <c r="K8" i="11" s="1"/>
  <c r="K9" i="15"/>
  <c r="K11" i="15"/>
  <c r="I10" i="15"/>
  <c r="I11" i="15"/>
  <c r="I6" i="11"/>
  <c r="I7" i="11"/>
  <c r="I8" i="11"/>
  <c r="H35" i="11" l="1"/>
  <c r="I35" i="11" s="1"/>
  <c r="H34" i="11"/>
  <c r="I34" i="11" s="1"/>
  <c r="J28" i="11"/>
  <c r="D28" i="11"/>
  <c r="J26" i="11"/>
  <c r="K27" i="11" s="1"/>
  <c r="D26" i="11"/>
  <c r="E27" i="11" s="1"/>
  <c r="B38" i="4" l="1"/>
  <c r="B39" i="4" s="1"/>
  <c r="B40" i="4" s="1"/>
  <c r="B41" i="4" s="1"/>
  <c r="J41" i="4"/>
  <c r="K41" i="4" s="1"/>
  <c r="J40" i="4"/>
  <c r="K40" i="4" s="1"/>
  <c r="J39" i="4"/>
  <c r="K39" i="4" s="1"/>
  <c r="J38" i="4"/>
  <c r="K38" i="4" s="1"/>
  <c r="J18" i="4"/>
  <c r="K18" i="4" s="1"/>
  <c r="B17" i="4" l="1"/>
  <c r="B18" i="4" s="1"/>
  <c r="B16" i="4"/>
  <c r="J35" i="4"/>
  <c r="K35" i="4" s="1"/>
  <c r="J34" i="4"/>
  <c r="K34" i="4" s="1"/>
  <c r="J33" i="4"/>
  <c r="K33" i="4" s="1"/>
  <c r="J32" i="4"/>
  <c r="K32" i="4" s="1"/>
  <c r="J29" i="4"/>
  <c r="K29" i="4" s="1"/>
  <c r="A35" i="4"/>
  <c r="A41" i="4" s="1"/>
  <c r="J28" i="4"/>
  <c r="K28" i="4" s="1"/>
  <c r="J27" i="4"/>
  <c r="K27" i="4" s="1"/>
  <c r="J26" i="4"/>
  <c r="K26" i="4" s="1"/>
  <c r="J23" i="4"/>
  <c r="K23" i="4" s="1"/>
  <c r="J22" i="4"/>
  <c r="K22" i="4" s="1"/>
  <c r="J21" i="4"/>
  <c r="K21" i="4" s="1"/>
  <c r="A34" i="4"/>
  <c r="A40" i="4" s="1"/>
  <c r="J17" i="4"/>
  <c r="K17" i="4" s="1"/>
  <c r="A27" i="4"/>
  <c r="A33" i="4" s="1"/>
  <c r="A39" i="4" s="1"/>
  <c r="J16" i="4"/>
  <c r="K16" i="4" s="1"/>
  <c r="A21" i="4"/>
  <c r="A26" i="4" s="1"/>
  <c r="A32" i="4" s="1"/>
  <c r="A38" i="4" s="1"/>
  <c r="J12" i="4"/>
  <c r="K12" i="4" s="1"/>
  <c r="J11" i="4"/>
  <c r="K11" i="4" s="1"/>
</calcChain>
</file>

<file path=xl/sharedStrings.xml><?xml version="1.0" encoding="utf-8"?>
<sst xmlns="http://schemas.openxmlformats.org/spreadsheetml/2006/main" count="572" uniqueCount="122">
  <si>
    <t>Ast Required</t>
  </si>
  <si>
    <t>no</t>
  </si>
  <si>
    <t>dia</t>
  </si>
  <si>
    <t>Rebar</t>
  </si>
  <si>
    <t>Area provided</t>
  </si>
  <si>
    <t>Notation</t>
  </si>
  <si>
    <t>350 X 350</t>
  </si>
  <si>
    <t>400 X 400</t>
  </si>
  <si>
    <t>% of Steel Provided</t>
  </si>
  <si>
    <t>Beam size</t>
  </si>
  <si>
    <t>Remarks</t>
  </si>
  <si>
    <t>Colum Design Summary</t>
  </si>
  <si>
    <t>Design parameters:</t>
  </si>
  <si>
    <t>Concrete Grade: M20</t>
  </si>
  <si>
    <t>Steel Grade: Fe415</t>
  </si>
  <si>
    <t xml:space="preserve">Clear Cover: 40mm </t>
  </si>
  <si>
    <t>Lateral Ties= Fe415</t>
  </si>
  <si>
    <r>
      <rPr>
        <sz val="11.5"/>
        <rFont val="Times New Roman"/>
        <family val="1"/>
      </rPr>
      <t xml:space="preserve">Column
</t>
    </r>
    <r>
      <rPr>
        <sz val="11.5"/>
        <rFont val="Times New Roman"/>
        <family val="1"/>
      </rPr>
      <t>Floor</t>
    </r>
  </si>
  <si>
    <t xml:space="preserve">Column Size   b X d
</t>
  </si>
  <si>
    <r>
      <t>A</t>
    </r>
    <r>
      <rPr>
        <vertAlign val="subscript"/>
        <sz val="11.5"/>
        <rFont val="Times New Roman"/>
        <family val="1"/>
      </rPr>
      <t>st</t>
    </r>
    <r>
      <rPr>
        <sz val="11.5"/>
        <rFont val="Times New Roman"/>
        <family val="1"/>
      </rPr>
      <t xml:space="preserve">
Required as per SAP DESIGN mm</t>
    </r>
    <r>
      <rPr>
        <vertAlign val="superscript"/>
        <sz val="11.5"/>
        <rFont val="Times New Roman"/>
        <family val="1"/>
      </rPr>
      <t>2</t>
    </r>
  </si>
  <si>
    <t>Dia</t>
  </si>
  <si>
    <r>
      <rPr>
        <sz val="11.5"/>
        <rFont val="Times New Roman"/>
        <family val="1"/>
      </rPr>
      <t xml:space="preserve">Area
</t>
    </r>
    <r>
      <rPr>
        <sz val="11.5"/>
        <rFont val="Times New Roman"/>
        <family val="1"/>
      </rPr>
      <t>Provided</t>
    </r>
  </si>
  <si>
    <t xml:space="preserve"> % of Steel
provided</t>
  </si>
  <si>
    <r>
      <rPr>
        <sz val="11.5"/>
        <rFont val="Times New Roman"/>
        <family val="1"/>
      </rPr>
      <t>Lateral ties Fe415</t>
    </r>
  </si>
  <si>
    <r>
      <t xml:space="preserve">
</t>
    </r>
    <r>
      <rPr>
        <sz val="11.5"/>
        <rFont val="Times New Roman"/>
        <family val="1"/>
      </rPr>
      <t>Remarks</t>
    </r>
  </si>
  <si>
    <t>a</t>
  </si>
  <si>
    <r>
      <rPr>
        <sz val="11.5"/>
        <rFont val="Times New Roman"/>
        <family val="1"/>
      </rPr>
      <t>b</t>
    </r>
  </si>
  <si>
    <r>
      <rPr>
        <sz val="11.5"/>
        <rFont val="Times New Roman"/>
        <family val="1"/>
      </rPr>
      <t>c</t>
    </r>
  </si>
  <si>
    <r>
      <rPr>
        <sz val="11.5"/>
        <rFont val="Times New Roman"/>
        <family val="1"/>
      </rPr>
      <t>Leg</t>
    </r>
  </si>
  <si>
    <t xml:space="preserve">Shear rein. Dia. mm
</t>
  </si>
  <si>
    <t xml:space="preserve">Nos </t>
  </si>
  <si>
    <t>Φ</t>
  </si>
  <si>
    <t>Nos</t>
  </si>
  <si>
    <r>
      <rPr>
        <sz val="11.5"/>
        <rFont val="Times New Roman"/>
        <family val="1"/>
      </rPr>
      <t>Nos 0</t>
    </r>
  </si>
  <si>
    <t>Gr. FLR to second floor</t>
  </si>
  <si>
    <t>Third to top</t>
  </si>
  <si>
    <t xml:space="preserve">Gr. FLR </t>
  </si>
  <si>
    <t>First floor</t>
  </si>
  <si>
    <t>Second floor to top</t>
  </si>
  <si>
    <t>to</t>
  </si>
  <si>
    <t>top floor</t>
  </si>
  <si>
    <t>Main Beam</t>
  </si>
  <si>
    <t>Column Al,A3, F3  NOTE: The area of steel calculated is according to SAP2000 Advanced 14.0.0 (Indian IS 456-2000)</t>
  </si>
  <si>
    <t>c1</t>
  </si>
  <si>
    <t>c2</t>
  </si>
  <si>
    <t>Column Bl,C1, D1,F1. NOTE: The area of steel calculated is according to SAP2000 Advanced 14.0.0 (Indian IS 456-2000)</t>
  </si>
  <si>
    <t>2- top</t>
  </si>
  <si>
    <t>c3</t>
  </si>
  <si>
    <t>Column E1 NOTE: The area of steel calculated is according to SAP2000 Advanced 14.0.0 (Indian IS 456-2000)</t>
  </si>
  <si>
    <t>c4</t>
  </si>
  <si>
    <t>Column A2,B2, C2, D2, F2. NOTE: The area of steel calculated is according to SAP2000 Advanced 14.0.0 (Indian IS 456-2000)</t>
  </si>
  <si>
    <t>c5</t>
  </si>
  <si>
    <t>Column E2. NOTE: The area of steel calculated is according to SAP2000 Advanced 14.0.0 (Indian IS 456-2000)</t>
  </si>
  <si>
    <t>Column B3, C3,D3,E3. NOTE: The area of steel calculated is according to SAP2000 Advanced 14.0.0 (Indian IS 456-2000)</t>
  </si>
  <si>
    <t>c6</t>
  </si>
  <si>
    <t>mm</t>
  </si>
  <si>
    <t>Top TH</t>
  </si>
  <si>
    <t>Bot TH</t>
  </si>
  <si>
    <t>Top EX</t>
  </si>
  <si>
    <t>Stirrup Required</t>
  </si>
  <si>
    <t xml:space="preserve">Bar Dia </t>
  </si>
  <si>
    <t>No. of legs</t>
  </si>
  <si>
    <t xml:space="preserve">Spacing Required 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</si>
  <si>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</si>
  <si>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t>Spacing Provided</t>
  </si>
  <si>
    <t>Ast Req.</t>
  </si>
  <si>
    <t>Top</t>
  </si>
  <si>
    <t>Bottom</t>
  </si>
  <si>
    <t>Provided</t>
  </si>
  <si>
    <t>No</t>
  </si>
  <si>
    <t xml:space="preserve">No </t>
  </si>
  <si>
    <t>Ast</t>
  </si>
  <si>
    <t>450X300</t>
  </si>
  <si>
    <t>Secondary Beam Reinforcement (350x230)</t>
  </si>
  <si>
    <t>Grid A'-A'</t>
  </si>
  <si>
    <t>Stirrup Details At Support (Beam 450x300)</t>
  </si>
  <si>
    <t>Stirrup Details At Mid Span (Beam 450x300)</t>
  </si>
  <si>
    <t>Grid A-A</t>
  </si>
  <si>
    <t>Grid B-B</t>
  </si>
  <si>
    <t>Grid C-C</t>
  </si>
  <si>
    <t>Grid D-D</t>
  </si>
  <si>
    <t>Grid E-E</t>
  </si>
  <si>
    <t>Grid 1-1</t>
  </si>
  <si>
    <t>Grid 2-2</t>
  </si>
  <si>
    <t>Grid 3-3</t>
  </si>
  <si>
    <t>Beam Details (GF)
Concrete Grade : M25, Reinforcement Bar: FE500</t>
  </si>
  <si>
    <t>Beam Details (1F)
Concrete Grade : M25, Reinforcement Bar: FE500</t>
  </si>
  <si>
    <t>Beam Details (2F)
Concrete Grade : M25, Reinforcement Bar: FE500</t>
  </si>
  <si>
    <t>Beam Details (RF)
Concrete Grade : M25, Reinforcement Bar: FE500</t>
  </si>
  <si>
    <t>Beam Details (SC)
Concrete Grade : M25, Reinforcement Bar: FE500</t>
  </si>
  <si>
    <t>ok</t>
  </si>
  <si>
    <t>OK</t>
  </si>
  <si>
    <t>Ok</t>
  </si>
  <si>
    <t>commented in s-14</t>
  </si>
  <si>
    <t xml:space="preserve">commented </t>
  </si>
  <si>
    <t>commented</t>
  </si>
  <si>
    <t>commented in 16'</t>
  </si>
  <si>
    <t>Third</t>
  </si>
  <si>
    <t>(A-B)</t>
  </si>
  <si>
    <t>(B-C)</t>
  </si>
  <si>
    <t>(C-D)</t>
  </si>
  <si>
    <t>S.N</t>
  </si>
  <si>
    <t>Beam</t>
  </si>
  <si>
    <t>Size</t>
  </si>
  <si>
    <t>Shear Reinforcement spacing in mm c/c</t>
  </si>
  <si>
    <t>B</t>
  </si>
  <si>
    <t>D</t>
  </si>
  <si>
    <t>d</t>
  </si>
  <si>
    <t xml:space="preserve">Mid </t>
  </si>
  <si>
    <t>End (Over 2d)</t>
  </si>
  <si>
    <t>Asv/S</t>
  </si>
  <si>
    <t>Dia in mm</t>
  </si>
  <si>
    <t>Spacing in mm</t>
  </si>
  <si>
    <t xml:space="preserve">Max. </t>
  </si>
  <si>
    <t>Use</t>
  </si>
  <si>
    <t xml:space="preserve">Min. </t>
  </si>
  <si>
    <t xml:space="preserve">Beam General </t>
  </si>
  <si>
    <t xml:space="preserve">230 x 400 </t>
  </si>
  <si>
    <t>(1-1)</t>
  </si>
  <si>
    <t>230 x 350</t>
  </si>
  <si>
    <t>(2-3)</t>
  </si>
  <si>
    <t>Internal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</si>
</sst>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.5"/>
      <name val="Times New Roman"/>
      <family val="1"/>
    </font>
    <font>
      <sz val="11.5"/>
      <name val="Times New Roman"/>
      <family val="1"/>
    </font>
    <font>
      <sz val="11.5"/>
      <name val="Times New Roman"/>
      <family val="1"/>
    </font>
    <font>
      <vertAlign val="subscript"/>
      <sz val="11.5"/>
      <name val="Times New Roman"/>
      <family val="1"/>
    </font>
    <font>
      <vertAlign val="superscript"/>
      <sz val="11.5"/>
      <name val="Times New Roman"/>
      <family val="1"/>
    </font>
    <font>
      <sz val="1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164" fontId="0" fillId="0" borderId="0" xfId="1" applyFont="1" applyFill="1"/>
    <xf numFmtId="164" fontId="0" fillId="0" borderId="0" xfId="1" applyFont="1"/>
    <xf numFmtId="164" fontId="0" fillId="0" borderId="2" xfId="1" applyFont="1" applyBorder="1"/>
    <xf numFmtId="0" fontId="0" fillId="0" borderId="2" xfId="0" applyBorder="1"/>
    <xf numFmtId="164" fontId="0" fillId="0" borderId="2" xfId="1" applyFont="1" applyFill="1" applyBorder="1"/>
    <xf numFmtId="0" fontId="3" fillId="0" borderId="0" xfId="2"/>
    <xf numFmtId="0" fontId="5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vertical="top" wrapText="1"/>
    </xf>
    <xf numFmtId="0" fontId="5" fillId="0" borderId="2" xfId="2" applyFont="1" applyBorder="1" applyAlignment="1">
      <alignment vertical="top" wrapText="1"/>
    </xf>
    <xf numFmtId="0" fontId="3" fillId="0" borderId="2" xfId="2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1" fontId="5" fillId="0" borderId="2" xfId="2" applyNumberFormat="1" applyFont="1" applyBorder="1" applyAlignment="1">
      <alignment horizontal="left" vertical="top" wrapText="1"/>
    </xf>
    <xf numFmtId="165" fontId="5" fillId="0" borderId="2" xfId="2" applyNumberFormat="1" applyFont="1" applyBorder="1" applyAlignment="1">
      <alignment horizontal="left" vertical="top" wrapText="1"/>
    </xf>
    <xf numFmtId="164" fontId="5" fillId="0" borderId="2" xfId="3" applyFont="1" applyFill="1" applyBorder="1" applyAlignment="1">
      <alignment horizontal="left" vertical="top" wrapText="1"/>
    </xf>
    <xf numFmtId="0" fontId="5" fillId="0" borderId="5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left" vertical="top" wrapText="1"/>
    </xf>
    <xf numFmtId="1" fontId="5" fillId="0" borderId="6" xfId="2" applyNumberFormat="1" applyFont="1" applyBorder="1" applyAlignment="1">
      <alignment horizontal="left" vertical="top" wrapText="1"/>
    </xf>
    <xf numFmtId="165" fontId="5" fillId="0" borderId="6" xfId="2" applyNumberFormat="1" applyFont="1" applyBorder="1" applyAlignment="1">
      <alignment horizontal="left" vertical="top" wrapText="1"/>
    </xf>
    <xf numFmtId="164" fontId="5" fillId="0" borderId="6" xfId="3" applyFont="1" applyFill="1" applyBorder="1" applyAlignment="1">
      <alignment horizontal="left" vertical="top" wrapText="1"/>
    </xf>
    <xf numFmtId="0" fontId="3" fillId="0" borderId="7" xfId="2" applyBorder="1" applyAlignment="1">
      <alignment horizontal="left" vertical="top" wrapText="1"/>
    </xf>
    <xf numFmtId="165" fontId="6" fillId="0" borderId="2" xfId="2" applyNumberFormat="1" applyFont="1" applyBorder="1" applyAlignment="1">
      <alignment horizontal="left" vertical="top" wrapText="1"/>
    </xf>
    <xf numFmtId="0" fontId="5" fillId="0" borderId="8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5" fillId="0" borderId="4" xfId="2" applyFont="1" applyBorder="1" applyAlignment="1">
      <alignment horizontal="left" vertical="top" wrapText="1"/>
    </xf>
    <xf numFmtId="0" fontId="5" fillId="0" borderId="3" xfId="2" applyFont="1" applyBorder="1" applyAlignment="1">
      <alignment horizontal="left" vertical="top" wrapText="1"/>
    </xf>
    <xf numFmtId="0" fontId="5" fillId="0" borderId="7" xfId="2" applyFont="1" applyBorder="1" applyAlignment="1">
      <alignment horizontal="left" vertical="top" wrapText="1"/>
    </xf>
    <xf numFmtId="0" fontId="3" fillId="0" borderId="2" xfId="2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6" xfId="0" applyBorder="1"/>
    <xf numFmtId="0" fontId="0" fillId="0" borderId="20" xfId="0" applyBorder="1"/>
    <xf numFmtId="0" fontId="0" fillId="4" borderId="16" xfId="0" applyFill="1" applyBorder="1"/>
    <xf numFmtId="0" fontId="0" fillId="4" borderId="17" xfId="0" applyFill="1" applyBorder="1"/>
    <xf numFmtId="0" fontId="2" fillId="0" borderId="2" xfId="0" applyFont="1" applyBorder="1"/>
    <xf numFmtId="0" fontId="2" fillId="0" borderId="14" xfId="0" applyFont="1" applyBorder="1"/>
    <xf numFmtId="0" fontId="0" fillId="0" borderId="15" xfId="0" applyBorder="1"/>
    <xf numFmtId="0" fontId="2" fillId="0" borderId="0" xfId="0" applyFont="1"/>
    <xf numFmtId="0" fontId="2" fillId="0" borderId="13" xfId="0" applyFont="1" applyBorder="1"/>
    <xf numFmtId="0" fontId="2" fillId="0" borderId="19" xfId="0" applyFont="1" applyBorder="1"/>
    <xf numFmtId="0" fontId="0" fillId="0" borderId="21" xfId="0" applyBorder="1"/>
    <xf numFmtId="0" fontId="0" fillId="6" borderId="2" xfId="0" applyFill="1" applyBorder="1"/>
    <xf numFmtId="0" fontId="11" fillId="0" borderId="0" xfId="4" applyFill="1" applyBorder="1"/>
    <xf numFmtId="164" fontId="0" fillId="0" borderId="0" xfId="0" applyNumberFormat="1"/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19" xfId="0" applyBorder="1"/>
    <xf numFmtId="164" fontId="0" fillId="0" borderId="20" xfId="1" applyFont="1" applyBorder="1"/>
    <xf numFmtId="164" fontId="0" fillId="0" borderId="20" xfId="1" applyFont="1" applyFill="1" applyBorder="1"/>
    <xf numFmtId="0" fontId="13" fillId="7" borderId="0" xfId="5" applyFont="1" applyFill="1"/>
    <xf numFmtId="0" fontId="14" fillId="7" borderId="0" xfId="5" applyFont="1" applyFill="1"/>
    <xf numFmtId="0" fontId="14" fillId="7" borderId="2" xfId="5" applyFont="1" applyFill="1" applyBorder="1" applyAlignment="1">
      <alignment horizontal="center" vertical="center"/>
    </xf>
    <xf numFmtId="0" fontId="14" fillId="7" borderId="2" xfId="5" applyFont="1" applyFill="1" applyBorder="1" applyAlignment="1">
      <alignment horizontal="center" vertical="center" wrapText="1"/>
    </xf>
    <xf numFmtId="0" fontId="14" fillId="7" borderId="2" xfId="5" applyFont="1" applyFill="1" applyBorder="1" applyAlignment="1">
      <alignment horizontal="center"/>
    </xf>
    <xf numFmtId="0" fontId="15" fillId="7" borderId="0" xfId="5" applyFont="1" applyFill="1"/>
    <xf numFmtId="0" fontId="14" fillId="7" borderId="2" xfId="5" applyFont="1" applyFill="1" applyBorder="1" applyAlignment="1">
      <alignment horizontal="center" wrapText="1"/>
    </xf>
    <xf numFmtId="0" fontId="14" fillId="8" borderId="2" xfId="5" applyFont="1" applyFill="1" applyBorder="1" applyAlignment="1">
      <alignment horizontal="center"/>
    </xf>
    <xf numFmtId="0" fontId="13" fillId="7" borderId="3" xfId="5" applyFont="1" applyFill="1" applyBorder="1" applyAlignment="1">
      <alignment horizontal="center" vertical="top"/>
    </xf>
    <xf numFmtId="0" fontId="13" fillId="7" borderId="2" xfId="5" applyFont="1" applyFill="1" applyBorder="1" applyAlignment="1">
      <alignment horizontal="left" vertical="center" wrapText="1"/>
    </xf>
    <xf numFmtId="0" fontId="13" fillId="7" borderId="2" xfId="5" applyFont="1" applyFill="1" applyBorder="1" applyAlignment="1">
      <alignment horizontal="center" vertical="center"/>
    </xf>
    <xf numFmtId="166" fontId="13" fillId="2" borderId="2" xfId="5" applyNumberFormat="1" applyFont="1" applyFill="1" applyBorder="1" applyAlignment="1">
      <alignment horizontal="center" vertical="center"/>
    </xf>
    <xf numFmtId="1" fontId="13" fillId="7" borderId="2" xfId="5" applyNumberFormat="1" applyFont="1" applyFill="1" applyBorder="1" applyAlignment="1">
      <alignment horizontal="center" vertical="center"/>
    </xf>
    <xf numFmtId="0" fontId="13" fillId="8" borderId="2" xfId="5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164" fontId="2" fillId="0" borderId="10" xfId="1" applyFont="1" applyBorder="1" applyAlignment="1">
      <alignment horizontal="center" wrapText="1"/>
    </xf>
    <xf numFmtId="164" fontId="2" fillId="0" borderId="2" xfId="1" applyFont="1" applyBorder="1" applyAlignment="1">
      <alignment horizontal="center" wrapText="1"/>
    </xf>
    <xf numFmtId="164" fontId="2" fillId="0" borderId="10" xfId="1" applyFont="1" applyFill="1" applyBorder="1" applyAlignment="1">
      <alignment horizontal="center" wrapText="1"/>
    </xf>
    <xf numFmtId="164" fontId="2" fillId="0" borderId="2" xfId="1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7" borderId="2" xfId="5" applyFont="1" applyFill="1" applyBorder="1" applyAlignment="1">
      <alignment horizontal="center" vertical="center"/>
    </xf>
    <xf numFmtId="0" fontId="14" fillId="7" borderId="2" xfId="5" applyFont="1" applyFill="1" applyBorder="1" applyAlignment="1">
      <alignment horizontal="center" vertical="center" wrapText="1"/>
    </xf>
    <xf numFmtId="0" fontId="14" fillId="7" borderId="5" xfId="5" applyFont="1" applyFill="1" applyBorder="1" applyAlignment="1">
      <alignment horizontal="center" wrapText="1"/>
    </xf>
    <xf numFmtId="0" fontId="14" fillId="7" borderId="6" xfId="5" applyFont="1" applyFill="1" applyBorder="1" applyAlignment="1">
      <alignment horizontal="center" wrapText="1"/>
    </xf>
    <xf numFmtId="0" fontId="14" fillId="7" borderId="7" xfId="5" applyFont="1" applyFill="1" applyBorder="1" applyAlignment="1">
      <alignment horizontal="center" wrapText="1"/>
    </xf>
    <xf numFmtId="0" fontId="9" fillId="0" borderId="5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top"/>
    </xf>
    <xf numFmtId="0" fontId="4" fillId="0" borderId="0" xfId="2" applyFont="1" applyAlignment="1">
      <alignment horizontal="center" vertical="top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top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</cellXfs>
  <cellStyles count="6">
    <cellStyle name="Comma" xfId="1" builtinId="3"/>
    <cellStyle name="Comma 2" xfId="3" xr:uid="{00000000-0005-0000-0000-000001000000}"/>
    <cellStyle name="Hyperlink" xfId="4" builtinId="8"/>
    <cellStyle name="Normal" xfId="0" builtinId="0"/>
    <cellStyle name="Normal 2" xfId="2" xr:uid="{00000000-0005-0000-0000-000003000000}"/>
    <cellStyle name="Normal 3" xfId="5" xr:uid="{48DAADF2-E56B-43D0-A795-830C698C5DFB}"/>
  </cellStyles>
  <dxfs count="48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agya\1.PRAGYA\1.%20WORKS\7.%20DREAMLAND\Copy%20of%202.0%20Dream%20land%20b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umn"/>
      <sheetName val="GF"/>
      <sheetName val="1F"/>
      <sheetName val="2F"/>
      <sheetName val="3F"/>
      <sheetName val="4F"/>
      <sheetName val="5F"/>
      <sheetName val="6F"/>
      <sheetName val="Terrace"/>
      <sheetName val="stirrups"/>
      <sheetName val="Sheet6"/>
    </sheetNames>
    <sheetDataSet>
      <sheetData sheetId="0">
        <row r="5">
          <cell r="E5">
            <v>113.09733552923255</v>
          </cell>
          <cell r="F5">
            <v>201.06192982974676</v>
          </cell>
          <cell r="G5">
            <v>314.15926535897933</v>
          </cell>
          <cell r="H5">
            <v>490.87385212340519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9C60-99E8-4090-B155-4802E04A1A96}">
  <dimension ref="A1:X48"/>
  <sheetViews>
    <sheetView tabSelected="1" zoomScale="85" zoomScaleNormal="85" zoomScaleSheetLayoutView="100" workbookViewId="0">
      <selection activeCell="C34" sqref="C34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5.3320312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22" max="22" width="9.5546875" bestFit="1" customWidth="1"/>
  </cols>
  <sheetData>
    <row r="1" spans="1:24" ht="29.25" customHeight="1" thickBot="1" x14ac:dyDescent="0.35">
      <c r="A1" s="77" t="s">
        <v>85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4" x14ac:dyDescent="0.3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</row>
    <row r="3" spans="1:24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</row>
    <row r="4" spans="1:24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</row>
    <row r="5" spans="1:24" x14ac:dyDescent="0.3">
      <c r="A5" s="33"/>
      <c r="B5" s="4"/>
      <c r="C5" s="3"/>
      <c r="D5" s="4"/>
      <c r="E5" s="4"/>
      <c r="F5" s="4"/>
      <c r="G5" s="4"/>
      <c r="H5" s="3"/>
      <c r="I5" s="5"/>
      <c r="J5" s="31"/>
    </row>
    <row r="6" spans="1:24" x14ac:dyDescent="0.3">
      <c r="A6" s="32" t="s">
        <v>80</v>
      </c>
      <c r="B6" s="4" t="s">
        <v>119</v>
      </c>
      <c r="C6" s="3">
        <v>697</v>
      </c>
      <c r="D6" s="46">
        <v>3</v>
      </c>
      <c r="E6" s="46">
        <v>16</v>
      </c>
      <c r="F6" s="46"/>
      <c r="G6" s="46"/>
      <c r="H6" s="3">
        <f>D6*(3.14*(E6^2)/4)+F6*(3.14*(G6^2)/4)</f>
        <v>602.88</v>
      </c>
      <c r="I6" s="5">
        <f>H6/(450*300)*100</f>
        <v>0.4465777777777778</v>
      </c>
      <c r="J6" s="31" t="s">
        <v>56</v>
      </c>
      <c r="K6" t="str">
        <f>IF((H6+H8)&gt;=C6,"OK","NOT OK")</f>
        <v>OK</v>
      </c>
      <c r="L6" t="s">
        <v>90</v>
      </c>
    </row>
    <row r="7" spans="1:24" x14ac:dyDescent="0.3">
      <c r="A7" s="33" t="s">
        <v>118</v>
      </c>
      <c r="B7" s="4"/>
      <c r="C7" s="3">
        <v>378</v>
      </c>
      <c r="D7" s="46">
        <v>3</v>
      </c>
      <c r="E7" s="46">
        <v>16</v>
      </c>
      <c r="F7" s="46"/>
      <c r="G7" s="46"/>
      <c r="H7" s="3">
        <f>D7*(3.14*E7^2/4)+F7*(3.14*G7^2/4)</f>
        <v>602.88</v>
      </c>
      <c r="I7" s="5">
        <f t="shared" ref="I7:I8" si="0">H7/(450*300)*100</f>
        <v>0.4465777777777778</v>
      </c>
      <c r="J7" s="31" t="s">
        <v>57</v>
      </c>
      <c r="K7" t="str">
        <f t="shared" ref="K7" si="1">IF(H7&gt;=C7,"OK","NOT OK")</f>
        <v>OK</v>
      </c>
    </row>
    <row r="8" spans="1:24" x14ac:dyDescent="0.3">
      <c r="A8" s="33"/>
      <c r="B8" s="4"/>
      <c r="C8" s="3">
        <f>C6-H6</f>
        <v>94.12</v>
      </c>
      <c r="D8" s="46">
        <v>1</v>
      </c>
      <c r="E8" s="46">
        <v>12</v>
      </c>
      <c r="F8" s="46"/>
      <c r="G8" s="46"/>
      <c r="H8" s="3">
        <f t="shared" ref="H8" si="2">D8*(3.14*E8^2/4)+F8*(3.14*G8^2/4)</f>
        <v>113.04</v>
      </c>
      <c r="I8" s="5">
        <f t="shared" si="0"/>
        <v>8.373333333333334E-2</v>
      </c>
      <c r="J8" s="31" t="s">
        <v>58</v>
      </c>
      <c r="K8" t="str">
        <f>IF(H8&gt;=C8,"OK","NOT OK")</f>
        <v>OK</v>
      </c>
    </row>
    <row r="9" spans="1:24" x14ac:dyDescent="0.3">
      <c r="A9" s="33"/>
      <c r="B9" s="4"/>
      <c r="C9" s="3"/>
      <c r="D9" s="4"/>
      <c r="E9" s="4"/>
      <c r="F9" s="4"/>
      <c r="G9" s="4"/>
      <c r="H9" s="3"/>
      <c r="I9" s="5"/>
      <c r="J9" s="31"/>
    </row>
    <row r="10" spans="1:24" x14ac:dyDescent="0.3">
      <c r="A10" s="32" t="s">
        <v>80</v>
      </c>
      <c r="B10" s="4" t="s">
        <v>119</v>
      </c>
      <c r="C10" s="3">
        <v>694</v>
      </c>
      <c r="D10" s="46">
        <v>3</v>
      </c>
      <c r="E10" s="46">
        <v>16</v>
      </c>
      <c r="F10" s="46"/>
      <c r="G10" s="46"/>
      <c r="H10" s="3">
        <f>D10*(3.14*(E10^2)/4)+F10*(3.14*(G10^2)/4)</f>
        <v>602.88</v>
      </c>
      <c r="I10" s="5">
        <f>H10/(450*300)*100</f>
        <v>0.4465777777777778</v>
      </c>
      <c r="J10" s="31" t="s">
        <v>56</v>
      </c>
      <c r="K10" t="str">
        <f>IF((H10+H12)&gt;=C10,"OK","NOT OK")</f>
        <v>OK</v>
      </c>
      <c r="L10" t="s">
        <v>90</v>
      </c>
    </row>
    <row r="11" spans="1:24" x14ac:dyDescent="0.3">
      <c r="A11" s="33" t="s">
        <v>120</v>
      </c>
      <c r="B11" s="4"/>
      <c r="C11" s="3">
        <v>517</v>
      </c>
      <c r="D11" s="46">
        <v>3</v>
      </c>
      <c r="E11" s="46">
        <v>16</v>
      </c>
      <c r="F11" s="46"/>
      <c r="G11" s="46"/>
      <c r="H11" s="3">
        <f>D11*(3.14*E11^2/4)+F11*(3.14*G11^2/4)</f>
        <v>602.88</v>
      </c>
      <c r="I11" s="5">
        <f t="shared" ref="I11:I12" si="3">H11/(450*300)*100</f>
        <v>0.4465777777777778</v>
      </c>
      <c r="J11" s="31" t="s">
        <v>57</v>
      </c>
      <c r="K11" t="str">
        <f t="shared" ref="K11" si="4">IF(H11&gt;=C11,"OK","NOT OK")</f>
        <v>OK</v>
      </c>
    </row>
    <row r="12" spans="1:24" x14ac:dyDescent="0.3">
      <c r="A12" s="33"/>
      <c r="B12" s="4"/>
      <c r="C12" s="3">
        <f>C10-H10</f>
        <v>91.12</v>
      </c>
      <c r="D12" s="46">
        <v>1</v>
      </c>
      <c r="E12" s="46">
        <v>12</v>
      </c>
      <c r="F12" s="46"/>
      <c r="G12" s="46"/>
      <c r="H12" s="3">
        <f t="shared" ref="H12" si="5">D12*(3.14*E12^2/4)+F12*(3.14*G12^2/4)</f>
        <v>113.04</v>
      </c>
      <c r="I12" s="5">
        <f t="shared" si="3"/>
        <v>8.373333333333334E-2</v>
      </c>
      <c r="J12" s="31" t="s">
        <v>58</v>
      </c>
      <c r="K12" t="str">
        <f>IF(H12&gt;=C12,"OK","NOT OK")</f>
        <v>OK</v>
      </c>
    </row>
    <row r="13" spans="1:24" x14ac:dyDescent="0.3">
      <c r="A13" s="32"/>
      <c r="B13" s="4"/>
      <c r="C13" s="3"/>
      <c r="D13" s="46"/>
      <c r="E13" s="46"/>
      <c r="F13" s="46"/>
      <c r="G13" s="46"/>
      <c r="H13" s="3"/>
      <c r="I13" s="5"/>
      <c r="J13" s="31"/>
    </row>
    <row r="14" spans="1:24" x14ac:dyDescent="0.3">
      <c r="A14" s="32" t="s">
        <v>80</v>
      </c>
      <c r="B14" s="4" t="s">
        <v>117</v>
      </c>
      <c r="C14" s="3">
        <v>612</v>
      </c>
      <c r="D14" s="46">
        <v>3</v>
      </c>
      <c r="E14" s="46">
        <v>16</v>
      </c>
      <c r="F14" s="46"/>
      <c r="G14" s="46"/>
      <c r="H14" s="3">
        <f>D14*(3.14*(E14^2)/4)+F14*(3.14*(G14^2)/4)</f>
        <v>602.88</v>
      </c>
      <c r="I14" s="5">
        <f>H14/(450*300)*100</f>
        <v>0.4465777777777778</v>
      </c>
      <c r="J14" s="31" t="s">
        <v>56</v>
      </c>
      <c r="K14" t="str">
        <f>IF((H14+H16)&gt;=C14,"OK","NOT OK")</f>
        <v>OK</v>
      </c>
      <c r="L14" t="s">
        <v>90</v>
      </c>
    </row>
    <row r="15" spans="1:24" x14ac:dyDescent="0.3">
      <c r="A15" s="33" t="s">
        <v>120</v>
      </c>
      <c r="B15" s="4"/>
      <c r="C15" s="3">
        <v>306</v>
      </c>
      <c r="D15" s="46">
        <v>3</v>
      </c>
      <c r="E15" s="46">
        <v>16</v>
      </c>
      <c r="F15" s="46"/>
      <c r="G15" s="46"/>
      <c r="H15" s="3">
        <f>D15*(3.14*E15^2/4)+F15*(3.14*G15^2/4)</f>
        <v>602.88</v>
      </c>
      <c r="I15" s="5">
        <f t="shared" ref="I15:I16" si="6">H15/(450*300)*100</f>
        <v>0.4465777777777778</v>
      </c>
      <c r="J15" s="31" t="s">
        <v>57</v>
      </c>
      <c r="K15" t="str">
        <f t="shared" ref="K15" si="7">IF(H15&gt;=C15,"OK","NOT OK")</f>
        <v>OK</v>
      </c>
    </row>
    <row r="16" spans="1:24" x14ac:dyDescent="0.3">
      <c r="A16" s="33"/>
      <c r="B16" s="4"/>
      <c r="C16" s="3">
        <f>C14-H14</f>
        <v>9.1200000000000045</v>
      </c>
      <c r="D16" s="46">
        <v>1</v>
      </c>
      <c r="E16" s="46">
        <v>12</v>
      </c>
      <c r="F16" s="46"/>
      <c r="G16" s="46"/>
      <c r="H16" s="3">
        <f t="shared" ref="H16" si="8">D16*(3.14*E16^2/4)+F16*(3.14*G16^2/4)</f>
        <v>113.04</v>
      </c>
      <c r="I16" s="5">
        <f t="shared" si="6"/>
        <v>8.373333333333334E-2</v>
      </c>
      <c r="J16" s="31" t="s">
        <v>58</v>
      </c>
      <c r="K16" t="str">
        <f>IF(H16&gt;=C16,"OK","NOT OK")</f>
        <v>OK</v>
      </c>
    </row>
    <row r="17" spans="1:12" x14ac:dyDescent="0.3">
      <c r="A17" s="32"/>
      <c r="B17" s="4"/>
      <c r="C17" s="3"/>
      <c r="D17" s="46"/>
      <c r="E17" s="46"/>
      <c r="F17" s="46"/>
      <c r="G17" s="46"/>
      <c r="H17" s="3"/>
      <c r="I17" s="5"/>
      <c r="J17" s="31"/>
    </row>
    <row r="18" spans="1:12" x14ac:dyDescent="0.3">
      <c r="A18" s="30" t="s">
        <v>121</v>
      </c>
      <c r="B18" s="4"/>
      <c r="C18" s="3"/>
      <c r="D18" s="4"/>
      <c r="E18" s="4"/>
      <c r="F18" s="4"/>
      <c r="G18" s="4"/>
      <c r="H18" s="3"/>
      <c r="I18" s="5"/>
      <c r="J18" s="31"/>
    </row>
    <row r="19" spans="1:12" x14ac:dyDescent="0.3">
      <c r="A19" s="33"/>
      <c r="B19" s="4"/>
      <c r="C19" s="3"/>
      <c r="D19" s="4"/>
      <c r="E19" s="4"/>
      <c r="F19" s="4"/>
      <c r="G19" s="4"/>
      <c r="H19" s="3"/>
      <c r="I19" s="5"/>
      <c r="J19" s="31"/>
    </row>
    <row r="20" spans="1:12" x14ac:dyDescent="0.3">
      <c r="A20" s="32" t="s">
        <v>80</v>
      </c>
      <c r="B20" s="4" t="s">
        <v>119</v>
      </c>
      <c r="C20" s="3">
        <v>539</v>
      </c>
      <c r="D20" s="46">
        <v>3</v>
      </c>
      <c r="E20" s="46">
        <v>16</v>
      </c>
      <c r="F20" s="46"/>
      <c r="G20" s="46"/>
      <c r="H20" s="3">
        <f>D20*(3.14*(E20^2)/4)+F20*(3.14*(G20^2)/4)</f>
        <v>602.88</v>
      </c>
      <c r="I20" s="5">
        <f>H20/(450*300)*100</f>
        <v>0.4465777777777778</v>
      </c>
      <c r="J20" s="31" t="s">
        <v>56</v>
      </c>
      <c r="K20" t="str">
        <f>IF((H20+H22)&gt;=C20,"OK","NOT OK")</f>
        <v>OK</v>
      </c>
      <c r="L20" t="s">
        <v>90</v>
      </c>
    </row>
    <row r="21" spans="1:12" x14ac:dyDescent="0.3">
      <c r="A21" s="33" t="s">
        <v>118</v>
      </c>
      <c r="B21" s="4"/>
      <c r="C21" s="3">
        <v>328</v>
      </c>
      <c r="D21" s="46">
        <v>2</v>
      </c>
      <c r="E21" s="46">
        <v>16</v>
      </c>
      <c r="F21" s="46"/>
      <c r="G21" s="46"/>
      <c r="H21" s="3">
        <f>D21*(3.14*E21^2/4)+F21*(3.14*G21^2/4)</f>
        <v>401.92</v>
      </c>
      <c r="I21" s="5">
        <f t="shared" ref="I21:I22" si="9">H21/(450*300)*100</f>
        <v>0.29771851851851849</v>
      </c>
      <c r="J21" s="31" t="s">
        <v>57</v>
      </c>
      <c r="K21" t="str">
        <f t="shared" ref="K21" si="10">IF(H21&gt;=C21,"OK","NOT OK")</f>
        <v>OK</v>
      </c>
    </row>
    <row r="22" spans="1:12" x14ac:dyDescent="0.3">
      <c r="A22" s="33"/>
      <c r="B22" s="4"/>
      <c r="C22" s="3">
        <f>C20-H20</f>
        <v>-63.879999999999995</v>
      </c>
      <c r="D22" s="46">
        <v>1</v>
      </c>
      <c r="E22" s="46">
        <v>12</v>
      </c>
      <c r="F22" s="46"/>
      <c r="G22" s="46"/>
      <c r="H22" s="3">
        <f t="shared" ref="H22" si="11">D22*(3.14*E22^2/4)+F22*(3.14*G22^2/4)</f>
        <v>113.04</v>
      </c>
      <c r="I22" s="5">
        <f t="shared" si="9"/>
        <v>8.373333333333334E-2</v>
      </c>
      <c r="J22" s="31" t="s">
        <v>58</v>
      </c>
      <c r="K22" t="str">
        <f>IF(H22&gt;=C22,"OK","NOT OK")</f>
        <v>OK</v>
      </c>
    </row>
    <row r="23" spans="1:12" x14ac:dyDescent="0.3">
      <c r="A23" s="33"/>
      <c r="B23" s="4"/>
      <c r="C23" s="3"/>
      <c r="D23" s="4"/>
      <c r="E23" s="4"/>
      <c r="F23" s="4"/>
      <c r="G23" s="4"/>
      <c r="H23" s="3"/>
      <c r="I23" s="5"/>
      <c r="J23" s="31"/>
    </row>
    <row r="24" spans="1:12" x14ac:dyDescent="0.3">
      <c r="A24" s="32" t="s">
        <v>80</v>
      </c>
      <c r="B24" s="4" t="s">
        <v>119</v>
      </c>
      <c r="C24" s="3">
        <v>630</v>
      </c>
      <c r="D24" s="46">
        <v>3</v>
      </c>
      <c r="E24" s="46">
        <v>16</v>
      </c>
      <c r="F24" s="46"/>
      <c r="G24" s="46"/>
      <c r="H24" s="3">
        <f>D24*(3.14*(E24^2)/4)+F24*(3.14*(G24^2)/4)</f>
        <v>602.88</v>
      </c>
      <c r="I24" s="5">
        <f>H24/(450*300)*100</f>
        <v>0.4465777777777778</v>
      </c>
      <c r="J24" s="31" t="s">
        <v>56</v>
      </c>
      <c r="K24" t="str">
        <f>IF((H24+H26)&gt;=C24,"OK","NOT OK")</f>
        <v>OK</v>
      </c>
      <c r="L24" t="s">
        <v>90</v>
      </c>
    </row>
    <row r="25" spans="1:12" x14ac:dyDescent="0.3">
      <c r="A25" s="33" t="s">
        <v>120</v>
      </c>
      <c r="B25" s="4"/>
      <c r="C25" s="3">
        <v>359</v>
      </c>
      <c r="D25" s="46">
        <v>2</v>
      </c>
      <c r="E25" s="46">
        <v>16</v>
      </c>
      <c r="F25" s="46"/>
      <c r="G25" s="46"/>
      <c r="H25" s="3">
        <f>D25*(3.14*E25^2/4)+F25*(3.14*G25^2/4)</f>
        <v>401.92</v>
      </c>
      <c r="I25" s="5">
        <f t="shared" ref="I25:I26" si="12">H25/(450*300)*100</f>
        <v>0.29771851851851849</v>
      </c>
      <c r="J25" s="31" t="s">
        <v>57</v>
      </c>
      <c r="K25" t="str">
        <f t="shared" ref="K25" si="13">IF(H25&gt;=C25,"OK","NOT OK")</f>
        <v>OK</v>
      </c>
    </row>
    <row r="26" spans="1:12" x14ac:dyDescent="0.3">
      <c r="A26" s="33"/>
      <c r="B26" s="4"/>
      <c r="C26" s="3">
        <f>C24-H24</f>
        <v>27.120000000000005</v>
      </c>
      <c r="D26" s="46">
        <v>1</v>
      </c>
      <c r="E26" s="46">
        <v>12</v>
      </c>
      <c r="F26" s="46"/>
      <c r="G26" s="46"/>
      <c r="H26" s="3">
        <f t="shared" ref="H26" si="14">D26*(3.14*E26^2/4)+F26*(3.14*G26^2/4)</f>
        <v>113.04</v>
      </c>
      <c r="I26" s="5">
        <f t="shared" si="12"/>
        <v>8.373333333333334E-2</v>
      </c>
      <c r="J26" s="31" t="s">
        <v>58</v>
      </c>
      <c r="K26" t="str">
        <f>IF(H26&gt;=C26,"OK","NOT OK")</f>
        <v>OK</v>
      </c>
    </row>
    <row r="27" spans="1:12" x14ac:dyDescent="0.3">
      <c r="A27" s="32"/>
      <c r="B27" s="4"/>
      <c r="C27" s="3"/>
      <c r="D27" s="46"/>
      <c r="E27" s="46"/>
      <c r="F27" s="46"/>
      <c r="G27" s="46"/>
      <c r="H27" s="3"/>
      <c r="I27" s="5"/>
      <c r="J27" s="31"/>
    </row>
    <row r="28" spans="1:12" x14ac:dyDescent="0.3">
      <c r="A28" s="32" t="s">
        <v>80</v>
      </c>
      <c r="B28" s="4" t="s">
        <v>117</v>
      </c>
      <c r="C28" s="3">
        <v>652</v>
      </c>
      <c r="D28" s="46">
        <v>3</v>
      </c>
      <c r="E28" s="46">
        <v>16</v>
      </c>
      <c r="F28" s="46"/>
      <c r="G28" s="46"/>
      <c r="H28" s="3">
        <f>D28*(3.14*(E28^2)/4)+F28*(3.14*(G28^2)/4)</f>
        <v>602.88</v>
      </c>
      <c r="I28" s="5">
        <f>H28/(450*300)*100</f>
        <v>0.4465777777777778</v>
      </c>
      <c r="J28" s="31" t="s">
        <v>56</v>
      </c>
      <c r="K28" t="str">
        <f>IF((H28+H30)&gt;=C28,"OK","NOT OK")</f>
        <v>OK</v>
      </c>
      <c r="L28" t="s">
        <v>90</v>
      </c>
    </row>
    <row r="29" spans="1:12" x14ac:dyDescent="0.3">
      <c r="A29" s="33" t="s">
        <v>120</v>
      </c>
      <c r="B29" s="4"/>
      <c r="C29" s="3">
        <v>326</v>
      </c>
      <c r="D29" s="46">
        <v>2</v>
      </c>
      <c r="E29" s="46">
        <v>16</v>
      </c>
      <c r="F29" s="46"/>
      <c r="G29" s="46"/>
      <c r="H29" s="3">
        <f>D29*(3.14*E29^2/4)+F29*(3.14*G29^2/4)</f>
        <v>401.92</v>
      </c>
      <c r="I29" s="5">
        <f t="shared" ref="I29:I30" si="15">H29/(450*300)*100</f>
        <v>0.29771851851851849</v>
      </c>
      <c r="J29" s="31" t="s">
        <v>57</v>
      </c>
      <c r="K29" t="str">
        <f t="shared" ref="K29" si="16">IF(H29&gt;=C29,"OK","NOT OK")</f>
        <v>OK</v>
      </c>
    </row>
    <row r="30" spans="1:12" x14ac:dyDescent="0.3">
      <c r="A30" s="33"/>
      <c r="B30" s="4"/>
      <c r="C30" s="3">
        <f>C28-H28</f>
        <v>49.120000000000005</v>
      </c>
      <c r="D30" s="46">
        <v>1</v>
      </c>
      <c r="E30" s="46">
        <v>12</v>
      </c>
      <c r="F30" s="46"/>
      <c r="G30" s="46"/>
      <c r="H30" s="3">
        <f t="shared" ref="H30" si="17">D30*(3.14*E30^2/4)+F30*(3.14*G30^2/4)</f>
        <v>113.04</v>
      </c>
      <c r="I30" s="5">
        <f t="shared" si="15"/>
        <v>8.373333333333334E-2</v>
      </c>
      <c r="J30" s="31" t="s">
        <v>58</v>
      </c>
      <c r="K30" t="str">
        <f>IF(H30&gt;=C30,"OK","NOT OK")</f>
        <v>OK</v>
      </c>
    </row>
    <row r="31" spans="1:12" ht="15" thickBot="1" x14ac:dyDescent="0.35">
      <c r="A31" s="54"/>
      <c r="B31" s="36"/>
      <c r="C31" s="55"/>
      <c r="D31" s="36"/>
      <c r="E31" s="36"/>
      <c r="F31" s="36"/>
      <c r="G31" s="36"/>
      <c r="H31" s="55"/>
      <c r="I31" s="56"/>
      <c r="J31" s="45"/>
    </row>
    <row r="34" spans="2:12" ht="15" thickBot="1" x14ac:dyDescent="0.35"/>
    <row r="35" spans="2:12" ht="15" thickBot="1" x14ac:dyDescent="0.35">
      <c r="B35" s="71" t="s">
        <v>75</v>
      </c>
      <c r="C35" s="72"/>
      <c r="D35" s="72"/>
      <c r="E35" s="72"/>
      <c r="F35" s="73"/>
      <c r="H35" s="71" t="s">
        <v>76</v>
      </c>
      <c r="I35" s="72"/>
      <c r="J35" s="72"/>
      <c r="K35" s="72"/>
      <c r="L35" s="73"/>
    </row>
    <row r="36" spans="2:12" ht="16.2" x14ac:dyDescent="0.3">
      <c r="B36" s="40" t="s">
        <v>59</v>
      </c>
      <c r="C36"/>
      <c r="D36">
        <v>1444</v>
      </c>
      <c r="E36" t="s">
        <v>63</v>
      </c>
      <c r="F36" s="34"/>
      <c r="H36" s="40" t="s">
        <v>59</v>
      </c>
      <c r="I36"/>
      <c r="J36">
        <v>1000</v>
      </c>
      <c r="K36" t="s">
        <v>63</v>
      </c>
      <c r="L36" s="34"/>
    </row>
    <row r="37" spans="2:12" x14ac:dyDescent="0.3">
      <c r="B37" s="40" t="s">
        <v>60</v>
      </c>
      <c r="C37"/>
      <c r="D37">
        <v>10</v>
      </c>
      <c r="E37" t="s">
        <v>55</v>
      </c>
      <c r="F37" s="34"/>
      <c r="H37" s="40" t="s">
        <v>60</v>
      </c>
      <c r="I37"/>
      <c r="J37">
        <v>10</v>
      </c>
      <c r="K37" t="s">
        <v>55</v>
      </c>
      <c r="L37" s="34"/>
    </row>
    <row r="38" spans="2:12" x14ac:dyDescent="0.3">
      <c r="B38" s="40" t="s">
        <v>61</v>
      </c>
      <c r="C38"/>
      <c r="D38">
        <v>2</v>
      </c>
      <c r="F38" s="34"/>
      <c r="H38" s="40" t="s">
        <v>61</v>
      </c>
      <c r="I38"/>
      <c r="J38">
        <v>2</v>
      </c>
      <c r="L38" s="34"/>
    </row>
    <row r="39" spans="2:12" x14ac:dyDescent="0.3">
      <c r="B39" s="40" t="s">
        <v>62</v>
      </c>
      <c r="C39"/>
      <c r="D39">
        <f>(((PI()*D37*D37/4)*D38)/D36)*1000</f>
        <v>108.78090905781833</v>
      </c>
      <c r="E39" t="s">
        <v>55</v>
      </c>
      <c r="F39" s="34"/>
      <c r="H39" s="40" t="s">
        <v>62</v>
      </c>
      <c r="I39"/>
      <c r="J39">
        <f>(((PI()*J37*J37/4)*J38)/J36)*1000</f>
        <v>157.07963267948966</v>
      </c>
      <c r="K39" t="s">
        <v>55</v>
      </c>
      <c r="L39" s="34"/>
    </row>
    <row r="40" spans="2:12" x14ac:dyDescent="0.3">
      <c r="B40" s="40" t="s">
        <v>64</v>
      </c>
      <c r="C40"/>
      <c r="D40">
        <v>100</v>
      </c>
      <c r="E40" t="str">
        <f>IF(D39&gt;=D40, "OK", "NOT OK")</f>
        <v>OK</v>
      </c>
      <c r="F40" s="34"/>
      <c r="H40" s="40" t="s">
        <v>64</v>
      </c>
      <c r="I40"/>
      <c r="J40">
        <v>150</v>
      </c>
      <c r="K40" t="str">
        <f>IF(J39&gt;=J40, "OK", "NOT OK")</f>
        <v>OK</v>
      </c>
      <c r="L40" s="34"/>
    </row>
    <row r="41" spans="2:12" ht="15" thickBot="1" x14ac:dyDescent="0.35">
      <c r="B41" s="41"/>
      <c r="C41" s="35"/>
      <c r="D41" s="37" t="str">
        <f>CONCATENATE(D38,"L-",D37,"mm bars @",D40,"mm C/C")</f>
        <v>2L-10mm bars @100mm C/C</v>
      </c>
      <c r="E41" s="37"/>
      <c r="F41" s="38"/>
      <c r="H41" s="41"/>
      <c r="I41" s="35"/>
      <c r="J41" s="37" t="str">
        <f>CONCATENATE(J38,"L-",J37,"mm bars @",J40,"mm C/C")</f>
        <v>2L-10mm bars @150mm C/C</v>
      </c>
      <c r="K41" s="37"/>
      <c r="L41" s="38"/>
    </row>
    <row r="42" spans="2:12" x14ac:dyDescent="0.3">
      <c r="C42"/>
      <c r="H42"/>
      <c r="I42"/>
    </row>
    <row r="43" spans="2:12" ht="15" thickBot="1" x14ac:dyDescent="0.35">
      <c r="C43"/>
      <c r="H43"/>
      <c r="I43"/>
    </row>
    <row r="44" spans="2:12" x14ac:dyDescent="0.3">
      <c r="B44" s="74" t="s">
        <v>73</v>
      </c>
      <c r="C44" s="75"/>
      <c r="D44" s="75"/>
      <c r="E44" s="75"/>
      <c r="F44" s="75"/>
      <c r="G44" s="75"/>
      <c r="H44" s="76"/>
      <c r="I44"/>
    </row>
    <row r="45" spans="2:12" x14ac:dyDescent="0.3">
      <c r="B45" s="33"/>
      <c r="C45" s="49" t="s">
        <v>65</v>
      </c>
      <c r="D45" s="51" t="s">
        <v>68</v>
      </c>
      <c r="E45" s="52"/>
      <c r="F45" s="52"/>
      <c r="G45" s="52"/>
      <c r="H45" s="53"/>
      <c r="I45"/>
    </row>
    <row r="46" spans="2:12" x14ac:dyDescent="0.3">
      <c r="B46" s="33"/>
      <c r="C46" s="50"/>
      <c r="D46" s="39" t="s">
        <v>69</v>
      </c>
      <c r="E46" s="39" t="s">
        <v>20</v>
      </c>
      <c r="F46" s="39" t="s">
        <v>70</v>
      </c>
      <c r="G46" s="39" t="s">
        <v>20</v>
      </c>
      <c r="H46" s="43" t="s">
        <v>71</v>
      </c>
      <c r="I46"/>
    </row>
    <row r="47" spans="2:12" x14ac:dyDescent="0.3">
      <c r="B47" s="30" t="s">
        <v>66</v>
      </c>
      <c r="C47" s="4">
        <v>171</v>
      </c>
      <c r="D47" s="4">
        <v>3</v>
      </c>
      <c r="E47" s="4">
        <v>12</v>
      </c>
      <c r="F47" s="4"/>
      <c r="G47" s="4"/>
      <c r="H47" s="31">
        <f>(PI()*E47^2/4)*D47+(PI()*G47^2/4)*F47</f>
        <v>339.29200658769764</v>
      </c>
      <c r="I47" t="str">
        <f>IF(H47&gt;=C47,"OK","NOT OK")</f>
        <v>OK</v>
      </c>
    </row>
    <row r="48" spans="2:12" ht="15" thickBot="1" x14ac:dyDescent="0.35">
      <c r="B48" s="44" t="s">
        <v>67</v>
      </c>
      <c r="C48" s="36">
        <v>171</v>
      </c>
      <c r="D48" s="36">
        <v>3</v>
      </c>
      <c r="E48" s="36">
        <v>12</v>
      </c>
      <c r="F48" s="36"/>
      <c r="G48" s="36"/>
      <c r="H48" s="45">
        <f>(PI()*E48^2/4)*D48+(PI()*G48^2/4)*F48</f>
        <v>339.29200658769764</v>
      </c>
      <c r="I48" t="str">
        <f>IF(H48&gt;=C48,"OK","NOT OK")</f>
        <v>OK</v>
      </c>
    </row>
  </sheetData>
  <mergeCells count="11">
    <mergeCell ref="B35:F35"/>
    <mergeCell ref="H35:L35"/>
    <mergeCell ref="B44:H44"/>
    <mergeCell ref="A1:J1"/>
    <mergeCell ref="A2:A3"/>
    <mergeCell ref="B2:B3"/>
    <mergeCell ref="C2:C3"/>
    <mergeCell ref="D2:G2"/>
    <mergeCell ref="H2:H3"/>
    <mergeCell ref="I2:I3"/>
    <mergeCell ref="J2:J3"/>
  </mergeCells>
  <conditionalFormatting sqref="A1:K1 A9:L9 A2:L4 X1:XFD4 A31:XFD1048576 L5:L8 L10:L17 Y5:XFD17 A23:L23 A18:L18 X18:XFD18 L19:L22 L24:L30 Y19:XFD30">
    <cfRule type="containsText" dxfId="481" priority="46" operator="containsText" text="NOT OK">
      <formula>NOT(ISERROR(SEARCH("NOT OK",A1)))</formula>
    </cfRule>
    <cfRule type="containsText" dxfId="480" priority="47" operator="containsText" text="OK">
      <formula>NOT(ISERROR(SEARCH("OK",A1)))</formula>
    </cfRule>
  </conditionalFormatting>
  <conditionalFormatting sqref="B44 C45:D45 D46:H46 B47:I48">
    <cfRule type="containsText" dxfId="479" priority="43" operator="containsText" text="NOT OK">
      <formula>NOT(ISERROR(SEARCH("NOT OK",B44)))</formula>
    </cfRule>
    <cfRule type="containsText" dxfId="478" priority="44" operator="containsText" text="NG">
      <formula>NOT(ISERROR(SEARCH("NG",B44)))</formula>
    </cfRule>
    <cfRule type="containsText" dxfId="477" priority="45" operator="containsText" text="OK">
      <formula>NOT(ISERROR(SEARCH("OK",B44)))</formula>
    </cfRule>
  </conditionalFormatting>
  <conditionalFormatting sqref="H35">
    <cfRule type="containsText" dxfId="476" priority="41" operator="containsText" text="NOT OK">
      <formula>NOT(ISERROR(SEARCH("NOT OK",H35)))</formula>
    </cfRule>
    <cfRule type="containsText" dxfId="475" priority="42" operator="containsText" text="OK">
      <formula>NOT(ISERROR(SEARCH("OK",H35)))</formula>
    </cfRule>
  </conditionalFormatting>
  <conditionalFormatting sqref="A5:K5">
    <cfRule type="containsText" dxfId="474" priority="39" operator="containsText" text="NOT OK">
      <formula>NOT(ISERROR(SEARCH("NOT OK",A5)))</formula>
    </cfRule>
    <cfRule type="containsText" dxfId="473" priority="40" operator="containsText" text="OK">
      <formula>NOT(ISERROR(SEARCH("OK",A5)))</formula>
    </cfRule>
  </conditionalFormatting>
  <conditionalFormatting sqref="A6:A8">
    <cfRule type="containsText" dxfId="472" priority="37" operator="containsText" text="NOT OK">
      <formula>NOT(ISERROR(SEARCH("NOT OK",A6)))</formula>
    </cfRule>
    <cfRule type="containsText" dxfId="471" priority="38" operator="containsText" text="OK">
      <formula>NOT(ISERROR(SEARCH("OK",A6)))</formula>
    </cfRule>
  </conditionalFormatting>
  <conditionalFormatting sqref="B7:B8">
    <cfRule type="containsText" dxfId="470" priority="35" operator="containsText" text="NOT OK">
      <formula>NOT(ISERROR(SEARCH("NOT OK",B7)))</formula>
    </cfRule>
    <cfRule type="containsText" dxfId="469" priority="36" operator="containsText" text="OK">
      <formula>NOT(ISERROR(SEARCH("OK",B7)))</formula>
    </cfRule>
  </conditionalFormatting>
  <conditionalFormatting sqref="B6">
    <cfRule type="containsText" dxfId="468" priority="33" operator="containsText" text="NOT OK">
      <formula>NOT(ISERROR(SEARCH("NOT OK",B6)))</formula>
    </cfRule>
    <cfRule type="containsText" dxfId="467" priority="34" operator="containsText" text="OK">
      <formula>NOT(ISERROR(SEARCH("OK",B6)))</formula>
    </cfRule>
  </conditionalFormatting>
  <conditionalFormatting sqref="C6:J8">
    <cfRule type="containsText" dxfId="466" priority="31" operator="containsText" text="NOT OK">
      <formula>NOT(ISERROR(SEARCH("NOT OK",C6)))</formula>
    </cfRule>
    <cfRule type="containsText" dxfId="465" priority="32" operator="containsText" text="OK">
      <formula>NOT(ISERROR(SEARCH("OK",C6)))</formula>
    </cfRule>
  </conditionalFormatting>
  <conditionalFormatting sqref="K6:K8">
    <cfRule type="containsText" dxfId="464" priority="29" operator="containsText" text="NOT OK">
      <formula>NOT(ISERROR(SEARCH("NOT OK",K6)))</formula>
    </cfRule>
    <cfRule type="containsText" dxfId="463" priority="30" operator="containsText" text="OK">
      <formula>NOT(ISERROR(SEARCH("OK",K6)))</formula>
    </cfRule>
  </conditionalFormatting>
  <conditionalFormatting sqref="A10:A17 A24:A30">
    <cfRule type="containsText" dxfId="462" priority="27" operator="containsText" text="NOT OK">
      <formula>NOT(ISERROR(SEARCH("NOT OK",A10)))</formula>
    </cfRule>
    <cfRule type="containsText" dxfId="461" priority="28" operator="containsText" text="OK">
      <formula>NOT(ISERROR(SEARCH("OK",A10)))</formula>
    </cfRule>
  </conditionalFormatting>
  <conditionalFormatting sqref="B11:B13 B15:B17 B25:B27 B29:B30">
    <cfRule type="containsText" dxfId="460" priority="25" operator="containsText" text="NOT OK">
      <formula>NOT(ISERROR(SEARCH("NOT OK",B11)))</formula>
    </cfRule>
    <cfRule type="containsText" dxfId="459" priority="26" operator="containsText" text="OK">
      <formula>NOT(ISERROR(SEARCH("OK",B11)))</formula>
    </cfRule>
  </conditionalFormatting>
  <conditionalFormatting sqref="B10">
    <cfRule type="containsText" dxfId="458" priority="23" operator="containsText" text="NOT OK">
      <formula>NOT(ISERROR(SEARCH("NOT OK",B10)))</formula>
    </cfRule>
    <cfRule type="containsText" dxfId="457" priority="24" operator="containsText" text="OK">
      <formula>NOT(ISERROR(SEARCH("OK",B10)))</formula>
    </cfRule>
  </conditionalFormatting>
  <conditionalFormatting sqref="C10:J17 C24:J30">
    <cfRule type="containsText" dxfId="456" priority="21" operator="containsText" text="NOT OK">
      <formula>NOT(ISERROR(SEARCH("NOT OK",C10)))</formula>
    </cfRule>
    <cfRule type="containsText" dxfId="455" priority="22" operator="containsText" text="OK">
      <formula>NOT(ISERROR(SEARCH("OK",C10)))</formula>
    </cfRule>
  </conditionalFormatting>
  <conditionalFormatting sqref="K10:K17 K24:K30">
    <cfRule type="containsText" dxfId="454" priority="19" operator="containsText" text="NOT OK">
      <formula>NOT(ISERROR(SEARCH("NOT OK",K10)))</formula>
    </cfRule>
    <cfRule type="containsText" dxfId="453" priority="20" operator="containsText" text="OK">
      <formula>NOT(ISERROR(SEARCH("OK",K10)))</formula>
    </cfRule>
  </conditionalFormatting>
  <conditionalFormatting sqref="B14">
    <cfRule type="containsText" dxfId="452" priority="17" operator="containsText" text="NOT OK">
      <formula>NOT(ISERROR(SEARCH("NOT OK",B14)))</formula>
    </cfRule>
    <cfRule type="containsText" dxfId="451" priority="18" operator="containsText" text="OK">
      <formula>NOT(ISERROR(SEARCH("OK",B14)))</formula>
    </cfRule>
  </conditionalFormatting>
  <conditionalFormatting sqref="A19:K19">
    <cfRule type="containsText" dxfId="450" priority="15" operator="containsText" text="NOT OK">
      <formula>NOT(ISERROR(SEARCH("NOT OK",A19)))</formula>
    </cfRule>
    <cfRule type="containsText" dxfId="449" priority="16" operator="containsText" text="OK">
      <formula>NOT(ISERROR(SEARCH("OK",A19)))</formula>
    </cfRule>
  </conditionalFormatting>
  <conditionalFormatting sqref="A20:A22">
    <cfRule type="containsText" dxfId="448" priority="13" operator="containsText" text="NOT OK">
      <formula>NOT(ISERROR(SEARCH("NOT OK",A20)))</formula>
    </cfRule>
    <cfRule type="containsText" dxfId="447" priority="14" operator="containsText" text="OK">
      <formula>NOT(ISERROR(SEARCH("OK",A20)))</formula>
    </cfRule>
  </conditionalFormatting>
  <conditionalFormatting sqref="B21:B22">
    <cfRule type="containsText" dxfId="446" priority="11" operator="containsText" text="NOT OK">
      <formula>NOT(ISERROR(SEARCH("NOT OK",B21)))</formula>
    </cfRule>
    <cfRule type="containsText" dxfId="445" priority="12" operator="containsText" text="OK">
      <formula>NOT(ISERROR(SEARCH("OK",B21)))</formula>
    </cfRule>
  </conditionalFormatting>
  <conditionalFormatting sqref="B20">
    <cfRule type="containsText" dxfId="444" priority="9" operator="containsText" text="NOT OK">
      <formula>NOT(ISERROR(SEARCH("NOT OK",B20)))</formula>
    </cfRule>
    <cfRule type="containsText" dxfId="443" priority="10" operator="containsText" text="OK">
      <formula>NOT(ISERROR(SEARCH("OK",B20)))</formula>
    </cfRule>
  </conditionalFormatting>
  <conditionalFormatting sqref="C20:J22">
    <cfRule type="containsText" dxfId="442" priority="7" operator="containsText" text="NOT OK">
      <formula>NOT(ISERROR(SEARCH("NOT OK",C20)))</formula>
    </cfRule>
    <cfRule type="containsText" dxfId="441" priority="8" operator="containsText" text="OK">
      <formula>NOT(ISERROR(SEARCH("OK",C20)))</formula>
    </cfRule>
  </conditionalFormatting>
  <conditionalFormatting sqref="K20:K22">
    <cfRule type="containsText" dxfId="440" priority="5" operator="containsText" text="NOT OK">
      <formula>NOT(ISERROR(SEARCH("NOT OK",K20)))</formula>
    </cfRule>
    <cfRule type="containsText" dxfId="439" priority="6" operator="containsText" text="OK">
      <formula>NOT(ISERROR(SEARCH("OK",K20)))</formula>
    </cfRule>
  </conditionalFormatting>
  <conditionalFormatting sqref="B24">
    <cfRule type="containsText" dxfId="438" priority="3" operator="containsText" text="NOT OK">
      <formula>NOT(ISERROR(SEARCH("NOT OK",B24)))</formula>
    </cfRule>
    <cfRule type="containsText" dxfId="437" priority="4" operator="containsText" text="OK">
      <formula>NOT(ISERROR(SEARCH("OK",B24)))</formula>
    </cfRule>
  </conditionalFormatting>
  <conditionalFormatting sqref="B28">
    <cfRule type="containsText" dxfId="436" priority="1" operator="containsText" text="NOT OK">
      <formula>NOT(ISERROR(SEARCH("NOT OK",B28)))</formula>
    </cfRule>
    <cfRule type="containsText" dxfId="435" priority="2" operator="containsText" text="OK">
      <formula>NOT(ISERROR(SEARCH("OK",B28)))</formula>
    </cfRule>
  </conditionalFormatting>
  <pageMargins left="1.01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8E5A-8EB1-4579-82DC-2911503176BF}">
  <dimension ref="A1:X35"/>
  <sheetViews>
    <sheetView zoomScale="85" zoomScaleNormal="85" zoomScaleSheetLayoutView="100" workbookViewId="0">
      <selection activeCell="G32" sqref="G32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5.3320312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10" max="10" width="9.109375"/>
    <col min="13" max="15" width="9.109375"/>
    <col min="22" max="22" width="9.5546875" bestFit="1" customWidth="1"/>
  </cols>
  <sheetData>
    <row r="1" spans="1:24" ht="29.25" customHeight="1" thickBot="1" x14ac:dyDescent="0.35">
      <c r="A1" s="77" t="s">
        <v>85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4" x14ac:dyDescent="0.3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</row>
    <row r="3" spans="1:24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</row>
    <row r="4" spans="1:24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</row>
    <row r="5" spans="1:24" x14ac:dyDescent="0.3">
      <c r="A5" s="33"/>
      <c r="B5" s="4"/>
      <c r="C5" s="3"/>
      <c r="D5" s="4"/>
      <c r="E5" s="4"/>
      <c r="F5" s="4"/>
      <c r="G5" s="4"/>
      <c r="H5" s="3"/>
      <c r="I5" s="5"/>
      <c r="J5" s="31"/>
    </row>
    <row r="6" spans="1:24" x14ac:dyDescent="0.3">
      <c r="A6" s="32" t="s">
        <v>82</v>
      </c>
      <c r="B6" s="4" t="s">
        <v>117</v>
      </c>
      <c r="C6" s="3">
        <v>691</v>
      </c>
      <c r="D6" s="46">
        <v>3</v>
      </c>
      <c r="E6" s="46">
        <v>16</v>
      </c>
      <c r="F6" s="46"/>
      <c r="G6" s="46"/>
      <c r="H6" s="3">
        <f>D6*(3.14*(E6^2)/4)+F6*(3.14*(G6^2)/4)</f>
        <v>602.88</v>
      </c>
      <c r="I6" s="5">
        <f>H6/(450*300)*100</f>
        <v>0.4465777777777778</v>
      </c>
      <c r="J6" s="31" t="s">
        <v>56</v>
      </c>
      <c r="K6" t="str">
        <f>IF((H6+H8)&gt;=C6,"OK","NOT OK")</f>
        <v>OK</v>
      </c>
      <c r="L6" t="s">
        <v>90</v>
      </c>
    </row>
    <row r="7" spans="1:24" x14ac:dyDescent="0.3">
      <c r="A7" s="33" t="s">
        <v>98</v>
      </c>
      <c r="B7" s="4"/>
      <c r="C7" s="3">
        <v>597</v>
      </c>
      <c r="D7" s="46">
        <v>2</v>
      </c>
      <c r="E7" s="46">
        <v>16</v>
      </c>
      <c r="F7" s="46">
        <v>1</v>
      </c>
      <c r="G7" s="46">
        <v>16</v>
      </c>
      <c r="H7" s="3">
        <f>D7*(3.14*E7^2/4)+F7*(3.14*G7^2/4)</f>
        <v>602.88</v>
      </c>
      <c r="I7" s="5">
        <f t="shared" ref="I7:I8" si="0">H7/(450*300)*100</f>
        <v>0.4465777777777778</v>
      </c>
      <c r="J7" s="31" t="s">
        <v>57</v>
      </c>
      <c r="K7" t="str">
        <f t="shared" ref="K7" si="1">IF(H7&gt;=C7,"OK","NOT OK")</f>
        <v>OK</v>
      </c>
    </row>
    <row r="8" spans="1:24" x14ac:dyDescent="0.3">
      <c r="A8" s="33"/>
      <c r="B8" s="4"/>
      <c r="C8" s="3">
        <f>C6-H6</f>
        <v>88.12</v>
      </c>
      <c r="D8" s="46">
        <v>1</v>
      </c>
      <c r="E8" s="46">
        <v>16</v>
      </c>
      <c r="F8" s="46"/>
      <c r="G8" s="46"/>
      <c r="H8" s="3">
        <f t="shared" ref="H8" si="2">D8*(3.14*E8^2/4)+F8*(3.14*G8^2/4)</f>
        <v>200.96</v>
      </c>
      <c r="I8" s="5">
        <f t="shared" si="0"/>
        <v>0.14885925925925925</v>
      </c>
      <c r="J8" s="31" t="s">
        <v>58</v>
      </c>
      <c r="K8" t="str">
        <f>IF(H8&gt;=C8,"OK","NOT OK")</f>
        <v>OK</v>
      </c>
    </row>
    <row r="9" spans="1:24" x14ac:dyDescent="0.3">
      <c r="A9" s="33"/>
      <c r="B9" s="4"/>
      <c r="C9" s="3"/>
      <c r="D9" s="4"/>
      <c r="E9" s="4"/>
      <c r="F9" s="4"/>
      <c r="G9" s="4"/>
      <c r="H9" s="3"/>
      <c r="I9" s="5"/>
      <c r="J9" s="31"/>
    </row>
    <row r="10" spans="1:24" x14ac:dyDescent="0.3">
      <c r="A10" s="32" t="s">
        <v>82</v>
      </c>
      <c r="B10" s="4" t="s">
        <v>117</v>
      </c>
      <c r="C10" s="3">
        <v>543</v>
      </c>
      <c r="D10" s="46">
        <v>3</v>
      </c>
      <c r="E10" s="46">
        <v>16</v>
      </c>
      <c r="F10" s="46"/>
      <c r="G10" s="46"/>
      <c r="H10" s="3">
        <f>D10*(3.14*(E10^2)/4)+F10*(3.14*(G10^2)/4)</f>
        <v>602.88</v>
      </c>
      <c r="I10" s="5">
        <f>H10/(450*300)*100</f>
        <v>0.4465777777777778</v>
      </c>
      <c r="J10" s="31" t="s">
        <v>56</v>
      </c>
      <c r="K10" t="str">
        <f>IF((H10+H12)&gt;=C10,"OK","NOT OK")</f>
        <v>OK</v>
      </c>
      <c r="L10" t="s">
        <v>90</v>
      </c>
    </row>
    <row r="11" spans="1:24" x14ac:dyDescent="0.3">
      <c r="A11" s="33" t="s">
        <v>99</v>
      </c>
      <c r="B11" s="4"/>
      <c r="C11" s="3">
        <v>325</v>
      </c>
      <c r="D11" s="46">
        <v>2</v>
      </c>
      <c r="E11" s="46">
        <v>16</v>
      </c>
      <c r="F11" s="46"/>
      <c r="G11" s="46"/>
      <c r="H11" s="3">
        <f>D11*(3.14*E11^2/4)+F11*(3.14*G11^2/4)</f>
        <v>401.92</v>
      </c>
      <c r="I11" s="5">
        <f t="shared" ref="I11:I12" si="3">H11/(450*300)*100</f>
        <v>0.29771851851851849</v>
      </c>
      <c r="J11" s="31" t="s">
        <v>57</v>
      </c>
      <c r="K11" t="str">
        <f t="shared" ref="K11" si="4">IF(H11&gt;=C11,"OK","NOT OK")</f>
        <v>OK</v>
      </c>
    </row>
    <row r="12" spans="1:24" x14ac:dyDescent="0.3">
      <c r="A12" s="33"/>
      <c r="B12" s="4"/>
      <c r="C12" s="3">
        <f>C10-H10</f>
        <v>-59.879999999999995</v>
      </c>
      <c r="D12" s="46"/>
      <c r="E12" s="46"/>
      <c r="F12" s="46"/>
      <c r="G12" s="46"/>
      <c r="H12" s="3">
        <f t="shared" ref="H12" si="5">D12*(3.14*E12^2/4)+F12*(3.14*G12^2/4)</f>
        <v>0</v>
      </c>
      <c r="I12" s="5">
        <f t="shared" si="3"/>
        <v>0</v>
      </c>
      <c r="J12" s="31" t="s">
        <v>58</v>
      </c>
      <c r="K12" t="str">
        <f>IF(H12&gt;=C12,"OK","NOT OK")</f>
        <v>OK</v>
      </c>
    </row>
    <row r="13" spans="1:24" x14ac:dyDescent="0.3">
      <c r="A13" s="32"/>
      <c r="B13" s="4"/>
      <c r="C13" s="3"/>
      <c r="D13" s="46"/>
      <c r="E13" s="46"/>
      <c r="F13" s="46"/>
      <c r="G13" s="46"/>
      <c r="H13" s="3"/>
      <c r="I13" s="5"/>
      <c r="J13" s="31"/>
    </row>
    <row r="14" spans="1:24" x14ac:dyDescent="0.3">
      <c r="A14" s="32" t="s">
        <v>82</v>
      </c>
      <c r="B14" s="4" t="s">
        <v>117</v>
      </c>
      <c r="C14" s="3">
        <v>589</v>
      </c>
      <c r="D14" s="46">
        <v>3</v>
      </c>
      <c r="E14" s="46">
        <v>16</v>
      </c>
      <c r="F14" s="46"/>
      <c r="G14" s="46"/>
      <c r="H14" s="3">
        <f>D14*(3.14*(E14^2)/4)+F14*(3.14*(G14^2)/4)</f>
        <v>602.88</v>
      </c>
      <c r="I14" s="5">
        <f>H14/(450*300)*100</f>
        <v>0.4465777777777778</v>
      </c>
      <c r="J14" s="31" t="s">
        <v>56</v>
      </c>
      <c r="K14" t="str">
        <f>IF((H14+H16)&gt;=C14,"OK","NOT OK")</f>
        <v>OK</v>
      </c>
      <c r="L14" t="s">
        <v>90</v>
      </c>
    </row>
    <row r="15" spans="1:24" x14ac:dyDescent="0.3">
      <c r="A15" s="33" t="s">
        <v>100</v>
      </c>
      <c r="B15" s="4"/>
      <c r="C15" s="3">
        <v>295</v>
      </c>
      <c r="D15" s="46">
        <v>2</v>
      </c>
      <c r="E15" s="46">
        <v>16</v>
      </c>
      <c r="F15" s="46"/>
      <c r="G15" s="46"/>
      <c r="H15" s="3">
        <f>D15*(3.14*E15^2/4)+F15*(3.14*G15^2/4)</f>
        <v>401.92</v>
      </c>
      <c r="I15" s="5">
        <f t="shared" ref="I15:I16" si="6">H15/(450*300)*100</f>
        <v>0.29771851851851849</v>
      </c>
      <c r="J15" s="31" t="s">
        <v>57</v>
      </c>
      <c r="K15" t="str">
        <f t="shared" ref="K15" si="7">IF(H15&gt;=C15,"OK","NOT OK")</f>
        <v>OK</v>
      </c>
    </row>
    <row r="16" spans="1:24" x14ac:dyDescent="0.3">
      <c r="A16" s="33"/>
      <c r="B16" s="4"/>
      <c r="C16" s="3">
        <f>C14-H14</f>
        <v>-13.879999999999995</v>
      </c>
      <c r="D16" s="46"/>
      <c r="E16" s="46"/>
      <c r="F16" s="46"/>
      <c r="G16" s="46"/>
      <c r="H16" s="3">
        <f t="shared" ref="H16" si="8">D16*(3.14*E16^2/4)+F16*(3.14*G16^2/4)</f>
        <v>0</v>
      </c>
      <c r="I16" s="5">
        <f t="shared" si="6"/>
        <v>0</v>
      </c>
      <c r="J16" s="31" t="s">
        <v>58</v>
      </c>
      <c r="K16" t="str">
        <f>IF(H16&gt;=C16,"OK","NOT OK")</f>
        <v>OK</v>
      </c>
    </row>
    <row r="17" spans="1:12" x14ac:dyDescent="0.3">
      <c r="A17" s="32"/>
      <c r="B17" s="4"/>
      <c r="C17" s="3"/>
      <c r="D17" s="46"/>
      <c r="E17" s="46"/>
      <c r="F17" s="46"/>
      <c r="G17" s="46"/>
      <c r="H17" s="3"/>
      <c r="I17" s="5"/>
      <c r="J17" s="31"/>
    </row>
    <row r="18" spans="1:12" ht="15" thickBot="1" x14ac:dyDescent="0.35">
      <c r="A18" s="54"/>
      <c r="B18" s="36"/>
      <c r="C18" s="55"/>
      <c r="D18" s="36"/>
      <c r="E18" s="36"/>
      <c r="F18" s="36"/>
      <c r="G18" s="36"/>
      <c r="H18" s="55"/>
      <c r="I18" s="56"/>
      <c r="J18" s="45"/>
    </row>
    <row r="21" spans="1:12" ht="15" thickBot="1" x14ac:dyDescent="0.35"/>
    <row r="22" spans="1:12" ht="15" thickBot="1" x14ac:dyDescent="0.35">
      <c r="B22" s="71" t="s">
        <v>75</v>
      </c>
      <c r="C22" s="72"/>
      <c r="D22" s="72"/>
      <c r="E22" s="72"/>
      <c r="F22" s="73"/>
      <c r="H22" s="71" t="s">
        <v>76</v>
      </c>
      <c r="I22" s="72"/>
      <c r="J22" s="72"/>
      <c r="K22" s="72"/>
      <c r="L22" s="73"/>
    </row>
    <row r="23" spans="1:12" ht="16.2" x14ac:dyDescent="0.3">
      <c r="B23" s="40" t="s">
        <v>59</v>
      </c>
      <c r="C23"/>
      <c r="D23">
        <v>1333.85</v>
      </c>
      <c r="E23" t="s">
        <v>63</v>
      </c>
      <c r="F23" s="34"/>
      <c r="H23" s="40" t="s">
        <v>59</v>
      </c>
      <c r="I23"/>
      <c r="J23">
        <v>1168</v>
      </c>
      <c r="K23" t="s">
        <v>63</v>
      </c>
      <c r="L23" s="34"/>
    </row>
    <row r="24" spans="1:12" x14ac:dyDescent="0.3">
      <c r="B24" s="40" t="s">
        <v>60</v>
      </c>
      <c r="C24"/>
      <c r="D24">
        <v>10</v>
      </c>
      <c r="E24" t="s">
        <v>55</v>
      </c>
      <c r="F24" s="34"/>
      <c r="H24" s="40" t="s">
        <v>60</v>
      </c>
      <c r="I24"/>
      <c r="J24">
        <v>10</v>
      </c>
      <c r="K24" t="s">
        <v>55</v>
      </c>
      <c r="L24" s="34"/>
    </row>
    <row r="25" spans="1:12" x14ac:dyDescent="0.3">
      <c r="B25" s="40" t="s">
        <v>61</v>
      </c>
      <c r="C25"/>
      <c r="D25">
        <v>2</v>
      </c>
      <c r="F25" s="34"/>
      <c r="H25" s="40" t="s">
        <v>61</v>
      </c>
      <c r="I25"/>
      <c r="J25">
        <v>2</v>
      </c>
      <c r="L25" s="34"/>
    </row>
    <row r="26" spans="1:12" x14ac:dyDescent="0.3">
      <c r="B26" s="40" t="s">
        <v>62</v>
      </c>
      <c r="C26"/>
      <c r="D26">
        <f>(((PI()*D24*D24/4)*D25)/D23)*1000</f>
        <v>117.76409092438406</v>
      </c>
      <c r="E26" t="s">
        <v>55</v>
      </c>
      <c r="F26" s="34"/>
      <c r="H26" s="40" t="s">
        <v>62</v>
      </c>
      <c r="I26"/>
      <c r="J26">
        <f>(((PI()*J24*J24/4)*J25)/J23)*1000</f>
        <v>134.48598688312472</v>
      </c>
      <c r="K26" t="s">
        <v>55</v>
      </c>
      <c r="L26" s="34"/>
    </row>
    <row r="27" spans="1:12" x14ac:dyDescent="0.3">
      <c r="B27" s="40" t="s">
        <v>64</v>
      </c>
      <c r="C27"/>
      <c r="D27">
        <v>100</v>
      </c>
      <c r="E27" t="str">
        <f>IF(D26&gt;=D27, "OK", "NOT OK")</f>
        <v>OK</v>
      </c>
      <c r="F27" s="34"/>
      <c r="H27" s="40" t="s">
        <v>64</v>
      </c>
      <c r="I27"/>
      <c r="J27">
        <v>125</v>
      </c>
      <c r="K27" t="str">
        <f>IF(J26&gt;=J27, "OK", "NOT OK")</f>
        <v>OK</v>
      </c>
      <c r="L27" s="34"/>
    </row>
    <row r="28" spans="1:12" ht="15" thickBot="1" x14ac:dyDescent="0.35">
      <c r="B28" s="41"/>
      <c r="C28" s="35"/>
      <c r="D28" s="37" t="str">
        <f>CONCATENATE(D25,"L-",D24,"mm bars @",D27,"mm C/C")</f>
        <v>2L-10mm bars @100mm C/C</v>
      </c>
      <c r="E28" s="37"/>
      <c r="F28" s="38"/>
      <c r="H28" s="41"/>
      <c r="I28" s="35"/>
      <c r="J28" s="37" t="str">
        <f>CONCATENATE(J25,"L-",J24,"mm bars @",J27,"mm C/C")</f>
        <v>2L-10mm bars @125mm C/C</v>
      </c>
      <c r="K28" s="37"/>
      <c r="L28" s="38"/>
    </row>
    <row r="29" spans="1:12" x14ac:dyDescent="0.3">
      <c r="C29"/>
      <c r="H29"/>
      <c r="I29"/>
    </row>
    <row r="30" spans="1:12" ht="15" thickBot="1" x14ac:dyDescent="0.35">
      <c r="C30"/>
      <c r="H30"/>
      <c r="I30"/>
    </row>
    <row r="31" spans="1:12" x14ac:dyDescent="0.3">
      <c r="B31" s="74" t="s">
        <v>73</v>
      </c>
      <c r="C31" s="75"/>
      <c r="D31" s="75"/>
      <c r="E31" s="75"/>
      <c r="F31" s="75"/>
      <c r="G31" s="75"/>
      <c r="H31" s="76"/>
      <c r="I31"/>
    </row>
    <row r="32" spans="1:12" x14ac:dyDescent="0.3">
      <c r="B32" s="33"/>
      <c r="C32" s="49" t="s">
        <v>65</v>
      </c>
      <c r="D32" s="51" t="s">
        <v>68</v>
      </c>
      <c r="E32" s="52"/>
      <c r="F32" s="52"/>
      <c r="G32" s="52"/>
      <c r="H32" s="53"/>
      <c r="I32"/>
    </row>
    <row r="33" spans="2:9" x14ac:dyDescent="0.3">
      <c r="B33" s="33"/>
      <c r="C33" s="50"/>
      <c r="D33" s="39" t="s">
        <v>69</v>
      </c>
      <c r="E33" s="39" t="s">
        <v>20</v>
      </c>
      <c r="F33" s="39" t="s">
        <v>70</v>
      </c>
      <c r="G33" s="39" t="s">
        <v>20</v>
      </c>
      <c r="H33" s="43" t="s">
        <v>71</v>
      </c>
      <c r="I33"/>
    </row>
    <row r="34" spans="2:9" x14ac:dyDescent="0.3">
      <c r="B34" s="30" t="s">
        <v>66</v>
      </c>
      <c r="C34" s="4">
        <v>171</v>
      </c>
      <c r="D34" s="4">
        <v>3</v>
      </c>
      <c r="E34" s="4">
        <v>12</v>
      </c>
      <c r="F34" s="4"/>
      <c r="G34" s="4"/>
      <c r="H34" s="31">
        <f>(PI()*E34^2/4)*D34+(PI()*G34^2/4)*F34</f>
        <v>339.29200658769764</v>
      </c>
      <c r="I34" t="str">
        <f>IF(H34&gt;=C34,"OK","NOT OK")</f>
        <v>OK</v>
      </c>
    </row>
    <row r="35" spans="2:9" ht="15" thickBot="1" x14ac:dyDescent="0.35">
      <c r="B35" s="44" t="s">
        <v>67</v>
      </c>
      <c r="C35" s="36">
        <v>171</v>
      </c>
      <c r="D35" s="36">
        <v>3</v>
      </c>
      <c r="E35" s="36">
        <v>12</v>
      </c>
      <c r="F35" s="36"/>
      <c r="G35" s="36"/>
      <c r="H35" s="45">
        <f>(PI()*E35^2/4)*D35+(PI()*G35^2/4)*F35</f>
        <v>339.29200658769764</v>
      </c>
      <c r="I35" t="str">
        <f>IF(H35&gt;=C35,"OK","NOT OK")</f>
        <v>OK</v>
      </c>
    </row>
  </sheetData>
  <mergeCells count="11">
    <mergeCell ref="B31:H31"/>
    <mergeCell ref="A1:J1"/>
    <mergeCell ref="B22:F22"/>
    <mergeCell ref="H22:L22"/>
    <mergeCell ref="A2:A3"/>
    <mergeCell ref="B2:B3"/>
    <mergeCell ref="C2:C3"/>
    <mergeCell ref="D2:G2"/>
    <mergeCell ref="H2:H3"/>
    <mergeCell ref="I2:I3"/>
    <mergeCell ref="J2:J3"/>
  </mergeCells>
  <conditionalFormatting sqref="A1:K1 A9:L9 A2:L4 X1:XFD4 A18:XFD1048576 L5:L8 L10:L17 Y5:XFD17">
    <cfRule type="containsText" dxfId="434" priority="324" operator="containsText" text="NOT OK">
      <formula>NOT(ISERROR(SEARCH("NOT OK",A1)))</formula>
    </cfRule>
    <cfRule type="containsText" dxfId="433" priority="325" operator="containsText" text="OK">
      <formula>NOT(ISERROR(SEARCH("OK",A1)))</formula>
    </cfRule>
  </conditionalFormatting>
  <conditionalFormatting sqref="B31 C32:D32 D33:H33 B34:I35">
    <cfRule type="containsText" dxfId="432" priority="321" operator="containsText" text="NOT OK">
      <formula>NOT(ISERROR(SEARCH("NOT OK",B31)))</formula>
    </cfRule>
    <cfRule type="containsText" dxfId="431" priority="322" operator="containsText" text="NG">
      <formula>NOT(ISERROR(SEARCH("NG",B31)))</formula>
    </cfRule>
    <cfRule type="containsText" dxfId="430" priority="323" operator="containsText" text="OK">
      <formula>NOT(ISERROR(SEARCH("OK",B31)))</formula>
    </cfRule>
  </conditionalFormatting>
  <conditionalFormatting sqref="H22">
    <cfRule type="containsText" dxfId="429" priority="319" operator="containsText" text="NOT OK">
      <formula>NOT(ISERROR(SEARCH("NOT OK",H22)))</formula>
    </cfRule>
    <cfRule type="containsText" dxfId="428" priority="320" operator="containsText" text="OK">
      <formula>NOT(ISERROR(SEARCH("OK",H22)))</formula>
    </cfRule>
  </conditionalFormatting>
  <conditionalFormatting sqref="A5:K5">
    <cfRule type="containsText" dxfId="427" priority="295" operator="containsText" text="NOT OK">
      <formula>NOT(ISERROR(SEARCH("NOT OK",A5)))</formula>
    </cfRule>
    <cfRule type="containsText" dxfId="426" priority="296" operator="containsText" text="OK">
      <formula>NOT(ISERROR(SEARCH("OK",A5)))</formula>
    </cfRule>
  </conditionalFormatting>
  <conditionalFormatting sqref="A6:A8">
    <cfRule type="containsText" dxfId="425" priority="291" operator="containsText" text="NOT OK">
      <formula>NOT(ISERROR(SEARCH("NOT OK",A6)))</formula>
    </cfRule>
    <cfRule type="containsText" dxfId="424" priority="292" operator="containsText" text="OK">
      <formula>NOT(ISERROR(SEARCH("OK",A6)))</formula>
    </cfRule>
  </conditionalFormatting>
  <conditionalFormatting sqref="B7:B8">
    <cfRule type="containsText" dxfId="423" priority="119" operator="containsText" text="NOT OK">
      <formula>NOT(ISERROR(SEARCH("NOT OK",B7)))</formula>
    </cfRule>
    <cfRule type="containsText" dxfId="422" priority="120" operator="containsText" text="OK">
      <formula>NOT(ISERROR(SEARCH("OK",B7)))</formula>
    </cfRule>
  </conditionalFormatting>
  <conditionalFormatting sqref="B6">
    <cfRule type="containsText" dxfId="421" priority="115" operator="containsText" text="NOT OK">
      <formula>NOT(ISERROR(SEARCH("NOT OK",B6)))</formula>
    </cfRule>
    <cfRule type="containsText" dxfId="420" priority="116" operator="containsText" text="OK">
      <formula>NOT(ISERROR(SEARCH("OK",B6)))</formula>
    </cfRule>
  </conditionalFormatting>
  <conditionalFormatting sqref="C6:J8">
    <cfRule type="containsText" dxfId="419" priority="23" operator="containsText" text="NOT OK">
      <formula>NOT(ISERROR(SEARCH("NOT OK",C6)))</formula>
    </cfRule>
    <cfRule type="containsText" dxfId="418" priority="24" operator="containsText" text="OK">
      <formula>NOT(ISERROR(SEARCH("OK",C6)))</formula>
    </cfRule>
  </conditionalFormatting>
  <conditionalFormatting sqref="K6:K8">
    <cfRule type="containsText" dxfId="417" priority="21" operator="containsText" text="NOT OK">
      <formula>NOT(ISERROR(SEARCH("NOT OK",K6)))</formula>
    </cfRule>
    <cfRule type="containsText" dxfId="416" priority="22" operator="containsText" text="OK">
      <formula>NOT(ISERROR(SEARCH("OK",K6)))</formula>
    </cfRule>
  </conditionalFormatting>
  <conditionalFormatting sqref="A10:A17">
    <cfRule type="containsText" dxfId="415" priority="11" operator="containsText" text="NOT OK">
      <formula>NOT(ISERROR(SEARCH("NOT OK",A10)))</formula>
    </cfRule>
    <cfRule type="containsText" dxfId="414" priority="12" operator="containsText" text="OK">
      <formula>NOT(ISERROR(SEARCH("OK",A10)))</formula>
    </cfRule>
  </conditionalFormatting>
  <conditionalFormatting sqref="B11:B13 B15:B17">
    <cfRule type="containsText" dxfId="413" priority="9" operator="containsText" text="NOT OK">
      <formula>NOT(ISERROR(SEARCH("NOT OK",B11)))</formula>
    </cfRule>
    <cfRule type="containsText" dxfId="412" priority="10" operator="containsText" text="OK">
      <formula>NOT(ISERROR(SEARCH("OK",B11)))</formula>
    </cfRule>
  </conditionalFormatting>
  <conditionalFormatting sqref="B10">
    <cfRule type="containsText" dxfId="411" priority="7" operator="containsText" text="NOT OK">
      <formula>NOT(ISERROR(SEARCH("NOT OK",B10)))</formula>
    </cfRule>
    <cfRule type="containsText" dxfId="410" priority="8" operator="containsText" text="OK">
      <formula>NOT(ISERROR(SEARCH("OK",B10)))</formula>
    </cfRule>
  </conditionalFormatting>
  <conditionalFormatting sqref="C10:J17">
    <cfRule type="containsText" dxfId="409" priority="5" operator="containsText" text="NOT OK">
      <formula>NOT(ISERROR(SEARCH("NOT OK",C10)))</formula>
    </cfRule>
    <cfRule type="containsText" dxfId="408" priority="6" operator="containsText" text="OK">
      <formula>NOT(ISERROR(SEARCH("OK",C10)))</formula>
    </cfRule>
  </conditionalFormatting>
  <conditionalFormatting sqref="K10:K17">
    <cfRule type="containsText" dxfId="407" priority="3" operator="containsText" text="NOT OK">
      <formula>NOT(ISERROR(SEARCH("NOT OK",K10)))</formula>
    </cfRule>
    <cfRule type="containsText" dxfId="406" priority="4" operator="containsText" text="OK">
      <formula>NOT(ISERROR(SEARCH("OK",K10)))</formula>
    </cfRule>
  </conditionalFormatting>
  <conditionalFormatting sqref="B14">
    <cfRule type="containsText" dxfId="405" priority="1" operator="containsText" text="NOT OK">
      <formula>NOT(ISERROR(SEARCH("NOT OK",B14)))</formula>
    </cfRule>
    <cfRule type="containsText" dxfId="404" priority="2" operator="containsText" text="OK">
      <formula>NOT(ISERROR(SEARCH("OK",B14)))</formula>
    </cfRule>
  </conditionalFormatting>
  <pageMargins left="1.01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99EA-8977-4A26-8F27-CAF6EDD6D120}">
  <dimension ref="B2:S7"/>
  <sheetViews>
    <sheetView topLeftCell="A4" zoomScale="128" zoomScaleNormal="160" workbookViewId="0">
      <selection activeCell="I13" sqref="I13"/>
    </sheetView>
  </sheetViews>
  <sheetFormatPr defaultColWidth="9.109375" defaultRowHeight="13.2" x14ac:dyDescent="0.25"/>
  <cols>
    <col min="1" max="1" width="9.109375" style="57"/>
    <col min="2" max="2" width="3.77734375" style="57" bestFit="1" customWidth="1"/>
    <col min="3" max="3" width="25" style="57" bestFit="1" customWidth="1"/>
    <col min="4" max="5" width="4.44140625" style="57" customWidth="1"/>
    <col min="6" max="6" width="4.88671875" style="57" customWidth="1"/>
    <col min="7" max="7" width="8.6640625" style="57" bestFit="1" customWidth="1"/>
    <col min="8" max="8" width="6" style="57" customWidth="1"/>
    <col min="9" max="9" width="8.109375" style="57" customWidth="1"/>
    <col min="10" max="10" width="6.109375" style="57" bestFit="1" customWidth="1"/>
    <col min="11" max="11" width="4.33203125" style="57" bestFit="1" customWidth="1"/>
    <col min="12" max="12" width="8.6640625" style="57" bestFit="1" customWidth="1"/>
    <col min="13" max="13" width="5.6640625" style="57" bestFit="1" customWidth="1"/>
    <col min="14" max="14" width="7.77734375" style="57" bestFit="1" customWidth="1"/>
    <col min="15" max="15" width="6.6640625" style="57" bestFit="1" customWidth="1"/>
    <col min="16" max="16" width="5" style="57" bestFit="1" customWidth="1"/>
    <col min="17" max="17" width="4.109375" style="57" bestFit="1" customWidth="1"/>
    <col min="18" max="16384" width="9.109375" style="57"/>
  </cols>
  <sheetData>
    <row r="2" spans="2:19" x14ac:dyDescent="0.25">
      <c r="C2" s="58"/>
    </row>
    <row r="4" spans="2:19" ht="15.75" customHeight="1" x14ac:dyDescent="0.25">
      <c r="B4" s="92" t="s">
        <v>101</v>
      </c>
      <c r="C4" s="93" t="s">
        <v>102</v>
      </c>
      <c r="D4" s="92" t="s">
        <v>103</v>
      </c>
      <c r="E4" s="92"/>
      <c r="F4" s="92"/>
      <c r="G4" s="94" t="s">
        <v>104</v>
      </c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2:19" ht="12.75" customHeight="1" x14ac:dyDescent="0.25">
      <c r="B5" s="92"/>
      <c r="C5" s="92"/>
      <c r="D5" s="61" t="s">
        <v>105</v>
      </c>
      <c r="E5" s="59" t="s">
        <v>106</v>
      </c>
      <c r="F5" s="59" t="s">
        <v>107</v>
      </c>
      <c r="G5" s="94" t="s">
        <v>108</v>
      </c>
      <c r="H5" s="95"/>
      <c r="I5" s="95"/>
      <c r="J5" s="95"/>
      <c r="K5" s="96"/>
      <c r="L5" s="94" t="s">
        <v>109</v>
      </c>
      <c r="M5" s="95"/>
      <c r="N5" s="95"/>
      <c r="O5" s="95"/>
      <c r="P5" s="95"/>
      <c r="Q5" s="96"/>
      <c r="S5" s="62"/>
    </row>
    <row r="6" spans="2:19" ht="39.6" x14ac:dyDescent="0.25">
      <c r="B6" s="92"/>
      <c r="C6" s="92"/>
      <c r="D6" s="61" t="s">
        <v>55</v>
      </c>
      <c r="E6" s="61" t="s">
        <v>55</v>
      </c>
      <c r="F6" s="61" t="s">
        <v>55</v>
      </c>
      <c r="G6" s="59" t="s">
        <v>110</v>
      </c>
      <c r="H6" s="60" t="s">
        <v>111</v>
      </c>
      <c r="I6" s="63" t="s">
        <v>112</v>
      </c>
      <c r="J6" s="61" t="s">
        <v>113</v>
      </c>
      <c r="K6" s="64" t="s">
        <v>114</v>
      </c>
      <c r="L6" s="59" t="s">
        <v>110</v>
      </c>
      <c r="M6" s="60" t="s">
        <v>111</v>
      </c>
      <c r="N6" s="63" t="s">
        <v>112</v>
      </c>
      <c r="O6" s="61" t="s">
        <v>113</v>
      </c>
      <c r="P6" s="61" t="s">
        <v>115</v>
      </c>
      <c r="Q6" s="64" t="s">
        <v>114</v>
      </c>
    </row>
    <row r="7" spans="2:19" x14ac:dyDescent="0.25">
      <c r="B7" s="65">
        <v>1</v>
      </c>
      <c r="C7" s="66" t="s">
        <v>116</v>
      </c>
      <c r="D7" s="67">
        <v>250</v>
      </c>
      <c r="E7" s="67">
        <v>350</v>
      </c>
      <c r="F7" s="67">
        <f t="shared" ref="F7" si="0">E7-25-16/2</f>
        <v>317</v>
      </c>
      <c r="G7" s="68">
        <v>1762</v>
      </c>
      <c r="H7" s="69">
        <v>10</v>
      </c>
      <c r="I7" s="69">
        <f>(2*PI()/4*H7^2)*1000/G7</f>
        <v>89.148486197213202</v>
      </c>
      <c r="J7" s="67">
        <f>F7/2</f>
        <v>158.5</v>
      </c>
      <c r="K7" s="70">
        <v>150</v>
      </c>
      <c r="L7" s="68">
        <v>1380</v>
      </c>
      <c r="M7" s="69">
        <v>10</v>
      </c>
      <c r="N7" s="69">
        <f>(2*PI()/4*M7^2)*1000/L7</f>
        <v>113.82582078223889</v>
      </c>
      <c r="O7" s="67">
        <f>MIN(F7/4,8*12)</f>
        <v>79.25</v>
      </c>
      <c r="P7" s="67">
        <v>100</v>
      </c>
      <c r="Q7" s="70">
        <v>100</v>
      </c>
    </row>
  </sheetData>
  <mergeCells count="6">
    <mergeCell ref="B4:B6"/>
    <mergeCell ref="C4:C6"/>
    <mergeCell ref="D4:F4"/>
    <mergeCell ref="G4:Q4"/>
    <mergeCell ref="G5:K5"/>
    <mergeCell ref="L5:Q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4C17-B185-445D-82C3-EAB0269B46CD}">
  <dimension ref="A1:AA40"/>
  <sheetViews>
    <sheetView topLeftCell="A12" zoomScale="85" zoomScaleNormal="85" zoomScaleSheetLayoutView="100" workbookViewId="0">
      <selection activeCell="C39" sqref="C39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3.554687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10" max="10" width="9.109375"/>
    <col min="13" max="15" width="9.109375"/>
    <col min="22" max="22" width="9.5546875" bestFit="1" customWidth="1"/>
  </cols>
  <sheetData>
    <row r="1" spans="1:27" ht="29.25" customHeight="1" thickBot="1" x14ac:dyDescent="0.35">
      <c r="A1" s="77" t="s">
        <v>86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7" ht="15" thickBot="1" x14ac:dyDescent="0.35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  <c r="M2" s="71" t="s">
        <v>75</v>
      </c>
      <c r="N2" s="72"/>
      <c r="O2" s="72"/>
      <c r="P2" s="72"/>
      <c r="Q2" s="73"/>
      <c r="S2" s="71" t="s">
        <v>76</v>
      </c>
      <c r="T2" s="72"/>
      <c r="U2" s="72"/>
      <c r="V2" s="72"/>
      <c r="W2" s="73"/>
    </row>
    <row r="3" spans="1:27" ht="16.2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  <c r="M3" s="40" t="s">
        <v>59</v>
      </c>
      <c r="O3">
        <v>2542</v>
      </c>
      <c r="P3" t="s">
        <v>63</v>
      </c>
      <c r="Q3" s="34"/>
      <c r="S3" s="40" t="s">
        <v>59</v>
      </c>
      <c r="U3">
        <v>1477</v>
      </c>
      <c r="V3" t="s">
        <v>63</v>
      </c>
      <c r="W3" s="34"/>
    </row>
    <row r="4" spans="1:27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  <c r="M4" s="40" t="s">
        <v>60</v>
      </c>
      <c r="O4">
        <v>10</v>
      </c>
      <c r="P4" t="s">
        <v>55</v>
      </c>
      <c r="Q4" s="34"/>
      <c r="S4" s="40" t="s">
        <v>60</v>
      </c>
      <c r="U4">
        <v>10</v>
      </c>
      <c r="V4" t="s">
        <v>55</v>
      </c>
      <c r="W4" s="34"/>
    </row>
    <row r="5" spans="1:27" x14ac:dyDescent="0.3">
      <c r="A5" s="32"/>
      <c r="B5" s="4"/>
      <c r="C5" s="3"/>
      <c r="D5" s="46"/>
      <c r="E5" s="46"/>
      <c r="F5" s="46"/>
      <c r="G5" s="46"/>
      <c r="H5" s="3"/>
      <c r="I5" s="5"/>
      <c r="J5" s="31"/>
      <c r="M5" s="40" t="s">
        <v>61</v>
      </c>
      <c r="O5">
        <v>4</v>
      </c>
      <c r="Q5" s="34"/>
      <c r="S5" s="40" t="s">
        <v>61</v>
      </c>
      <c r="U5">
        <v>4</v>
      </c>
      <c r="W5" s="34"/>
    </row>
    <row r="6" spans="1:27" x14ac:dyDescent="0.3">
      <c r="A6" s="33"/>
      <c r="B6" s="4"/>
      <c r="C6" s="3"/>
      <c r="D6" s="46"/>
      <c r="E6" s="46"/>
      <c r="F6" s="46"/>
      <c r="G6" s="46"/>
      <c r="H6" s="3"/>
      <c r="I6" s="5"/>
      <c r="J6" s="31"/>
      <c r="M6" s="40" t="s">
        <v>62</v>
      </c>
      <c r="O6">
        <f>(((PI()*O4*O4/4)*O5)/O3)*1000</f>
        <v>123.58743719865434</v>
      </c>
      <c r="P6" t="s">
        <v>55</v>
      </c>
      <c r="Q6" s="34"/>
      <c r="S6" s="40" t="s">
        <v>62</v>
      </c>
      <c r="U6">
        <f>(((PI()*U4*U4/4)*U5)/U3)*1000</f>
        <v>212.70092441366236</v>
      </c>
      <c r="V6" t="s">
        <v>55</v>
      </c>
      <c r="W6" s="34"/>
    </row>
    <row r="7" spans="1:27" x14ac:dyDescent="0.3">
      <c r="A7" s="33"/>
      <c r="B7" s="4"/>
      <c r="C7" s="3"/>
      <c r="D7" s="46"/>
      <c r="E7" s="46"/>
      <c r="F7" s="46"/>
      <c r="G7" s="46"/>
      <c r="H7" s="3"/>
      <c r="I7" s="5"/>
      <c r="J7" s="31"/>
      <c r="M7" s="40" t="s">
        <v>64</v>
      </c>
      <c r="O7">
        <v>100</v>
      </c>
      <c r="P7" t="str">
        <f>IF(O6&gt;=O7, "OK", "NOT OK")</f>
        <v>OK</v>
      </c>
      <c r="Q7" s="34"/>
      <c r="S7" s="40" t="s">
        <v>64</v>
      </c>
      <c r="U7">
        <v>150</v>
      </c>
      <c r="V7" t="str">
        <f>IF(U6&gt;=U7, "OK", "NOT OK")</f>
        <v>OK</v>
      </c>
      <c r="W7" s="34"/>
    </row>
    <row r="8" spans="1:27" ht="15" thickBot="1" x14ac:dyDescent="0.35">
      <c r="A8" s="33"/>
      <c r="B8" s="4"/>
      <c r="C8" s="3"/>
      <c r="D8" s="4"/>
      <c r="E8" s="4"/>
      <c r="F8" s="4"/>
      <c r="G8" s="4"/>
      <c r="H8" s="3"/>
      <c r="I8" s="5"/>
      <c r="J8" s="31"/>
      <c r="M8" s="41"/>
      <c r="N8" s="35"/>
      <c r="O8" s="37" t="str">
        <f>CONCATENATE(O5,"L-",O4,"mm bars @",O7,"mm C/C")</f>
        <v>4L-10mm bars @100mm C/C</v>
      </c>
      <c r="P8" s="37"/>
      <c r="Q8" s="38"/>
      <c r="S8" s="41"/>
      <c r="T8" s="35"/>
      <c r="U8" s="37" t="str">
        <f>CONCATENATE(U5,"L-",U4,"mm bars @",U7,"mm C/C")</f>
        <v>4L-10mm bars @150mm C/C</v>
      </c>
      <c r="V8" s="37"/>
      <c r="W8" s="38"/>
    </row>
    <row r="9" spans="1:27" x14ac:dyDescent="0.3">
      <c r="A9" s="32" t="s">
        <v>77</v>
      </c>
      <c r="B9" s="4" t="s">
        <v>72</v>
      </c>
      <c r="C9" s="3">
        <v>295</v>
      </c>
      <c r="D9" s="46">
        <v>2</v>
      </c>
      <c r="E9" s="46">
        <v>16</v>
      </c>
      <c r="F9" s="46">
        <v>2</v>
      </c>
      <c r="G9" s="46">
        <v>12</v>
      </c>
      <c r="H9" s="3">
        <f>D9*(3.14*(E9^2)/4)+F9*(3.14*(G9^2)/4)</f>
        <v>628</v>
      </c>
      <c r="I9" s="5">
        <f>H9/(450*300)*100</f>
        <v>0.46518518518518515</v>
      </c>
      <c r="J9" s="31" t="s">
        <v>56</v>
      </c>
      <c r="K9" t="str">
        <f t="shared" ref="K9:K10" si="0">IF(H9&gt;=C9,"OK","NOT OK")</f>
        <v>OK</v>
      </c>
      <c r="L9" t="s">
        <v>90</v>
      </c>
    </row>
    <row r="10" spans="1:27" ht="15" thickBot="1" x14ac:dyDescent="0.35">
      <c r="A10" s="33"/>
      <c r="B10" s="4"/>
      <c r="C10" s="3">
        <v>725</v>
      </c>
      <c r="D10" s="46">
        <v>3</v>
      </c>
      <c r="E10" s="46">
        <v>12</v>
      </c>
      <c r="F10" s="46">
        <v>2</v>
      </c>
      <c r="G10" s="46">
        <v>16</v>
      </c>
      <c r="H10" s="3">
        <f>D10*(3.14*E10^2/4)+F10*(3.14*G10^2/4)</f>
        <v>741.04</v>
      </c>
      <c r="I10" s="5">
        <f t="shared" ref="I10:I11" si="1">H10/(450*300)*100</f>
        <v>0.54891851851851847</v>
      </c>
      <c r="J10" s="31" t="s">
        <v>57</v>
      </c>
      <c r="K10" t="str">
        <f t="shared" si="0"/>
        <v>OK</v>
      </c>
    </row>
    <row r="11" spans="1:27" x14ac:dyDescent="0.3">
      <c r="A11" s="33"/>
      <c r="B11" s="4"/>
      <c r="C11" s="3">
        <f>968-H9</f>
        <v>340</v>
      </c>
      <c r="D11" s="46">
        <v>2</v>
      </c>
      <c r="E11" s="46">
        <v>16</v>
      </c>
      <c r="F11" s="46"/>
      <c r="G11" s="46"/>
      <c r="H11" s="3">
        <f>D11*(3.14*E11^2/4)+F11*(3.14*G11^2/4)</f>
        <v>401.92</v>
      </c>
      <c r="I11" s="5">
        <f t="shared" si="1"/>
        <v>0.29771851851851849</v>
      </c>
      <c r="J11" s="31" t="s">
        <v>58</v>
      </c>
      <c r="K11" t="str">
        <f>IF(H11&gt;=C11,"OK","NOT OK")</f>
        <v>OK</v>
      </c>
      <c r="M11" s="74" t="s">
        <v>73</v>
      </c>
      <c r="N11" s="75"/>
      <c r="O11" s="75"/>
      <c r="P11" s="75"/>
      <c r="Q11" s="75"/>
      <c r="R11" s="75"/>
      <c r="S11" s="76"/>
    </row>
    <row r="12" spans="1:27" x14ac:dyDescent="0.3">
      <c r="A12" s="33"/>
      <c r="B12" s="4"/>
      <c r="C12" s="3"/>
      <c r="D12" s="4"/>
      <c r="E12" s="4"/>
      <c r="F12" s="4"/>
      <c r="G12" s="4"/>
      <c r="H12" s="3"/>
      <c r="I12" s="5"/>
      <c r="J12" s="31"/>
      <c r="M12" s="33"/>
      <c r="N12" s="49" t="s">
        <v>65</v>
      </c>
      <c r="O12" s="51" t="s">
        <v>68</v>
      </c>
      <c r="P12" s="52"/>
      <c r="Q12" s="52"/>
      <c r="R12" s="52"/>
      <c r="S12" s="53"/>
    </row>
    <row r="13" spans="1:27" x14ac:dyDescent="0.3">
      <c r="A13" s="32" t="s">
        <v>78</v>
      </c>
      <c r="B13" s="4" t="s">
        <v>72</v>
      </c>
      <c r="C13" s="3">
        <v>295</v>
      </c>
      <c r="D13" s="46">
        <v>2</v>
      </c>
      <c r="E13" s="46">
        <v>16</v>
      </c>
      <c r="F13" s="46">
        <v>2</v>
      </c>
      <c r="G13" s="46">
        <v>12</v>
      </c>
      <c r="H13" s="3">
        <f>D13*(3.14*(E13^2)/4)+F13*(3.14*(G13^2)/4)</f>
        <v>628</v>
      </c>
      <c r="I13" s="5">
        <f>H13/(450*300)*100</f>
        <v>0.46518518518518515</v>
      </c>
      <c r="J13" s="31" t="s">
        <v>56</v>
      </c>
      <c r="K13" t="str">
        <f t="shared" ref="K13:K14" si="2">IF(H13&gt;=C13,"OK","NOT OK")</f>
        <v>OK</v>
      </c>
      <c r="L13" t="s">
        <v>90</v>
      </c>
      <c r="M13" s="33"/>
      <c r="N13" s="50"/>
      <c r="O13" s="39" t="s">
        <v>69</v>
      </c>
      <c r="P13" s="39" t="s">
        <v>20</v>
      </c>
      <c r="Q13" s="39" t="s">
        <v>70</v>
      </c>
      <c r="R13" s="39" t="s">
        <v>20</v>
      </c>
      <c r="S13" s="43" t="s">
        <v>71</v>
      </c>
    </row>
    <row r="14" spans="1:27" x14ac:dyDescent="0.3">
      <c r="A14" s="33"/>
      <c r="B14" s="4"/>
      <c r="C14" s="3">
        <v>673</v>
      </c>
      <c r="D14" s="46">
        <v>3</v>
      </c>
      <c r="E14" s="46">
        <v>12</v>
      </c>
      <c r="F14" s="46">
        <v>2</v>
      </c>
      <c r="G14" s="46">
        <v>16</v>
      </c>
      <c r="H14" s="3">
        <f>D14*(3.14*E14^2/4)+F14*(3.14*G14^2/4)</f>
        <v>741.04</v>
      </c>
      <c r="I14" s="5">
        <f t="shared" ref="I14:I15" si="3">H14/(450*300)*100</f>
        <v>0.54891851851851847</v>
      </c>
      <c r="J14" s="31" t="s">
        <v>57</v>
      </c>
      <c r="K14" t="str">
        <f t="shared" si="2"/>
        <v>OK</v>
      </c>
      <c r="M14" s="30" t="s">
        <v>66</v>
      </c>
      <c r="N14" s="4">
        <v>171</v>
      </c>
      <c r="O14" s="4">
        <v>3</v>
      </c>
      <c r="P14" s="4">
        <v>12</v>
      </c>
      <c r="Q14" s="4"/>
      <c r="R14" s="4"/>
      <c r="S14" s="31">
        <f>(PI()*P14^2/4)*O14+(PI()*R14^2/4)*Q14</f>
        <v>339.29200658769764</v>
      </c>
      <c r="T14" t="str">
        <f>IF(S14&gt;=N14,"OK","NOT OK")</f>
        <v>OK</v>
      </c>
      <c r="AA14" s="48"/>
    </row>
    <row r="15" spans="1:27" ht="15" thickBot="1" x14ac:dyDescent="0.35">
      <c r="A15" s="33"/>
      <c r="B15" s="4"/>
      <c r="C15" s="3">
        <f>1071-H13</f>
        <v>443</v>
      </c>
      <c r="D15" s="46">
        <v>3</v>
      </c>
      <c r="E15" s="46">
        <v>16</v>
      </c>
      <c r="F15" s="46"/>
      <c r="G15" s="46"/>
      <c r="H15" s="3">
        <f t="shared" ref="H15" si="4">D15*(3.14*E15^2/4)+F15*(3.14*G15^2/4)</f>
        <v>602.88</v>
      </c>
      <c r="I15" s="5">
        <f t="shared" si="3"/>
        <v>0.4465777777777778</v>
      </c>
      <c r="J15" s="31" t="s">
        <v>58</v>
      </c>
      <c r="K15" t="str">
        <f>IF(H15&gt;=C15,"OK","NOT OK")</f>
        <v>OK</v>
      </c>
      <c r="M15" s="44" t="s">
        <v>67</v>
      </c>
      <c r="N15" s="36">
        <v>171</v>
      </c>
      <c r="O15" s="36">
        <v>3</v>
      </c>
      <c r="P15" s="36">
        <v>12</v>
      </c>
      <c r="Q15" s="36"/>
      <c r="R15" s="36"/>
      <c r="S15" s="45">
        <f>(PI()*P15^2/4)*O15+(PI()*R15^2/4)*Q15</f>
        <v>339.29200658769764</v>
      </c>
      <c r="T15" t="str">
        <f>IF(S15&gt;=N15,"OK","NOT OK")</f>
        <v>OK</v>
      </c>
    </row>
    <row r="16" spans="1:27" x14ac:dyDescent="0.3">
      <c r="A16" s="33"/>
      <c r="B16" s="4"/>
      <c r="C16" s="3"/>
      <c r="D16" s="4"/>
      <c r="E16" s="4"/>
      <c r="F16" s="4"/>
      <c r="G16" s="4"/>
      <c r="H16" s="3"/>
      <c r="I16" s="5"/>
      <c r="J16" s="31"/>
    </row>
    <row r="17" spans="1:12" x14ac:dyDescent="0.3">
      <c r="A17" s="32" t="s">
        <v>79</v>
      </c>
      <c r="B17" s="4" t="s">
        <v>72</v>
      </c>
      <c r="C17" s="3">
        <v>295</v>
      </c>
      <c r="D17" s="46">
        <v>2</v>
      </c>
      <c r="E17" s="46">
        <v>16</v>
      </c>
      <c r="F17" s="46">
        <v>2</v>
      </c>
      <c r="G17" s="46">
        <v>12</v>
      </c>
      <c r="H17" s="3">
        <f>D17*(3.14*(E17^2)/4)+F17*(3.14*(G17^2)/4)</f>
        <v>628</v>
      </c>
      <c r="I17" s="5">
        <f>H17/(450*300)*100</f>
        <v>0.46518518518518515</v>
      </c>
      <c r="J17" s="31" t="s">
        <v>56</v>
      </c>
      <c r="K17" t="str">
        <f t="shared" ref="K17:K18" si="5">IF(H17&gt;=C17,"OK","NOT OK")</f>
        <v>OK</v>
      </c>
      <c r="L17" t="s">
        <v>90</v>
      </c>
    </row>
    <row r="18" spans="1:12" x14ac:dyDescent="0.3">
      <c r="A18" s="33"/>
      <c r="B18" s="4"/>
      <c r="C18" s="3">
        <v>640</v>
      </c>
      <c r="D18" s="46">
        <v>3</v>
      </c>
      <c r="E18" s="46">
        <v>12</v>
      </c>
      <c r="F18" s="46">
        <v>2</v>
      </c>
      <c r="G18" s="46">
        <v>16</v>
      </c>
      <c r="H18" s="3">
        <f>D18*(3.14*E18^2/4)+F18*(3.14*G18^2/4)</f>
        <v>741.04</v>
      </c>
      <c r="I18" s="5">
        <f t="shared" ref="I18:I19" si="6">H18/(450*300)*100</f>
        <v>0.54891851851851847</v>
      </c>
      <c r="J18" s="31" t="s">
        <v>57</v>
      </c>
      <c r="K18" t="str">
        <f t="shared" si="5"/>
        <v>OK</v>
      </c>
    </row>
    <row r="19" spans="1:12" x14ac:dyDescent="0.3">
      <c r="A19" s="33"/>
      <c r="B19" s="4"/>
      <c r="C19" s="3">
        <f>965-H17</f>
        <v>337</v>
      </c>
      <c r="D19" s="46">
        <v>2</v>
      </c>
      <c r="E19" s="46">
        <v>16</v>
      </c>
      <c r="F19" s="46"/>
      <c r="G19" s="46"/>
      <c r="H19" s="3">
        <f t="shared" ref="H19" si="7">D19*(3.14*E19^2/4)+F19*(3.14*G19^2/4)</f>
        <v>401.92</v>
      </c>
      <c r="I19" s="5">
        <f t="shared" si="6"/>
        <v>0.29771851851851849</v>
      </c>
      <c r="J19" s="31" t="s">
        <v>58</v>
      </c>
      <c r="K19" t="str">
        <f>IF(H19&gt;=C19,"OK","NOT OK")</f>
        <v>OK</v>
      </c>
    </row>
    <row r="20" spans="1:12" x14ac:dyDescent="0.3">
      <c r="A20" s="33"/>
      <c r="B20" s="4"/>
      <c r="C20" s="3"/>
      <c r="D20" s="4"/>
      <c r="E20" s="4"/>
      <c r="F20" s="4"/>
      <c r="G20" s="4"/>
      <c r="H20" s="3"/>
      <c r="I20" s="5"/>
      <c r="J20" s="31"/>
    </row>
    <row r="21" spans="1:12" x14ac:dyDescent="0.3">
      <c r="A21" s="32" t="s">
        <v>80</v>
      </c>
      <c r="B21" s="4" t="s">
        <v>72</v>
      </c>
      <c r="C21" s="3">
        <v>295</v>
      </c>
      <c r="D21" s="46">
        <v>2</v>
      </c>
      <c r="E21" s="46">
        <v>16</v>
      </c>
      <c r="F21" s="46">
        <v>2</v>
      </c>
      <c r="G21" s="46">
        <v>12</v>
      </c>
      <c r="H21" s="3">
        <f>D21*(3.14*(E21^2)/4)+F21*(3.14*(G21^2)/4)</f>
        <v>628</v>
      </c>
      <c r="I21" s="5">
        <f>H21/(450*300)*100</f>
        <v>0.46518518518518515</v>
      </c>
      <c r="J21" s="31" t="s">
        <v>56</v>
      </c>
      <c r="K21" t="str">
        <f t="shared" ref="K21:K22" si="8">IF(H21&gt;=C21,"OK","NOT OK")</f>
        <v>OK</v>
      </c>
      <c r="L21" t="s">
        <v>90</v>
      </c>
    </row>
    <row r="22" spans="1:12" x14ac:dyDescent="0.3">
      <c r="A22" s="33"/>
      <c r="B22" s="4"/>
      <c r="C22" s="3">
        <v>614</v>
      </c>
      <c r="D22" s="46">
        <v>2</v>
      </c>
      <c r="E22" s="46">
        <v>12</v>
      </c>
      <c r="F22" s="46">
        <v>2</v>
      </c>
      <c r="G22" s="46">
        <v>16</v>
      </c>
      <c r="H22" s="3">
        <f>D22*(3.14*E22^2/4)+F22*(3.14*G22^2/4)</f>
        <v>628</v>
      </c>
      <c r="I22" s="5">
        <f t="shared" ref="I22:I23" si="9">H22/(450*300)*100</f>
        <v>0.46518518518518515</v>
      </c>
      <c r="J22" s="31" t="s">
        <v>57</v>
      </c>
      <c r="K22" t="str">
        <f t="shared" si="8"/>
        <v>OK</v>
      </c>
    </row>
    <row r="23" spans="1:12" x14ac:dyDescent="0.3">
      <c r="A23" s="33"/>
      <c r="B23" s="4"/>
      <c r="C23" s="3">
        <f>912-H21</f>
        <v>284</v>
      </c>
      <c r="D23" s="46">
        <v>2</v>
      </c>
      <c r="E23" s="46">
        <v>16</v>
      </c>
      <c r="F23" s="46"/>
      <c r="G23" s="46"/>
      <c r="H23" s="3">
        <f t="shared" ref="H23" si="10">D23*(3.14*E23^2/4)+F23*(3.14*G23^2/4)</f>
        <v>401.92</v>
      </c>
      <c r="I23" s="5">
        <f t="shared" si="9"/>
        <v>0.29771851851851849</v>
      </c>
      <c r="J23" s="31" t="s">
        <v>58</v>
      </c>
      <c r="K23" t="str">
        <f>IF(H23&gt;=C23,"OK","NOT OK")</f>
        <v>OK</v>
      </c>
    </row>
    <row r="24" spans="1:12" x14ac:dyDescent="0.3">
      <c r="A24" s="33"/>
      <c r="B24" s="4"/>
      <c r="C24" s="3"/>
      <c r="D24" s="4"/>
      <c r="E24" s="4"/>
      <c r="F24" s="4"/>
      <c r="G24" s="4"/>
      <c r="H24" s="3"/>
      <c r="I24" s="5"/>
      <c r="J24" s="31"/>
    </row>
    <row r="25" spans="1:12" x14ac:dyDescent="0.3">
      <c r="A25" s="32" t="s">
        <v>81</v>
      </c>
      <c r="B25" s="4" t="s">
        <v>72</v>
      </c>
      <c r="C25" s="3">
        <v>295</v>
      </c>
      <c r="D25" s="46">
        <v>2</v>
      </c>
      <c r="E25" s="46">
        <v>16</v>
      </c>
      <c r="F25" s="46">
        <v>2</v>
      </c>
      <c r="G25" s="46">
        <v>12</v>
      </c>
      <c r="H25" s="3">
        <f>D25*(3.14*(E25^2)/4)+F25*(3.14*(G25^2)/4)</f>
        <v>628</v>
      </c>
      <c r="I25" s="5">
        <f>H25/(450*300)*100</f>
        <v>0.46518518518518515</v>
      </c>
      <c r="J25" s="31" t="s">
        <v>56</v>
      </c>
      <c r="K25" t="str">
        <f t="shared" ref="K25:K26" si="11">IF(H25&gt;=C25,"OK","NOT OK")</f>
        <v>OK</v>
      </c>
      <c r="L25" t="s">
        <v>90</v>
      </c>
    </row>
    <row r="26" spans="1:12" x14ac:dyDescent="0.3">
      <c r="A26" s="33"/>
      <c r="B26" s="4"/>
      <c r="C26" s="3">
        <v>738</v>
      </c>
      <c r="D26" s="46">
        <v>3</v>
      </c>
      <c r="E26" s="46">
        <v>12</v>
      </c>
      <c r="F26" s="46">
        <v>2</v>
      </c>
      <c r="G26" s="46">
        <v>16</v>
      </c>
      <c r="H26" s="3">
        <f>D26*(3.14*E26^2/4)+F26*(3.14*G26^2/4)</f>
        <v>741.04</v>
      </c>
      <c r="I26" s="5">
        <f t="shared" ref="I26:I27" si="12">H26/(450*300)*100</f>
        <v>0.54891851851851847</v>
      </c>
      <c r="J26" s="31" t="s">
        <v>57</v>
      </c>
      <c r="K26" t="str">
        <f t="shared" si="11"/>
        <v>OK</v>
      </c>
    </row>
    <row r="27" spans="1:12" x14ac:dyDescent="0.3">
      <c r="A27" s="33"/>
      <c r="B27" s="4"/>
      <c r="C27" s="3">
        <f>962-H25</f>
        <v>334</v>
      </c>
      <c r="D27" s="46">
        <v>2</v>
      </c>
      <c r="E27" s="46">
        <v>16</v>
      </c>
      <c r="F27" s="46"/>
      <c r="G27" s="46"/>
      <c r="H27" s="3">
        <f t="shared" ref="H27" si="13">D27*(3.14*E27^2/4)+F27*(3.14*G27^2/4)</f>
        <v>401.92</v>
      </c>
      <c r="I27" s="5">
        <f t="shared" si="12"/>
        <v>0.29771851851851849</v>
      </c>
      <c r="J27" s="31" t="s">
        <v>58</v>
      </c>
      <c r="K27" t="str">
        <f>IF(H27&gt;=C27,"OK","NOT OK")</f>
        <v>OK</v>
      </c>
    </row>
    <row r="28" spans="1:12" x14ac:dyDescent="0.3">
      <c r="A28" s="33"/>
      <c r="B28" s="4"/>
      <c r="C28" s="3"/>
      <c r="D28" s="4"/>
      <c r="E28" s="4"/>
      <c r="F28" s="4"/>
      <c r="G28" s="4"/>
      <c r="H28" s="3"/>
      <c r="I28" s="5"/>
      <c r="J28" s="31"/>
    </row>
    <row r="29" spans="1:12" x14ac:dyDescent="0.3">
      <c r="A29" s="32" t="s">
        <v>82</v>
      </c>
      <c r="B29" s="4" t="s">
        <v>72</v>
      </c>
      <c r="C29" s="3">
        <v>295</v>
      </c>
      <c r="D29" s="46">
        <v>2</v>
      </c>
      <c r="E29" s="46">
        <v>16</v>
      </c>
      <c r="F29" s="46">
        <v>2</v>
      </c>
      <c r="G29" s="46">
        <v>12</v>
      </c>
      <c r="H29" s="3">
        <f>D29*(3.14*(E29^2)/4)+F29*(3.14*(G29^2)/4)</f>
        <v>628</v>
      </c>
      <c r="I29" s="5">
        <f>H29/(450*300)*100</f>
        <v>0.46518518518518515</v>
      </c>
      <c r="J29" s="31" t="s">
        <v>56</v>
      </c>
      <c r="K29" t="str">
        <f t="shared" ref="K29:K30" si="14">IF(H29&gt;=C29,"OK","NOT OK")</f>
        <v>OK</v>
      </c>
      <c r="L29" t="s">
        <v>91</v>
      </c>
    </row>
    <row r="30" spans="1:12" x14ac:dyDescent="0.3">
      <c r="A30" s="33"/>
      <c r="B30" s="4"/>
      <c r="C30" s="3">
        <v>649</v>
      </c>
      <c r="D30" s="46">
        <v>3</v>
      </c>
      <c r="E30" s="46">
        <v>12</v>
      </c>
      <c r="F30" s="46">
        <v>2</v>
      </c>
      <c r="G30" s="46">
        <v>16</v>
      </c>
      <c r="H30" s="3">
        <f>D30*(3.14*E30^2/4)+F30*(3.14*G30^2/4)</f>
        <v>741.04</v>
      </c>
      <c r="I30" s="5">
        <f t="shared" ref="I30:I31" si="15">H30/(450*300)*100</f>
        <v>0.54891851851851847</v>
      </c>
      <c r="J30" s="31" t="s">
        <v>57</v>
      </c>
      <c r="K30" t="str">
        <f t="shared" si="14"/>
        <v>OK</v>
      </c>
    </row>
    <row r="31" spans="1:12" x14ac:dyDescent="0.3">
      <c r="A31" s="33"/>
      <c r="B31" s="4"/>
      <c r="C31" s="3">
        <f>945-H29</f>
        <v>317</v>
      </c>
      <c r="D31" s="46">
        <v>2</v>
      </c>
      <c r="E31" s="46">
        <v>16</v>
      </c>
      <c r="F31" s="46"/>
      <c r="G31" s="46"/>
      <c r="H31" s="3">
        <f t="shared" ref="H31" si="16">D31*(3.14*E31^2/4)+F31*(3.14*G31^2/4)</f>
        <v>401.92</v>
      </c>
      <c r="I31" s="5">
        <f t="shared" si="15"/>
        <v>0.29771851851851849</v>
      </c>
      <c r="J31" s="31" t="s">
        <v>58</v>
      </c>
      <c r="K31" t="str">
        <f>IF(H31&gt;=C31,"OK","NOT OK")</f>
        <v>OK</v>
      </c>
    </row>
    <row r="32" spans="1:12" x14ac:dyDescent="0.3">
      <c r="A32" s="33"/>
      <c r="B32" s="4"/>
      <c r="C32" s="3"/>
      <c r="D32" s="4"/>
      <c r="E32" s="4"/>
      <c r="F32" s="4"/>
      <c r="G32" s="4"/>
      <c r="H32" s="3"/>
      <c r="I32" s="5"/>
      <c r="J32" s="31"/>
    </row>
    <row r="33" spans="1:15" x14ac:dyDescent="0.3">
      <c r="A33" s="32" t="s">
        <v>83</v>
      </c>
      <c r="B33" s="4" t="s">
        <v>72</v>
      </c>
      <c r="C33" s="3">
        <v>295</v>
      </c>
      <c r="D33" s="46">
        <v>2</v>
      </c>
      <c r="E33" s="46">
        <v>16</v>
      </c>
      <c r="F33" s="46">
        <v>2</v>
      </c>
      <c r="G33" s="46">
        <v>12</v>
      </c>
      <c r="H33" s="3">
        <f>D33*(3.14*(E33^2)/4)+F33*(3.14*(G33^2)/4)</f>
        <v>628</v>
      </c>
      <c r="I33" s="5">
        <f>H33/(450*300)*100</f>
        <v>0.46518518518518515</v>
      </c>
      <c r="J33" s="31" t="s">
        <v>56</v>
      </c>
      <c r="K33" t="str">
        <f t="shared" ref="K33:K34" si="17">IF(H33&gt;=C33,"OK","NOT OK")</f>
        <v>OK</v>
      </c>
      <c r="L33" t="s">
        <v>90</v>
      </c>
    </row>
    <row r="34" spans="1:15" x14ac:dyDescent="0.3">
      <c r="A34" s="33"/>
      <c r="B34" s="4"/>
      <c r="C34" s="3">
        <v>485</v>
      </c>
      <c r="D34" s="46">
        <v>2</v>
      </c>
      <c r="E34" s="46">
        <v>12</v>
      </c>
      <c r="F34" s="46">
        <v>2</v>
      </c>
      <c r="G34" s="46">
        <v>16</v>
      </c>
      <c r="H34" s="3">
        <f>D34*(3.14*E34^2/4)+F34*(3.14*G34^2/4)</f>
        <v>628</v>
      </c>
      <c r="I34" s="5">
        <f t="shared" ref="I34:I35" si="18">H34/(450*300)*100</f>
        <v>0.46518518518518515</v>
      </c>
      <c r="J34" s="31" t="s">
        <v>57</v>
      </c>
      <c r="K34" t="str">
        <f t="shared" si="17"/>
        <v>OK</v>
      </c>
      <c r="O34" s="47"/>
    </row>
    <row r="35" spans="1:15" x14ac:dyDescent="0.3">
      <c r="A35" s="33"/>
      <c r="B35" s="4"/>
      <c r="C35" s="3">
        <f>795-H33</f>
        <v>167</v>
      </c>
      <c r="D35" s="46">
        <v>1</v>
      </c>
      <c r="E35" s="46">
        <v>16</v>
      </c>
      <c r="F35" s="46"/>
      <c r="G35" s="46"/>
      <c r="H35" s="3">
        <f t="shared" ref="H35" si="19">D35*(3.14*E35^2/4)+F35*(3.14*G35^2/4)</f>
        <v>200.96</v>
      </c>
      <c r="I35" s="5">
        <f t="shared" si="18"/>
        <v>0.14885925925925925</v>
      </c>
      <c r="J35" s="31" t="s">
        <v>58</v>
      </c>
      <c r="K35" t="str">
        <f>IF(H35&gt;=C35,"OK","NOT OK")</f>
        <v>OK</v>
      </c>
    </row>
    <row r="36" spans="1:15" x14ac:dyDescent="0.3">
      <c r="A36" s="33"/>
      <c r="B36" s="4"/>
      <c r="C36" s="3"/>
      <c r="D36" s="4"/>
      <c r="E36" s="4"/>
      <c r="F36" s="4"/>
      <c r="G36" s="4"/>
      <c r="H36" s="3"/>
      <c r="I36" s="5"/>
      <c r="J36" s="31"/>
    </row>
    <row r="37" spans="1:15" x14ac:dyDescent="0.3">
      <c r="A37" s="32" t="s">
        <v>84</v>
      </c>
      <c r="B37" s="4" t="s">
        <v>72</v>
      </c>
      <c r="C37" s="3">
        <v>295</v>
      </c>
      <c r="D37" s="46">
        <v>2</v>
      </c>
      <c r="E37" s="46">
        <v>16</v>
      </c>
      <c r="F37" s="46">
        <v>2</v>
      </c>
      <c r="G37" s="46">
        <v>12</v>
      </c>
      <c r="H37" s="3">
        <f>D37*(3.14*(E37^2)/4)+F37*(3.14*(G37^2)/4)</f>
        <v>628</v>
      </c>
      <c r="I37" s="5">
        <f>H37/(450*300)*100</f>
        <v>0.46518518518518515</v>
      </c>
      <c r="J37" s="31" t="s">
        <v>56</v>
      </c>
      <c r="K37" t="str">
        <f t="shared" ref="K37:K38" si="20">IF(H37&gt;=C37,"OK","NOT OK")</f>
        <v>OK</v>
      </c>
      <c r="L37" t="s">
        <v>92</v>
      </c>
    </row>
    <row r="38" spans="1:15" x14ac:dyDescent="0.3">
      <c r="A38" s="33"/>
      <c r="B38" s="4"/>
      <c r="C38" s="3">
        <v>498</v>
      </c>
      <c r="D38" s="46">
        <v>2</v>
      </c>
      <c r="E38" s="46">
        <v>12</v>
      </c>
      <c r="F38" s="46">
        <v>2</v>
      </c>
      <c r="G38" s="46">
        <v>16</v>
      </c>
      <c r="H38" s="3">
        <f>D38*(3.14*E38^2/4)+F38*(3.14*G38^2/4)</f>
        <v>628</v>
      </c>
      <c r="I38" s="5">
        <f t="shared" ref="I38:I39" si="21">H38/(450*300)*100</f>
        <v>0.46518518518518515</v>
      </c>
      <c r="J38" s="31" t="s">
        <v>57</v>
      </c>
      <c r="K38" t="str">
        <f t="shared" si="20"/>
        <v>OK</v>
      </c>
    </row>
    <row r="39" spans="1:15" x14ac:dyDescent="0.3">
      <c r="A39" s="33"/>
      <c r="B39" s="4"/>
      <c r="C39" s="3">
        <f>720-H37</f>
        <v>92</v>
      </c>
      <c r="D39" s="46">
        <v>1</v>
      </c>
      <c r="E39" s="46">
        <v>12</v>
      </c>
      <c r="F39" s="46"/>
      <c r="G39" s="46"/>
      <c r="H39" s="3">
        <f t="shared" ref="H39" si="22">D39*(3.14*E39^2/4)+F39*(3.14*G39^2/4)</f>
        <v>113.04</v>
      </c>
      <c r="I39" s="5">
        <f t="shared" si="21"/>
        <v>8.373333333333334E-2</v>
      </c>
      <c r="J39" s="31" t="s">
        <v>58</v>
      </c>
      <c r="K39" t="str">
        <f>IF(H39&gt;=C39,"OK","NOT OK")</f>
        <v>OK</v>
      </c>
    </row>
    <row r="40" spans="1:15" ht="15" thickBot="1" x14ac:dyDescent="0.35">
      <c r="A40" s="54"/>
      <c r="B40" s="36"/>
      <c r="C40" s="55"/>
      <c r="D40" s="36"/>
      <c r="E40" s="36"/>
      <c r="F40" s="36"/>
      <c r="G40" s="36"/>
      <c r="H40" s="55"/>
      <c r="I40" s="56"/>
      <c r="J40" s="45"/>
    </row>
  </sheetData>
  <mergeCells count="11">
    <mergeCell ref="M2:Q2"/>
    <mergeCell ref="S2:W2"/>
    <mergeCell ref="M11:S11"/>
    <mergeCell ref="A1:J1"/>
    <mergeCell ref="A2:A3"/>
    <mergeCell ref="B2:B3"/>
    <mergeCell ref="C2:C3"/>
    <mergeCell ref="D2:G2"/>
    <mergeCell ref="H2:H3"/>
    <mergeCell ref="I2:I3"/>
    <mergeCell ref="J2:J3"/>
  </mergeCells>
  <conditionalFormatting sqref="A1:K1 M2 R2 A9:B11 A24:L24 L33:XFD39 A40:XFD1048576 A12:L12 L13:L15 A32:L32 L25:L31 U17:XFD24 Y25:XFD32 A16:XFD16 L23 M15:X15 M12:T14 A2:L4 L5:L11 M3:W9 X1:X14 Y1:XFD15 V10:W14">
    <cfRule type="containsText" dxfId="403" priority="120" operator="containsText" text="NOT OK">
      <formula>NOT(ISERROR(SEARCH("NOT OK",A1)))</formula>
    </cfRule>
    <cfRule type="containsText" dxfId="402" priority="121" operator="containsText" text="OK">
      <formula>NOT(ISERROR(SEARCH("OK",A1)))</formula>
    </cfRule>
  </conditionalFormatting>
  <conditionalFormatting sqref="M11 N12:O12 O13:S13 M14:T15">
    <cfRule type="containsText" dxfId="401" priority="117" operator="containsText" text="NOT OK">
      <formula>NOT(ISERROR(SEARCH("NOT OK",M11)))</formula>
    </cfRule>
    <cfRule type="containsText" dxfId="400" priority="118" operator="containsText" text="NG">
      <formula>NOT(ISERROR(SEARCH("NG",M11)))</formula>
    </cfRule>
    <cfRule type="containsText" dxfId="399" priority="119" operator="containsText" text="OK">
      <formula>NOT(ISERROR(SEARCH("OK",M11)))</formula>
    </cfRule>
  </conditionalFormatting>
  <conditionalFormatting sqref="S2">
    <cfRule type="containsText" dxfId="398" priority="115" operator="containsText" text="NOT OK">
      <formula>NOT(ISERROR(SEARCH("NOT OK",S2)))</formula>
    </cfRule>
    <cfRule type="containsText" dxfId="397" priority="116" operator="containsText" text="OK">
      <formula>NOT(ISERROR(SEARCH("OK",S2)))</formula>
    </cfRule>
  </conditionalFormatting>
  <conditionalFormatting sqref="A13:A15">
    <cfRule type="containsText" dxfId="396" priority="113" operator="containsText" text="NOT OK">
      <formula>NOT(ISERROR(SEARCH("NOT OK",A13)))</formula>
    </cfRule>
    <cfRule type="containsText" dxfId="395" priority="114" operator="containsText" text="OK">
      <formula>NOT(ISERROR(SEARCH("OK",A13)))</formula>
    </cfRule>
  </conditionalFormatting>
  <conditionalFormatting sqref="B14:B15">
    <cfRule type="containsText" dxfId="394" priority="111" operator="containsText" text="NOT OK">
      <formula>NOT(ISERROR(SEARCH("NOT OK",B14)))</formula>
    </cfRule>
    <cfRule type="containsText" dxfId="393" priority="112" operator="containsText" text="OK">
      <formula>NOT(ISERROR(SEARCH("OK",B14)))</formula>
    </cfRule>
  </conditionalFormatting>
  <conditionalFormatting sqref="A20:K20">
    <cfRule type="containsText" dxfId="392" priority="109" operator="containsText" text="NOT OK">
      <formula>NOT(ISERROR(SEARCH("NOT OK",A20)))</formula>
    </cfRule>
    <cfRule type="containsText" dxfId="391" priority="110" operator="containsText" text="OK">
      <formula>NOT(ISERROR(SEARCH("OK",A20)))</formula>
    </cfRule>
  </conditionalFormatting>
  <conditionalFormatting sqref="A28:K28">
    <cfRule type="containsText" dxfId="390" priority="107" operator="containsText" text="NOT OK">
      <formula>NOT(ISERROR(SEARCH("NOT OK",A28)))</formula>
    </cfRule>
    <cfRule type="containsText" dxfId="389" priority="108" operator="containsText" text="OK">
      <formula>NOT(ISERROR(SEARCH("OK",A28)))</formula>
    </cfRule>
  </conditionalFormatting>
  <conditionalFormatting sqref="A29:A31">
    <cfRule type="containsText" dxfId="388" priority="105" operator="containsText" text="NOT OK">
      <formula>NOT(ISERROR(SEARCH("NOT OK",A29)))</formula>
    </cfRule>
    <cfRule type="containsText" dxfId="387" priority="106" operator="containsText" text="OK">
      <formula>NOT(ISERROR(SEARCH("OK",A29)))</formula>
    </cfRule>
  </conditionalFormatting>
  <conditionalFormatting sqref="A36:K36 A33:A35">
    <cfRule type="containsText" dxfId="386" priority="103" operator="containsText" text="NOT OK">
      <formula>NOT(ISERROR(SEARCH("NOT OK",A33)))</formula>
    </cfRule>
    <cfRule type="containsText" dxfId="385" priority="104" operator="containsText" text="OK">
      <formula>NOT(ISERROR(SEARCH("OK",A33)))</formula>
    </cfRule>
  </conditionalFormatting>
  <conditionalFormatting sqref="A37:A39">
    <cfRule type="containsText" dxfId="384" priority="101" operator="containsText" text="NOT OK">
      <formula>NOT(ISERROR(SEARCH("NOT OK",A37)))</formula>
    </cfRule>
    <cfRule type="containsText" dxfId="383" priority="102" operator="containsText" text="OK">
      <formula>NOT(ISERROR(SEARCH("OK",A37)))</formula>
    </cfRule>
  </conditionalFormatting>
  <conditionalFormatting sqref="A8:K8">
    <cfRule type="containsText" dxfId="382" priority="99" operator="containsText" text="NOT OK">
      <formula>NOT(ISERROR(SEARCH("NOT OK",A8)))</formula>
    </cfRule>
    <cfRule type="containsText" dxfId="381" priority="100" operator="containsText" text="OK">
      <formula>NOT(ISERROR(SEARCH("OK",A8)))</formula>
    </cfRule>
  </conditionalFormatting>
  <conditionalFormatting sqref="B34:B35">
    <cfRule type="containsText" dxfId="380" priority="73" operator="containsText" text="NOT OK">
      <formula>NOT(ISERROR(SEARCH("NOT OK",B34)))</formula>
    </cfRule>
    <cfRule type="containsText" dxfId="379" priority="74" operator="containsText" text="OK">
      <formula>NOT(ISERROR(SEARCH("OK",B34)))</formula>
    </cfRule>
  </conditionalFormatting>
  <conditionalFormatting sqref="B17">
    <cfRule type="containsText" dxfId="378" priority="91" operator="containsText" text="NOT OK">
      <formula>NOT(ISERROR(SEARCH("NOT OK",B17)))</formula>
    </cfRule>
    <cfRule type="containsText" dxfId="377" priority="92" operator="containsText" text="OK">
      <formula>NOT(ISERROR(SEARCH("OK",B17)))</formula>
    </cfRule>
  </conditionalFormatting>
  <conditionalFormatting sqref="B13">
    <cfRule type="containsText" dxfId="376" priority="97" operator="containsText" text="NOT OK">
      <formula>NOT(ISERROR(SEARCH("NOT OK",B13)))</formula>
    </cfRule>
    <cfRule type="containsText" dxfId="375" priority="98" operator="containsText" text="OK">
      <formula>NOT(ISERROR(SEARCH("OK",B13)))</formula>
    </cfRule>
  </conditionalFormatting>
  <conditionalFormatting sqref="A17:A19">
    <cfRule type="containsText" dxfId="374" priority="95" operator="containsText" text="NOT OK">
      <formula>NOT(ISERROR(SEARCH("NOT OK",A17)))</formula>
    </cfRule>
    <cfRule type="containsText" dxfId="373" priority="96" operator="containsText" text="OK">
      <formula>NOT(ISERROR(SEARCH("OK",A17)))</formula>
    </cfRule>
  </conditionalFormatting>
  <conditionalFormatting sqref="B18:B19">
    <cfRule type="containsText" dxfId="372" priority="93" operator="containsText" text="NOT OK">
      <formula>NOT(ISERROR(SEARCH("NOT OK",B18)))</formula>
    </cfRule>
    <cfRule type="containsText" dxfId="371" priority="94" operator="containsText" text="OK">
      <formula>NOT(ISERROR(SEARCH("OK",B18)))</formula>
    </cfRule>
  </conditionalFormatting>
  <conditionalFormatting sqref="A21:A23">
    <cfRule type="containsText" dxfId="370" priority="89" operator="containsText" text="NOT OK">
      <formula>NOT(ISERROR(SEARCH("NOT OK",A21)))</formula>
    </cfRule>
    <cfRule type="containsText" dxfId="369" priority="90" operator="containsText" text="OK">
      <formula>NOT(ISERROR(SEARCH("OK",A21)))</formula>
    </cfRule>
  </conditionalFormatting>
  <conditionalFormatting sqref="B22:B23">
    <cfRule type="containsText" dxfId="368" priority="87" operator="containsText" text="NOT OK">
      <formula>NOT(ISERROR(SEARCH("NOT OK",B22)))</formula>
    </cfRule>
    <cfRule type="containsText" dxfId="367" priority="88" operator="containsText" text="OK">
      <formula>NOT(ISERROR(SEARCH("OK",B22)))</formula>
    </cfRule>
  </conditionalFormatting>
  <conditionalFormatting sqref="B21">
    <cfRule type="containsText" dxfId="366" priority="85" operator="containsText" text="NOT OK">
      <formula>NOT(ISERROR(SEARCH("NOT OK",B21)))</formula>
    </cfRule>
    <cfRule type="containsText" dxfId="365" priority="86" operator="containsText" text="OK">
      <formula>NOT(ISERROR(SEARCH("OK",B21)))</formula>
    </cfRule>
  </conditionalFormatting>
  <conditionalFormatting sqref="K9:K11">
    <cfRule type="containsText" dxfId="364" priority="57" operator="containsText" text="NOT OK">
      <formula>NOT(ISERROR(SEARCH("NOT OK",K9)))</formula>
    </cfRule>
    <cfRule type="containsText" dxfId="363" priority="58" operator="containsText" text="OK">
      <formula>NOT(ISERROR(SEARCH("OK",K9)))</formula>
    </cfRule>
  </conditionalFormatting>
  <conditionalFormatting sqref="A25:A27">
    <cfRule type="containsText" dxfId="362" priority="83" operator="containsText" text="NOT OK">
      <formula>NOT(ISERROR(SEARCH("NOT OK",A25)))</formula>
    </cfRule>
    <cfRule type="containsText" dxfId="361" priority="84" operator="containsText" text="OK">
      <formula>NOT(ISERROR(SEARCH("OK",A25)))</formula>
    </cfRule>
  </conditionalFormatting>
  <conditionalFormatting sqref="B26:B27">
    <cfRule type="containsText" dxfId="360" priority="81" operator="containsText" text="NOT OK">
      <formula>NOT(ISERROR(SEARCH("NOT OK",B26)))</formula>
    </cfRule>
    <cfRule type="containsText" dxfId="359" priority="82" operator="containsText" text="OK">
      <formula>NOT(ISERROR(SEARCH("OK",B26)))</formula>
    </cfRule>
  </conditionalFormatting>
  <conditionalFormatting sqref="B25">
    <cfRule type="containsText" dxfId="358" priority="79" operator="containsText" text="NOT OK">
      <formula>NOT(ISERROR(SEARCH("NOT OK",B25)))</formula>
    </cfRule>
    <cfRule type="containsText" dxfId="357" priority="80" operator="containsText" text="OK">
      <formula>NOT(ISERROR(SEARCH("OK",B25)))</formula>
    </cfRule>
  </conditionalFormatting>
  <conditionalFormatting sqref="B30:B31">
    <cfRule type="containsText" dxfId="356" priority="77" operator="containsText" text="NOT OK">
      <formula>NOT(ISERROR(SEARCH("NOT OK",B30)))</formula>
    </cfRule>
    <cfRule type="containsText" dxfId="355" priority="78" operator="containsText" text="OK">
      <formula>NOT(ISERROR(SEARCH("OK",B30)))</formula>
    </cfRule>
  </conditionalFormatting>
  <conditionalFormatting sqref="B29">
    <cfRule type="containsText" dxfId="354" priority="75" operator="containsText" text="NOT OK">
      <formula>NOT(ISERROR(SEARCH("NOT OK",B29)))</formula>
    </cfRule>
    <cfRule type="containsText" dxfId="353" priority="76" operator="containsText" text="OK">
      <formula>NOT(ISERROR(SEARCH("OK",B29)))</formula>
    </cfRule>
  </conditionalFormatting>
  <conditionalFormatting sqref="B33">
    <cfRule type="containsText" dxfId="352" priority="71" operator="containsText" text="NOT OK">
      <formula>NOT(ISERROR(SEARCH("NOT OK",B33)))</formula>
    </cfRule>
    <cfRule type="containsText" dxfId="351" priority="72" operator="containsText" text="OK">
      <formula>NOT(ISERROR(SEARCH("OK",B33)))</formula>
    </cfRule>
  </conditionalFormatting>
  <conditionalFormatting sqref="B38:B39">
    <cfRule type="containsText" dxfId="350" priority="69" operator="containsText" text="NOT OK">
      <formula>NOT(ISERROR(SEARCH("NOT OK",B38)))</formula>
    </cfRule>
    <cfRule type="containsText" dxfId="349" priority="70" operator="containsText" text="OK">
      <formula>NOT(ISERROR(SEARCH("OK",B38)))</formula>
    </cfRule>
  </conditionalFormatting>
  <conditionalFormatting sqref="B37">
    <cfRule type="containsText" dxfId="348" priority="67" operator="containsText" text="NOT OK">
      <formula>NOT(ISERROR(SEARCH("NOT OK",B37)))</formula>
    </cfRule>
    <cfRule type="containsText" dxfId="347" priority="68" operator="containsText" text="OK">
      <formula>NOT(ISERROR(SEARCH("OK",B37)))</formula>
    </cfRule>
  </conditionalFormatting>
  <conditionalFormatting sqref="A5:B7">
    <cfRule type="containsText" dxfId="346" priority="65" operator="containsText" text="NOT OK">
      <formula>NOT(ISERROR(SEARCH("NOT OK",A5)))</formula>
    </cfRule>
    <cfRule type="containsText" dxfId="345" priority="66" operator="containsText" text="OK">
      <formula>NOT(ISERROR(SEARCH("OK",A5)))</formula>
    </cfRule>
  </conditionalFormatting>
  <conditionalFormatting sqref="C5:J7">
    <cfRule type="containsText" dxfId="344" priority="63" operator="containsText" text="NOT OK">
      <formula>NOT(ISERROR(SEARCH("NOT OK",C5)))</formula>
    </cfRule>
    <cfRule type="containsText" dxfId="343" priority="64" operator="containsText" text="OK">
      <formula>NOT(ISERROR(SEARCH("OK",C5)))</formula>
    </cfRule>
  </conditionalFormatting>
  <conditionalFormatting sqref="K5:K7">
    <cfRule type="containsText" dxfId="342" priority="61" operator="containsText" text="NOT OK">
      <formula>NOT(ISERROR(SEARCH("NOT OK",K5)))</formula>
    </cfRule>
    <cfRule type="containsText" dxfId="341" priority="62" operator="containsText" text="OK">
      <formula>NOT(ISERROR(SEARCH("OK",K5)))</formula>
    </cfRule>
  </conditionalFormatting>
  <conditionalFormatting sqref="C9:J11">
    <cfRule type="containsText" dxfId="340" priority="59" operator="containsText" text="NOT OK">
      <formula>NOT(ISERROR(SEARCH("NOT OK",C9)))</formula>
    </cfRule>
    <cfRule type="containsText" dxfId="339" priority="60" operator="containsText" text="OK">
      <formula>NOT(ISERROR(SEARCH("OK",C9)))</formula>
    </cfRule>
  </conditionalFormatting>
  <conditionalFormatting sqref="K13:K15">
    <cfRule type="containsText" dxfId="338" priority="25" operator="containsText" text="NOT OK">
      <formula>NOT(ISERROR(SEARCH("NOT OK",K13)))</formula>
    </cfRule>
    <cfRule type="containsText" dxfId="337" priority="26" operator="containsText" text="OK">
      <formula>NOT(ISERROR(SEARCH("OK",K13)))</formula>
    </cfRule>
  </conditionalFormatting>
  <conditionalFormatting sqref="C13:J15">
    <cfRule type="containsText" dxfId="336" priority="27" operator="containsText" text="NOT OK">
      <formula>NOT(ISERROR(SEARCH("NOT OK",C13)))</formula>
    </cfRule>
    <cfRule type="containsText" dxfId="335" priority="28" operator="containsText" text="OK">
      <formula>NOT(ISERROR(SEARCH("OK",C13)))</formula>
    </cfRule>
  </conditionalFormatting>
  <conditionalFormatting sqref="K17:K19">
    <cfRule type="containsText" dxfId="334" priority="21" operator="containsText" text="NOT OK">
      <formula>NOT(ISERROR(SEARCH("NOT OK",K17)))</formula>
    </cfRule>
    <cfRule type="containsText" dxfId="333" priority="22" operator="containsText" text="OK">
      <formula>NOT(ISERROR(SEARCH("OK",K17)))</formula>
    </cfRule>
  </conditionalFormatting>
  <conditionalFormatting sqref="C17:J19">
    <cfRule type="containsText" dxfId="332" priority="23" operator="containsText" text="NOT OK">
      <formula>NOT(ISERROR(SEARCH("NOT OK",C17)))</formula>
    </cfRule>
    <cfRule type="containsText" dxfId="331" priority="24" operator="containsText" text="OK">
      <formula>NOT(ISERROR(SEARCH("OK",C17)))</formula>
    </cfRule>
  </conditionalFormatting>
  <conditionalFormatting sqref="K21:K23">
    <cfRule type="containsText" dxfId="330" priority="17" operator="containsText" text="NOT OK">
      <formula>NOT(ISERROR(SEARCH("NOT OK",K21)))</formula>
    </cfRule>
    <cfRule type="containsText" dxfId="329" priority="18" operator="containsText" text="OK">
      <formula>NOT(ISERROR(SEARCH("OK",K21)))</formula>
    </cfRule>
  </conditionalFormatting>
  <conditionalFormatting sqref="C21:J23">
    <cfRule type="containsText" dxfId="328" priority="19" operator="containsText" text="NOT OK">
      <formula>NOT(ISERROR(SEARCH("NOT OK",C21)))</formula>
    </cfRule>
    <cfRule type="containsText" dxfId="327" priority="20" operator="containsText" text="OK">
      <formula>NOT(ISERROR(SEARCH("OK",C21)))</formula>
    </cfRule>
  </conditionalFormatting>
  <conditionalFormatting sqref="K25:K27">
    <cfRule type="containsText" dxfId="326" priority="13" operator="containsText" text="NOT OK">
      <formula>NOT(ISERROR(SEARCH("NOT OK",K25)))</formula>
    </cfRule>
    <cfRule type="containsText" dxfId="325" priority="14" operator="containsText" text="OK">
      <formula>NOT(ISERROR(SEARCH("OK",K25)))</formula>
    </cfRule>
  </conditionalFormatting>
  <conditionalFormatting sqref="C25:J27">
    <cfRule type="containsText" dxfId="324" priority="15" operator="containsText" text="NOT OK">
      <formula>NOT(ISERROR(SEARCH("NOT OK",C25)))</formula>
    </cfRule>
    <cfRule type="containsText" dxfId="323" priority="16" operator="containsText" text="OK">
      <formula>NOT(ISERROR(SEARCH("OK",C25)))</formula>
    </cfRule>
  </conditionalFormatting>
  <conditionalFormatting sqref="K29:K31">
    <cfRule type="containsText" dxfId="322" priority="9" operator="containsText" text="NOT OK">
      <formula>NOT(ISERROR(SEARCH("NOT OK",K29)))</formula>
    </cfRule>
    <cfRule type="containsText" dxfId="321" priority="10" operator="containsText" text="OK">
      <formula>NOT(ISERROR(SEARCH("OK",K29)))</formula>
    </cfRule>
  </conditionalFormatting>
  <conditionalFormatting sqref="C29:J31">
    <cfRule type="containsText" dxfId="320" priority="11" operator="containsText" text="NOT OK">
      <formula>NOT(ISERROR(SEARCH("NOT OK",C29)))</formula>
    </cfRule>
    <cfRule type="containsText" dxfId="319" priority="12" operator="containsText" text="OK">
      <formula>NOT(ISERROR(SEARCH("OK",C29)))</formula>
    </cfRule>
  </conditionalFormatting>
  <conditionalFormatting sqref="K33:K35">
    <cfRule type="containsText" dxfId="318" priority="5" operator="containsText" text="NOT OK">
      <formula>NOT(ISERROR(SEARCH("NOT OK",K33)))</formula>
    </cfRule>
    <cfRule type="containsText" dxfId="317" priority="6" operator="containsText" text="OK">
      <formula>NOT(ISERROR(SEARCH("OK",K33)))</formula>
    </cfRule>
  </conditionalFormatting>
  <conditionalFormatting sqref="C33:J35">
    <cfRule type="containsText" dxfId="316" priority="7" operator="containsText" text="NOT OK">
      <formula>NOT(ISERROR(SEARCH("NOT OK",C33)))</formula>
    </cfRule>
    <cfRule type="containsText" dxfId="315" priority="8" operator="containsText" text="OK">
      <formula>NOT(ISERROR(SEARCH("OK",C33)))</formula>
    </cfRule>
  </conditionalFormatting>
  <conditionalFormatting sqref="K37:K39">
    <cfRule type="containsText" dxfId="314" priority="1" operator="containsText" text="NOT OK">
      <formula>NOT(ISERROR(SEARCH("NOT OK",K37)))</formula>
    </cfRule>
    <cfRule type="containsText" dxfId="313" priority="2" operator="containsText" text="OK">
      <formula>NOT(ISERROR(SEARCH("OK",K37)))</formula>
    </cfRule>
  </conditionalFormatting>
  <conditionalFormatting sqref="C37:J39">
    <cfRule type="containsText" dxfId="312" priority="3" operator="containsText" text="NOT OK">
      <formula>NOT(ISERROR(SEARCH("NOT OK",C37)))</formula>
    </cfRule>
    <cfRule type="containsText" dxfId="311" priority="4" operator="containsText" text="OK">
      <formula>NOT(ISERROR(SEARCH("OK",C37)))</formula>
    </cfRule>
  </conditionalFormatting>
  <pageMargins left="1.01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4DAF-6BB0-4855-B5E7-B843A1194124}">
  <dimension ref="A1:AA40"/>
  <sheetViews>
    <sheetView zoomScale="85" zoomScaleNormal="85" zoomScaleSheetLayoutView="100" workbookViewId="0">
      <selection activeCell="C31" sqref="C31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3.554687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10" max="10" width="9.109375"/>
    <col min="13" max="15" width="9.109375"/>
    <col min="22" max="22" width="9.5546875" bestFit="1" customWidth="1"/>
  </cols>
  <sheetData>
    <row r="1" spans="1:27" ht="29.25" customHeight="1" thickBot="1" x14ac:dyDescent="0.35">
      <c r="A1" s="77" t="s">
        <v>87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7" ht="15" thickBot="1" x14ac:dyDescent="0.35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  <c r="M2" s="71" t="s">
        <v>75</v>
      </c>
      <c r="N2" s="72"/>
      <c r="O2" s="72"/>
      <c r="P2" s="72"/>
      <c r="Q2" s="73"/>
      <c r="S2" s="71" t="s">
        <v>76</v>
      </c>
      <c r="T2" s="72"/>
      <c r="U2" s="72"/>
      <c r="V2" s="72"/>
      <c r="W2" s="73"/>
    </row>
    <row r="3" spans="1:27" ht="16.2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  <c r="M3" s="40" t="s">
        <v>59</v>
      </c>
      <c r="O3">
        <v>2289</v>
      </c>
      <c r="P3" t="s">
        <v>63</v>
      </c>
      <c r="Q3" s="34"/>
      <c r="S3" s="40" t="s">
        <v>59</v>
      </c>
      <c r="U3">
        <v>1208</v>
      </c>
      <c r="V3" t="s">
        <v>63</v>
      </c>
      <c r="W3" s="34"/>
    </row>
    <row r="4" spans="1:27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  <c r="M4" s="40" t="s">
        <v>60</v>
      </c>
      <c r="O4">
        <v>10</v>
      </c>
      <c r="P4" t="s">
        <v>55</v>
      </c>
      <c r="Q4" s="34"/>
      <c r="S4" s="40" t="s">
        <v>60</v>
      </c>
      <c r="U4">
        <v>10</v>
      </c>
      <c r="V4" t="s">
        <v>55</v>
      </c>
      <c r="W4" s="34"/>
    </row>
    <row r="5" spans="1:27" x14ac:dyDescent="0.3">
      <c r="A5" s="32" t="s">
        <v>74</v>
      </c>
      <c r="B5" s="4" t="s">
        <v>72</v>
      </c>
      <c r="C5" s="3">
        <v>295</v>
      </c>
      <c r="D5" s="46">
        <v>2</v>
      </c>
      <c r="E5" s="46">
        <v>16</v>
      </c>
      <c r="F5" s="46">
        <v>2</v>
      </c>
      <c r="G5" s="46">
        <v>12</v>
      </c>
      <c r="H5" s="3">
        <f>D5*(3.14*(E5^2)/4)+F5*(3.14*(G5^2)/4)</f>
        <v>628</v>
      </c>
      <c r="I5" s="5">
        <f>H5/(450*300)*100</f>
        <v>0.46518518518518515</v>
      </c>
      <c r="J5" s="31" t="s">
        <v>56</v>
      </c>
      <c r="K5" t="str">
        <f t="shared" ref="K5:K6" si="0">IF(H5&gt;=C5,"OK","NOT OK")</f>
        <v>OK</v>
      </c>
      <c r="L5" t="s">
        <v>90</v>
      </c>
      <c r="M5" s="40" t="s">
        <v>61</v>
      </c>
      <c r="O5">
        <v>4</v>
      </c>
      <c r="Q5" s="34"/>
      <c r="S5" s="40" t="s">
        <v>61</v>
      </c>
      <c r="U5">
        <v>4</v>
      </c>
      <c r="W5" s="34"/>
    </row>
    <row r="6" spans="1:27" x14ac:dyDescent="0.3">
      <c r="A6" s="33"/>
      <c r="B6" s="4"/>
      <c r="C6" s="3">
        <v>430</v>
      </c>
      <c r="D6" s="46">
        <v>2</v>
      </c>
      <c r="E6" s="46">
        <v>12</v>
      </c>
      <c r="F6" s="46">
        <v>2</v>
      </c>
      <c r="G6" s="46">
        <v>16</v>
      </c>
      <c r="H6" s="3">
        <f>D6*(3.14*E6^2/4)+F6*(3.14*G6^2/4)</f>
        <v>628</v>
      </c>
      <c r="I6" s="5">
        <f t="shared" ref="I6:I7" si="1">H6/(450*300)*100</f>
        <v>0.46518518518518515</v>
      </c>
      <c r="J6" s="31" t="s">
        <v>57</v>
      </c>
      <c r="K6" t="str">
        <f t="shared" si="0"/>
        <v>OK</v>
      </c>
      <c r="M6" s="40" t="s">
        <v>62</v>
      </c>
      <c r="O6">
        <f>(((PI()*O4*O4/4)*O5)/O3)*1000</f>
        <v>137.24738547792896</v>
      </c>
      <c r="P6" t="s">
        <v>55</v>
      </c>
      <c r="Q6" s="34"/>
      <c r="S6" s="40" t="s">
        <v>62</v>
      </c>
      <c r="U6">
        <f>(((PI()*U4*U4/4)*U5)/U3)*1000</f>
        <v>260.06561701902262</v>
      </c>
      <c r="V6" t="s">
        <v>55</v>
      </c>
      <c r="W6" s="34"/>
    </row>
    <row r="7" spans="1:27" x14ac:dyDescent="0.3">
      <c r="A7" s="33"/>
      <c r="B7" s="4"/>
      <c r="C7" s="3">
        <f>495-H5</f>
        <v>-133</v>
      </c>
      <c r="D7" s="46"/>
      <c r="E7" s="46"/>
      <c r="F7" s="46"/>
      <c r="G7" s="46"/>
      <c r="H7" s="3">
        <f t="shared" ref="H7" si="2">D7*(3.14*E7^2/4)+F7*(3.14*G7^2/4)</f>
        <v>0</v>
      </c>
      <c r="I7" s="5">
        <f t="shared" si="1"/>
        <v>0</v>
      </c>
      <c r="J7" s="31" t="s">
        <v>58</v>
      </c>
      <c r="K7" t="str">
        <f>IF(H7&gt;=C7,"OK","NOT OK")</f>
        <v>OK</v>
      </c>
      <c r="M7" s="40" t="s">
        <v>64</v>
      </c>
      <c r="O7">
        <v>100</v>
      </c>
      <c r="P7" t="str">
        <f>IF(O6&gt;=O7, "OK", "NOT OK")</f>
        <v>OK</v>
      </c>
      <c r="Q7" s="34"/>
      <c r="S7" s="40" t="s">
        <v>64</v>
      </c>
      <c r="U7">
        <v>150</v>
      </c>
      <c r="V7" t="str">
        <f>IF(U6&gt;=U7, "OK", "NOT OK")</f>
        <v>OK</v>
      </c>
      <c r="W7" s="34"/>
    </row>
    <row r="8" spans="1:27" ht="15" thickBot="1" x14ac:dyDescent="0.35">
      <c r="A8" s="33"/>
      <c r="B8" s="4"/>
      <c r="C8" s="3"/>
      <c r="D8" s="4"/>
      <c r="E8" s="4"/>
      <c r="F8" s="4"/>
      <c r="G8" s="4"/>
      <c r="H8" s="3"/>
      <c r="I8" s="5"/>
      <c r="J8" s="31"/>
      <c r="M8" s="41"/>
      <c r="N8" s="35"/>
      <c r="O8" s="37" t="str">
        <f>CONCATENATE(O5,"L-",O4,"mm bars @",O7,"mm C/C")</f>
        <v>4L-10mm bars @100mm C/C</v>
      </c>
      <c r="P8" s="37"/>
      <c r="Q8" s="38"/>
      <c r="S8" s="41"/>
      <c r="T8" s="35"/>
      <c r="U8" s="37" t="str">
        <f>CONCATENATE(U5,"L-",U4,"mm bars @",U7,"mm C/C")</f>
        <v>4L-10mm bars @150mm C/C</v>
      </c>
      <c r="V8" s="37"/>
      <c r="W8" s="38"/>
    </row>
    <row r="9" spans="1:27" x14ac:dyDescent="0.3">
      <c r="A9" s="32" t="s">
        <v>77</v>
      </c>
      <c r="B9" s="4" t="s">
        <v>72</v>
      </c>
      <c r="C9" s="3">
        <v>295</v>
      </c>
      <c r="D9" s="46">
        <v>2</v>
      </c>
      <c r="E9" s="46">
        <v>16</v>
      </c>
      <c r="F9" s="46">
        <v>2</v>
      </c>
      <c r="G9" s="46">
        <v>12</v>
      </c>
      <c r="H9" s="3">
        <f>D9*(3.14*(E9^2)/4)+F9*(3.14*(G9^2)/4)</f>
        <v>628</v>
      </c>
      <c r="I9" s="5">
        <f>H9/(450*300)*100</f>
        <v>0.46518518518518515</v>
      </c>
      <c r="J9" s="31" t="s">
        <v>56</v>
      </c>
      <c r="K9" t="str">
        <f t="shared" ref="K9:K10" si="3">IF(H9&gt;=C9,"OK","NOT OK")</f>
        <v>OK</v>
      </c>
      <c r="L9" t="s">
        <v>90</v>
      </c>
    </row>
    <row r="10" spans="1:27" ht="15" thickBot="1" x14ac:dyDescent="0.35">
      <c r="A10" s="33"/>
      <c r="B10" s="4"/>
      <c r="C10" s="3">
        <v>504</v>
      </c>
      <c r="D10" s="46">
        <v>2</v>
      </c>
      <c r="E10" s="46">
        <v>12</v>
      </c>
      <c r="F10" s="46">
        <v>2</v>
      </c>
      <c r="G10" s="46">
        <v>16</v>
      </c>
      <c r="H10" s="3">
        <f>D10*(3.14*E10^2/4)+F10*(3.14*G10^2/4)</f>
        <v>628</v>
      </c>
      <c r="I10" s="5">
        <f t="shared" ref="I10:I11" si="4">H10/(450*300)*100</f>
        <v>0.46518518518518515</v>
      </c>
      <c r="J10" s="31" t="s">
        <v>57</v>
      </c>
      <c r="K10" t="str">
        <f t="shared" si="3"/>
        <v>OK</v>
      </c>
    </row>
    <row r="11" spans="1:27" x14ac:dyDescent="0.3">
      <c r="A11" s="33"/>
      <c r="B11" s="4"/>
      <c r="C11" s="3">
        <f>749-H9</f>
        <v>121</v>
      </c>
      <c r="D11" s="46">
        <v>1</v>
      </c>
      <c r="E11" s="46">
        <v>16</v>
      </c>
      <c r="F11" s="46"/>
      <c r="G11" s="46"/>
      <c r="H11" s="3">
        <f t="shared" ref="H11" si="5">D11*(3.14*E11^2/4)+F11*(3.14*G11^2/4)</f>
        <v>200.96</v>
      </c>
      <c r="I11" s="5">
        <f t="shared" si="4"/>
        <v>0.14885925925925925</v>
      </c>
      <c r="J11" s="31" t="s">
        <v>58</v>
      </c>
      <c r="K11" t="str">
        <f>IF(H11&gt;=C11,"OK","NOT OK")</f>
        <v>OK</v>
      </c>
      <c r="M11" s="74" t="s">
        <v>73</v>
      </c>
      <c r="N11" s="75"/>
      <c r="O11" s="75"/>
      <c r="P11" s="75"/>
      <c r="Q11" s="75"/>
      <c r="R11" s="75"/>
      <c r="S11" s="76"/>
    </row>
    <row r="12" spans="1:27" x14ac:dyDescent="0.3">
      <c r="A12" s="33"/>
      <c r="B12" s="4"/>
      <c r="C12" s="3"/>
      <c r="D12" s="4"/>
      <c r="E12" s="4"/>
      <c r="F12" s="4"/>
      <c r="G12" s="4"/>
      <c r="H12" s="3"/>
      <c r="I12" s="5"/>
      <c r="J12" s="31"/>
      <c r="M12" s="33"/>
      <c r="N12" s="49" t="s">
        <v>65</v>
      </c>
      <c r="O12" s="51" t="s">
        <v>68</v>
      </c>
      <c r="P12" s="52"/>
      <c r="Q12" s="52"/>
      <c r="R12" s="52"/>
      <c r="S12" s="53"/>
    </row>
    <row r="13" spans="1:27" x14ac:dyDescent="0.3">
      <c r="A13" s="32" t="s">
        <v>78</v>
      </c>
      <c r="B13" s="4" t="s">
        <v>72</v>
      </c>
      <c r="C13" s="3">
        <v>295</v>
      </c>
      <c r="D13" s="46">
        <v>2</v>
      </c>
      <c r="E13" s="46">
        <v>16</v>
      </c>
      <c r="F13" s="46">
        <v>2</v>
      </c>
      <c r="G13" s="46">
        <v>12</v>
      </c>
      <c r="H13" s="3">
        <f>D13*(3.14*(E13^2)/4)+F13*(3.14*(G13^2)/4)</f>
        <v>628</v>
      </c>
      <c r="I13" s="5">
        <f>H13/(450*300)*100</f>
        <v>0.46518518518518515</v>
      </c>
      <c r="J13" s="31" t="s">
        <v>56</v>
      </c>
      <c r="K13" t="str">
        <f t="shared" ref="K13:K14" si="6">IF(H13&gt;=C13,"OK","NOT OK")</f>
        <v>OK</v>
      </c>
      <c r="L13" t="s">
        <v>90</v>
      </c>
      <c r="M13" s="33"/>
      <c r="N13" s="50"/>
      <c r="O13" s="39" t="s">
        <v>69</v>
      </c>
      <c r="P13" s="39" t="s">
        <v>20</v>
      </c>
      <c r="Q13" s="39" t="s">
        <v>70</v>
      </c>
      <c r="R13" s="39" t="s">
        <v>20</v>
      </c>
      <c r="S13" s="43" t="s">
        <v>71</v>
      </c>
    </row>
    <row r="14" spans="1:27" x14ac:dyDescent="0.3">
      <c r="A14" s="33"/>
      <c r="B14" s="4"/>
      <c r="C14" s="3">
        <v>484</v>
      </c>
      <c r="D14" s="46">
        <v>2</v>
      </c>
      <c r="E14" s="46">
        <v>12</v>
      </c>
      <c r="F14" s="46">
        <v>2</v>
      </c>
      <c r="G14" s="46">
        <v>16</v>
      </c>
      <c r="H14" s="3">
        <f>D14*(3.14*E14^2/4)+F14*(3.14*G14^2/4)</f>
        <v>628</v>
      </c>
      <c r="I14" s="5">
        <f t="shared" ref="I14:I15" si="7">H14/(450*300)*100</f>
        <v>0.46518518518518515</v>
      </c>
      <c r="J14" s="31" t="s">
        <v>57</v>
      </c>
      <c r="K14" t="str">
        <f t="shared" si="6"/>
        <v>OK</v>
      </c>
      <c r="M14" s="30" t="s">
        <v>66</v>
      </c>
      <c r="N14" s="4">
        <v>171</v>
      </c>
      <c r="O14" s="4">
        <v>3</v>
      </c>
      <c r="P14" s="4">
        <v>12</v>
      </c>
      <c r="Q14" s="4"/>
      <c r="R14" s="4"/>
      <c r="S14" s="31">
        <f>(PI()*P14^2/4)*O14+(PI()*R14^2/4)*Q14</f>
        <v>339.29200658769764</v>
      </c>
      <c r="T14" t="str">
        <f>IF(S14&gt;=N14,"OK","NOT OK")</f>
        <v>OK</v>
      </c>
      <c r="AA14" s="48"/>
    </row>
    <row r="15" spans="1:27" ht="15" thickBot="1" x14ac:dyDescent="0.35">
      <c r="A15" s="33"/>
      <c r="B15" s="4"/>
      <c r="C15" s="3">
        <f>865-H13</f>
        <v>237</v>
      </c>
      <c r="D15" s="46">
        <v>2</v>
      </c>
      <c r="E15" s="46">
        <v>16</v>
      </c>
      <c r="F15" s="46"/>
      <c r="G15" s="46"/>
      <c r="H15" s="3">
        <f t="shared" ref="H15" si="8">D15*(3.14*E15^2/4)+F15*(3.14*G15^2/4)</f>
        <v>401.92</v>
      </c>
      <c r="I15" s="5">
        <f t="shared" si="7"/>
        <v>0.29771851851851849</v>
      </c>
      <c r="J15" s="31" t="s">
        <v>58</v>
      </c>
      <c r="K15" t="str">
        <f>IF(H15&gt;=C15,"OK","NOT OK")</f>
        <v>OK</v>
      </c>
      <c r="M15" s="44" t="s">
        <v>67</v>
      </c>
      <c r="N15" s="36">
        <v>171</v>
      </c>
      <c r="O15" s="36">
        <v>3</v>
      </c>
      <c r="P15" s="36">
        <v>12</v>
      </c>
      <c r="Q15" s="36"/>
      <c r="R15" s="36"/>
      <c r="S15" s="45">
        <f>(PI()*P15^2/4)*O15+(PI()*R15^2/4)*Q15</f>
        <v>339.29200658769764</v>
      </c>
      <c r="T15" t="str">
        <f>IF(S15&gt;=N15,"OK","NOT OK")</f>
        <v>OK</v>
      </c>
    </row>
    <row r="16" spans="1:27" x14ac:dyDescent="0.3">
      <c r="A16" s="33"/>
      <c r="B16" s="4"/>
      <c r="C16" s="3"/>
      <c r="D16" s="4"/>
      <c r="E16" s="4"/>
      <c r="F16" s="4"/>
      <c r="G16" s="4"/>
      <c r="H16" s="3"/>
      <c r="I16" s="5"/>
      <c r="J16" s="31"/>
    </row>
    <row r="17" spans="1:12" x14ac:dyDescent="0.3">
      <c r="A17" s="32" t="s">
        <v>79</v>
      </c>
      <c r="B17" s="4" t="s">
        <v>72</v>
      </c>
      <c r="C17" s="3">
        <v>295</v>
      </c>
      <c r="D17" s="46">
        <v>2</v>
      </c>
      <c r="E17" s="46">
        <v>16</v>
      </c>
      <c r="F17" s="46">
        <v>2</v>
      </c>
      <c r="G17" s="46">
        <v>12</v>
      </c>
      <c r="H17" s="3">
        <f>D17*(3.14*(E17^2)/4)+F17*(3.14*(G17^2)/4)</f>
        <v>628</v>
      </c>
      <c r="I17" s="5">
        <f>H17/(450*300)*100</f>
        <v>0.46518518518518515</v>
      </c>
      <c r="J17" s="31" t="s">
        <v>56</v>
      </c>
      <c r="K17" t="str">
        <f t="shared" ref="K17:K18" si="9">IF(H17&gt;=C17,"OK","NOT OK")</f>
        <v>OK</v>
      </c>
      <c r="L17" t="s">
        <v>90</v>
      </c>
    </row>
    <row r="18" spans="1:12" x14ac:dyDescent="0.3">
      <c r="A18" s="33"/>
      <c r="B18" s="4"/>
      <c r="C18" s="3">
        <v>501</v>
      </c>
      <c r="D18" s="46">
        <v>2</v>
      </c>
      <c r="E18" s="46">
        <v>12</v>
      </c>
      <c r="F18" s="46">
        <v>2</v>
      </c>
      <c r="G18" s="46">
        <v>16</v>
      </c>
      <c r="H18" s="3">
        <f>D18*(3.14*E18^2/4)+F18*(3.14*G18^2/4)</f>
        <v>628</v>
      </c>
      <c r="I18" s="5">
        <f t="shared" ref="I18:I19" si="10">H18/(450*300)*100</f>
        <v>0.46518518518518515</v>
      </c>
      <c r="J18" s="31" t="s">
        <v>57</v>
      </c>
      <c r="K18" t="str">
        <f t="shared" si="9"/>
        <v>OK</v>
      </c>
    </row>
    <row r="19" spans="1:12" x14ac:dyDescent="0.3">
      <c r="A19" s="33"/>
      <c r="B19" s="4"/>
      <c r="C19" s="3">
        <f>794-H17</f>
        <v>166</v>
      </c>
      <c r="D19" s="46">
        <v>1</v>
      </c>
      <c r="E19" s="46">
        <v>16</v>
      </c>
      <c r="F19" s="46"/>
      <c r="G19" s="46"/>
      <c r="H19" s="3">
        <f t="shared" ref="H19" si="11">D19*(3.14*E19^2/4)+F19*(3.14*G19^2/4)</f>
        <v>200.96</v>
      </c>
      <c r="I19" s="5">
        <f t="shared" si="10"/>
        <v>0.14885925925925925</v>
      </c>
      <c r="J19" s="31" t="s">
        <v>58</v>
      </c>
      <c r="K19" t="str">
        <f>IF(H19&gt;=C19,"OK","NOT OK")</f>
        <v>OK</v>
      </c>
    </row>
    <row r="20" spans="1:12" x14ac:dyDescent="0.3">
      <c r="A20" s="33"/>
      <c r="B20" s="4"/>
      <c r="C20" s="3"/>
      <c r="D20" s="4"/>
      <c r="E20" s="4"/>
      <c r="F20" s="4"/>
      <c r="G20" s="4"/>
      <c r="H20" s="3"/>
      <c r="I20" s="5"/>
      <c r="J20" s="31"/>
    </row>
    <row r="21" spans="1:12" x14ac:dyDescent="0.3">
      <c r="A21" s="32" t="s">
        <v>80</v>
      </c>
      <c r="B21" s="4" t="s">
        <v>72</v>
      </c>
      <c r="C21" s="3">
        <v>295</v>
      </c>
      <c r="D21" s="46">
        <v>2</v>
      </c>
      <c r="E21" s="46">
        <v>16</v>
      </c>
      <c r="F21" s="46">
        <v>2</v>
      </c>
      <c r="G21" s="46">
        <v>12</v>
      </c>
      <c r="H21" s="3">
        <f>D21*(3.14*(E21^2)/4)+F21*(3.14*(G21^2)/4)</f>
        <v>628</v>
      </c>
      <c r="I21" s="5">
        <f>H21/(450*300)*100</f>
        <v>0.46518518518518515</v>
      </c>
      <c r="J21" s="31" t="s">
        <v>56</v>
      </c>
      <c r="K21" t="str">
        <f t="shared" ref="K21:K22" si="12">IF(H21&gt;=C21,"OK","NOT OK")</f>
        <v>OK</v>
      </c>
      <c r="L21" t="s">
        <v>90</v>
      </c>
    </row>
    <row r="22" spans="1:12" x14ac:dyDescent="0.3">
      <c r="A22" s="33"/>
      <c r="B22" s="4"/>
      <c r="C22" s="3">
        <v>416</v>
      </c>
      <c r="D22" s="46">
        <v>2</v>
      </c>
      <c r="E22" s="46">
        <v>12</v>
      </c>
      <c r="F22" s="46">
        <v>2</v>
      </c>
      <c r="G22" s="46">
        <v>16</v>
      </c>
      <c r="H22" s="3">
        <f>D22*(3.14*E22^2/4)+F22*(3.14*G22^2/4)</f>
        <v>628</v>
      </c>
      <c r="I22" s="5">
        <f t="shared" ref="I22:I23" si="13">H22/(450*300)*100</f>
        <v>0.46518518518518515</v>
      </c>
      <c r="J22" s="31" t="s">
        <v>57</v>
      </c>
      <c r="K22" t="str">
        <f t="shared" si="12"/>
        <v>OK</v>
      </c>
    </row>
    <row r="23" spans="1:12" x14ac:dyDescent="0.3">
      <c r="A23" s="33"/>
      <c r="B23" s="4"/>
      <c r="C23" s="3">
        <f>701-H21</f>
        <v>73</v>
      </c>
      <c r="D23" s="46">
        <v>1</v>
      </c>
      <c r="E23" s="46">
        <v>12</v>
      </c>
      <c r="F23" s="46"/>
      <c r="G23" s="46"/>
      <c r="H23" s="3">
        <f t="shared" ref="H23" si="14">D23*(3.14*E23^2/4)+F23*(3.14*G23^2/4)</f>
        <v>113.04</v>
      </c>
      <c r="I23" s="5">
        <f t="shared" si="13"/>
        <v>8.373333333333334E-2</v>
      </c>
      <c r="J23" s="31" t="s">
        <v>58</v>
      </c>
      <c r="K23" t="str">
        <f>IF(H23&gt;=C23,"OK","NOT OK")</f>
        <v>OK</v>
      </c>
    </row>
    <row r="24" spans="1:12" x14ac:dyDescent="0.3">
      <c r="A24" s="33"/>
      <c r="B24" s="4"/>
      <c r="C24" s="3"/>
      <c r="D24" s="4"/>
      <c r="E24" s="4"/>
      <c r="F24" s="4"/>
      <c r="G24" s="4"/>
      <c r="H24" s="3"/>
      <c r="I24" s="5"/>
      <c r="J24" s="31"/>
    </row>
    <row r="25" spans="1:12" x14ac:dyDescent="0.3">
      <c r="A25" s="32" t="s">
        <v>81</v>
      </c>
      <c r="B25" s="4" t="s">
        <v>72</v>
      </c>
      <c r="C25" s="3">
        <v>295</v>
      </c>
      <c r="D25" s="46">
        <v>2</v>
      </c>
      <c r="E25" s="46">
        <v>16</v>
      </c>
      <c r="F25" s="46">
        <v>2</v>
      </c>
      <c r="G25" s="46">
        <v>12</v>
      </c>
      <c r="H25" s="3">
        <f>D25*(3.14*(E25^2)/4)+F25*(3.14*(G25^2)/4)</f>
        <v>628</v>
      </c>
      <c r="I25" s="5">
        <f>H25/(450*300)*100</f>
        <v>0.46518518518518515</v>
      </c>
      <c r="J25" s="31" t="s">
        <v>56</v>
      </c>
      <c r="K25" t="str">
        <f t="shared" ref="K25:K26" si="15">IF(H25&gt;=C25,"OK","NOT OK")</f>
        <v>OK</v>
      </c>
      <c r="L25" t="s">
        <v>90</v>
      </c>
    </row>
    <row r="26" spans="1:12" x14ac:dyDescent="0.3">
      <c r="A26" s="33"/>
      <c r="B26" s="4"/>
      <c r="C26" s="3">
        <v>497</v>
      </c>
      <c r="D26" s="46">
        <v>2</v>
      </c>
      <c r="E26" s="46">
        <v>12</v>
      </c>
      <c r="F26" s="46">
        <v>2</v>
      </c>
      <c r="G26" s="46">
        <v>16</v>
      </c>
      <c r="H26" s="3">
        <f>D26*(3.14*E26^2/4)+F26*(3.14*G26^2/4)</f>
        <v>628</v>
      </c>
      <c r="I26" s="5">
        <f t="shared" ref="I26:I27" si="16">H26/(450*300)*100</f>
        <v>0.46518518518518515</v>
      </c>
      <c r="J26" s="31" t="s">
        <v>57</v>
      </c>
      <c r="K26" t="str">
        <f t="shared" si="15"/>
        <v>OK</v>
      </c>
    </row>
    <row r="27" spans="1:12" x14ac:dyDescent="0.3">
      <c r="A27" s="33"/>
      <c r="B27" s="4"/>
      <c r="C27" s="3">
        <f>754-H25</f>
        <v>126</v>
      </c>
      <c r="D27" s="46">
        <v>1</v>
      </c>
      <c r="E27" s="46">
        <v>16</v>
      </c>
      <c r="F27" s="46"/>
      <c r="G27" s="46"/>
      <c r="H27" s="3">
        <f t="shared" ref="H27" si="17">D27*(3.14*E27^2/4)+F27*(3.14*G27^2/4)</f>
        <v>200.96</v>
      </c>
      <c r="I27" s="5">
        <f t="shared" si="16"/>
        <v>0.14885925925925925</v>
      </c>
      <c r="J27" s="31" t="s">
        <v>58</v>
      </c>
      <c r="K27" t="str">
        <f>IF(H27&gt;=C27,"OK","NOT OK")</f>
        <v>OK</v>
      </c>
    </row>
    <row r="28" spans="1:12" x14ac:dyDescent="0.3">
      <c r="A28" s="33"/>
      <c r="B28" s="4"/>
      <c r="C28" s="3"/>
      <c r="D28" s="4"/>
      <c r="E28" s="4"/>
      <c r="F28" s="4"/>
      <c r="G28" s="4"/>
      <c r="H28" s="3"/>
      <c r="I28" s="5"/>
      <c r="J28" s="31"/>
    </row>
    <row r="29" spans="1:12" x14ac:dyDescent="0.3">
      <c r="A29" s="32" t="s">
        <v>82</v>
      </c>
      <c r="B29" s="4" t="s">
        <v>72</v>
      </c>
      <c r="C29" s="3">
        <v>295</v>
      </c>
      <c r="D29" s="46">
        <v>2</v>
      </c>
      <c r="E29" s="46">
        <v>16</v>
      </c>
      <c r="F29" s="46">
        <v>2</v>
      </c>
      <c r="G29" s="46">
        <v>12</v>
      </c>
      <c r="H29" s="3">
        <f>D29*(3.14*(E29^2)/4)+F29*(3.14*(G29^2)/4)</f>
        <v>628</v>
      </c>
      <c r="I29" s="5">
        <f>H29/(450*300)*100</f>
        <v>0.46518518518518515</v>
      </c>
      <c r="J29" s="31" t="s">
        <v>56</v>
      </c>
      <c r="K29" t="str">
        <f t="shared" ref="K29:K30" si="18">IF(H29&gt;=C29,"OK","NOT OK")</f>
        <v>OK</v>
      </c>
    </row>
    <row r="30" spans="1:12" x14ac:dyDescent="0.3">
      <c r="A30" s="33"/>
      <c r="B30" s="4"/>
      <c r="C30" s="3">
        <v>460</v>
      </c>
      <c r="D30" s="46">
        <v>2</v>
      </c>
      <c r="E30" s="46">
        <v>12</v>
      </c>
      <c r="F30" s="46">
        <v>2</v>
      </c>
      <c r="G30" s="46">
        <v>16</v>
      </c>
      <c r="H30" s="3">
        <f>D30*(3.14*E30^2/4)+F30*(3.14*G30^2/4)</f>
        <v>628</v>
      </c>
      <c r="I30" s="5">
        <f t="shared" ref="I30:I31" si="19">H30/(450*300)*100</f>
        <v>0.46518518518518515</v>
      </c>
      <c r="J30" s="31" t="s">
        <v>57</v>
      </c>
      <c r="K30" t="str">
        <f t="shared" si="18"/>
        <v>OK</v>
      </c>
    </row>
    <row r="31" spans="1:12" x14ac:dyDescent="0.3">
      <c r="A31" s="33"/>
      <c r="B31" s="4"/>
      <c r="C31" s="3">
        <f>716-H29</f>
        <v>88</v>
      </c>
      <c r="D31" s="46">
        <v>1</v>
      </c>
      <c r="E31" s="46">
        <v>12</v>
      </c>
      <c r="F31" s="46"/>
      <c r="G31" s="46"/>
      <c r="H31" s="3">
        <f t="shared" ref="H31" si="20">D31*(3.14*E31^2/4)+F31*(3.14*G31^2/4)</f>
        <v>113.04</v>
      </c>
      <c r="I31" s="5">
        <f t="shared" si="19"/>
        <v>8.373333333333334E-2</v>
      </c>
      <c r="J31" s="31" t="s">
        <v>58</v>
      </c>
      <c r="K31" t="str">
        <f>IF(H31&gt;=C31,"OK","NOT OK")</f>
        <v>OK</v>
      </c>
    </row>
    <row r="32" spans="1:12" x14ac:dyDescent="0.3">
      <c r="A32" s="33"/>
      <c r="B32" s="4"/>
      <c r="C32" s="3"/>
      <c r="D32" s="4"/>
      <c r="E32" s="4"/>
      <c r="F32" s="4"/>
      <c r="G32" s="4"/>
      <c r="H32" s="3"/>
      <c r="I32" s="5"/>
      <c r="J32" s="31"/>
    </row>
    <row r="33" spans="1:15" x14ac:dyDescent="0.3">
      <c r="A33" s="32" t="s">
        <v>83</v>
      </c>
      <c r="B33" s="4" t="s">
        <v>72</v>
      </c>
      <c r="C33" s="3">
        <v>295</v>
      </c>
      <c r="D33" s="46">
        <v>2</v>
      </c>
      <c r="E33" s="46">
        <v>16</v>
      </c>
      <c r="F33" s="46">
        <v>2</v>
      </c>
      <c r="G33" s="46">
        <v>12</v>
      </c>
      <c r="H33" s="3">
        <f>D33*(3.14*(E33^2)/4)+F33*(3.14*(G33^2)/4)</f>
        <v>628</v>
      </c>
      <c r="I33" s="5">
        <f>H33/(450*300)*100</f>
        <v>0.46518518518518515</v>
      </c>
      <c r="J33" s="31" t="s">
        <v>56</v>
      </c>
      <c r="K33" t="str">
        <f t="shared" ref="K33:K34" si="21">IF(H33&gt;=C33,"OK","NOT OK")</f>
        <v>OK</v>
      </c>
      <c r="L33" t="s">
        <v>93</v>
      </c>
    </row>
    <row r="34" spans="1:15" x14ac:dyDescent="0.3">
      <c r="A34" s="33"/>
      <c r="B34" s="4"/>
      <c r="C34" s="3">
        <v>339</v>
      </c>
      <c r="D34" s="46">
        <v>2</v>
      </c>
      <c r="E34" s="46">
        <v>12</v>
      </c>
      <c r="F34" s="46">
        <v>2</v>
      </c>
      <c r="G34" s="46">
        <v>16</v>
      </c>
      <c r="H34" s="3">
        <f>D34*(3.14*E34^2/4)+F34*(3.14*G34^2/4)</f>
        <v>628</v>
      </c>
      <c r="I34" s="5">
        <f t="shared" ref="I34:I35" si="22">H34/(450*300)*100</f>
        <v>0.46518518518518515</v>
      </c>
      <c r="J34" s="31" t="s">
        <v>57</v>
      </c>
      <c r="K34" t="str">
        <f t="shared" si="21"/>
        <v>OK</v>
      </c>
      <c r="L34" t="s">
        <v>90</v>
      </c>
      <c r="O34" s="47"/>
    </row>
    <row r="35" spans="1:15" x14ac:dyDescent="0.3">
      <c r="A35" s="33"/>
      <c r="B35" s="4"/>
      <c r="C35" s="3">
        <f>598-H33</f>
        <v>-30</v>
      </c>
      <c r="D35" s="46"/>
      <c r="E35" s="46"/>
      <c r="F35" s="46"/>
      <c r="G35" s="46"/>
      <c r="H35" s="3">
        <f t="shared" ref="H35" si="23">D35*(3.14*E35^2/4)+F35*(3.14*G35^2/4)</f>
        <v>0</v>
      </c>
      <c r="I35" s="5">
        <f t="shared" si="22"/>
        <v>0</v>
      </c>
      <c r="J35" s="31" t="s">
        <v>58</v>
      </c>
      <c r="K35" t="str">
        <f>IF(H35&gt;=C35,"OK","NOT OK")</f>
        <v>OK</v>
      </c>
    </row>
    <row r="36" spans="1:15" x14ac:dyDescent="0.3">
      <c r="A36" s="33"/>
      <c r="B36" s="4"/>
      <c r="C36" s="3"/>
      <c r="D36" s="4"/>
      <c r="E36" s="4"/>
      <c r="F36" s="4"/>
      <c r="G36" s="4"/>
      <c r="H36" s="3"/>
      <c r="I36" s="5"/>
      <c r="J36" s="31"/>
    </row>
    <row r="37" spans="1:15" x14ac:dyDescent="0.3">
      <c r="A37" s="32" t="s">
        <v>84</v>
      </c>
      <c r="B37" s="4" t="s">
        <v>72</v>
      </c>
      <c r="C37" s="3">
        <v>295</v>
      </c>
      <c r="D37" s="46">
        <v>2</v>
      </c>
      <c r="E37" s="46">
        <v>16</v>
      </c>
      <c r="F37" s="46">
        <v>2</v>
      </c>
      <c r="G37" s="46">
        <v>12</v>
      </c>
      <c r="H37" s="3">
        <f>D37*(3.14*(E37^2)/4)+F37*(3.14*(G37^2)/4)</f>
        <v>628</v>
      </c>
      <c r="I37" s="5">
        <f>H37/(450*300)*100</f>
        <v>0.46518518518518515</v>
      </c>
      <c r="J37" s="31" t="s">
        <v>56</v>
      </c>
      <c r="K37" t="str">
        <f t="shared" ref="K37:K38" si="24">IF(H37&gt;=C37,"OK","NOT OK")</f>
        <v>OK</v>
      </c>
      <c r="L37" t="str">
        <f>L33</f>
        <v>commented in s-14</v>
      </c>
    </row>
    <row r="38" spans="1:15" x14ac:dyDescent="0.3">
      <c r="A38" s="33"/>
      <c r="B38" s="4"/>
      <c r="C38" s="3">
        <v>339</v>
      </c>
      <c r="D38" s="46">
        <v>2</v>
      </c>
      <c r="E38" s="46">
        <v>12</v>
      </c>
      <c r="F38" s="46">
        <v>2</v>
      </c>
      <c r="G38" s="46">
        <v>16</v>
      </c>
      <c r="H38" s="3">
        <f>D38*(3.14*E38^2/4)+F38*(3.14*G38^2/4)</f>
        <v>628</v>
      </c>
      <c r="I38" s="5">
        <f t="shared" ref="I38:I39" si="25">H38/(450*300)*100</f>
        <v>0.46518518518518515</v>
      </c>
      <c r="J38" s="31" t="s">
        <v>57</v>
      </c>
      <c r="K38" t="str">
        <f t="shared" si="24"/>
        <v>OK</v>
      </c>
      <c r="L38" t="s">
        <v>90</v>
      </c>
    </row>
    <row r="39" spans="1:15" x14ac:dyDescent="0.3">
      <c r="A39" s="33"/>
      <c r="B39" s="4"/>
      <c r="C39" s="3">
        <f>591-H37</f>
        <v>-37</v>
      </c>
      <c r="D39" s="46"/>
      <c r="E39" s="46"/>
      <c r="F39" s="46"/>
      <c r="G39" s="46"/>
      <c r="H39" s="3">
        <f t="shared" ref="H39" si="26">D39*(3.14*E39^2/4)+F39*(3.14*G39^2/4)</f>
        <v>0</v>
      </c>
      <c r="I39" s="5">
        <f t="shared" si="25"/>
        <v>0</v>
      </c>
      <c r="J39" s="31" t="s">
        <v>58</v>
      </c>
      <c r="K39" t="str">
        <f>IF(H39&gt;=C39,"OK","NOT OK")</f>
        <v>OK</v>
      </c>
    </row>
    <row r="40" spans="1:15" ht="15" thickBot="1" x14ac:dyDescent="0.35">
      <c r="A40" s="54"/>
      <c r="B40" s="36"/>
      <c r="C40" s="55"/>
      <c r="D40" s="36"/>
      <c r="E40" s="36"/>
      <c r="F40" s="36"/>
      <c r="G40" s="36"/>
      <c r="H40" s="55"/>
      <c r="I40" s="56"/>
      <c r="J40" s="45"/>
    </row>
  </sheetData>
  <mergeCells count="11">
    <mergeCell ref="M2:Q2"/>
    <mergeCell ref="S2:W2"/>
    <mergeCell ref="M11:S11"/>
    <mergeCell ref="A1:J1"/>
    <mergeCell ref="A2:A3"/>
    <mergeCell ref="B2:B3"/>
    <mergeCell ref="C2:C3"/>
    <mergeCell ref="D2:G2"/>
    <mergeCell ref="H2:H3"/>
    <mergeCell ref="I2:I3"/>
    <mergeCell ref="J2:J3"/>
  </mergeCells>
  <conditionalFormatting sqref="A1:K1 M2 R2 A9:B11 A24:L24 L33:XFD39 A40:XFD1048576 A12:L12 L13:L15 A32:L32 L25:L31 U17:XFD24 Y25:XFD32 A16:XFD16 L23 M15:X15 M12:T14 A2:L4 L5:L11 M3:W9 X1:X14 Y1:XFD15 V10:W14">
    <cfRule type="containsText" dxfId="310" priority="92" operator="containsText" text="NOT OK">
      <formula>NOT(ISERROR(SEARCH("NOT OK",A1)))</formula>
    </cfRule>
    <cfRule type="containsText" dxfId="309" priority="93" operator="containsText" text="OK">
      <formula>NOT(ISERROR(SEARCH("OK",A1)))</formula>
    </cfRule>
  </conditionalFormatting>
  <conditionalFormatting sqref="M11 N12:O12 O13:S13 M14:T15">
    <cfRule type="containsText" dxfId="308" priority="89" operator="containsText" text="NOT OK">
      <formula>NOT(ISERROR(SEARCH("NOT OK",M11)))</formula>
    </cfRule>
    <cfRule type="containsText" dxfId="307" priority="90" operator="containsText" text="NG">
      <formula>NOT(ISERROR(SEARCH("NG",M11)))</formula>
    </cfRule>
    <cfRule type="containsText" dxfId="306" priority="91" operator="containsText" text="OK">
      <formula>NOT(ISERROR(SEARCH("OK",M11)))</formula>
    </cfRule>
  </conditionalFormatting>
  <conditionalFormatting sqref="S2">
    <cfRule type="containsText" dxfId="305" priority="87" operator="containsText" text="NOT OK">
      <formula>NOT(ISERROR(SEARCH("NOT OK",S2)))</formula>
    </cfRule>
    <cfRule type="containsText" dxfId="304" priority="88" operator="containsText" text="OK">
      <formula>NOT(ISERROR(SEARCH("OK",S2)))</formula>
    </cfRule>
  </conditionalFormatting>
  <conditionalFormatting sqref="A13:A15">
    <cfRule type="containsText" dxfId="303" priority="85" operator="containsText" text="NOT OK">
      <formula>NOT(ISERROR(SEARCH("NOT OK",A13)))</formula>
    </cfRule>
    <cfRule type="containsText" dxfId="302" priority="86" operator="containsText" text="OK">
      <formula>NOT(ISERROR(SEARCH("OK",A13)))</formula>
    </cfRule>
  </conditionalFormatting>
  <conditionalFormatting sqref="B14:B15">
    <cfRule type="containsText" dxfId="301" priority="83" operator="containsText" text="NOT OK">
      <formula>NOT(ISERROR(SEARCH("NOT OK",B14)))</formula>
    </cfRule>
    <cfRule type="containsText" dxfId="300" priority="84" operator="containsText" text="OK">
      <formula>NOT(ISERROR(SEARCH("OK",B14)))</formula>
    </cfRule>
  </conditionalFormatting>
  <conditionalFormatting sqref="A20:K20">
    <cfRule type="containsText" dxfId="299" priority="81" operator="containsText" text="NOT OK">
      <formula>NOT(ISERROR(SEARCH("NOT OK",A20)))</formula>
    </cfRule>
    <cfRule type="containsText" dxfId="298" priority="82" operator="containsText" text="OK">
      <formula>NOT(ISERROR(SEARCH("OK",A20)))</formula>
    </cfRule>
  </conditionalFormatting>
  <conditionalFormatting sqref="A28:K28">
    <cfRule type="containsText" dxfId="297" priority="79" operator="containsText" text="NOT OK">
      <formula>NOT(ISERROR(SEARCH("NOT OK",A28)))</formula>
    </cfRule>
    <cfRule type="containsText" dxfId="296" priority="80" operator="containsText" text="OK">
      <formula>NOT(ISERROR(SEARCH("OK",A28)))</formula>
    </cfRule>
  </conditionalFormatting>
  <conditionalFormatting sqref="A29:A31">
    <cfRule type="containsText" dxfId="295" priority="77" operator="containsText" text="NOT OK">
      <formula>NOT(ISERROR(SEARCH("NOT OK",A29)))</formula>
    </cfRule>
    <cfRule type="containsText" dxfId="294" priority="78" operator="containsText" text="OK">
      <formula>NOT(ISERROR(SEARCH("OK",A29)))</formula>
    </cfRule>
  </conditionalFormatting>
  <conditionalFormatting sqref="A36:K36 A33:A35">
    <cfRule type="containsText" dxfId="293" priority="75" operator="containsText" text="NOT OK">
      <formula>NOT(ISERROR(SEARCH("NOT OK",A33)))</formula>
    </cfRule>
    <cfRule type="containsText" dxfId="292" priority="76" operator="containsText" text="OK">
      <formula>NOT(ISERROR(SEARCH("OK",A33)))</formula>
    </cfRule>
  </conditionalFormatting>
  <conditionalFormatting sqref="A37:A39">
    <cfRule type="containsText" dxfId="291" priority="73" operator="containsText" text="NOT OK">
      <formula>NOT(ISERROR(SEARCH("NOT OK",A37)))</formula>
    </cfRule>
    <cfRule type="containsText" dxfId="290" priority="74" operator="containsText" text="OK">
      <formula>NOT(ISERROR(SEARCH("OK",A37)))</formula>
    </cfRule>
  </conditionalFormatting>
  <conditionalFormatting sqref="A8:K8">
    <cfRule type="containsText" dxfId="289" priority="71" operator="containsText" text="NOT OK">
      <formula>NOT(ISERROR(SEARCH("NOT OK",A8)))</formula>
    </cfRule>
    <cfRule type="containsText" dxfId="288" priority="72" operator="containsText" text="OK">
      <formula>NOT(ISERROR(SEARCH("OK",A8)))</formula>
    </cfRule>
  </conditionalFormatting>
  <conditionalFormatting sqref="B34:B35">
    <cfRule type="containsText" dxfId="287" priority="45" operator="containsText" text="NOT OK">
      <formula>NOT(ISERROR(SEARCH("NOT OK",B34)))</formula>
    </cfRule>
    <cfRule type="containsText" dxfId="286" priority="46" operator="containsText" text="OK">
      <formula>NOT(ISERROR(SEARCH("OK",B34)))</formula>
    </cfRule>
  </conditionalFormatting>
  <conditionalFormatting sqref="B17">
    <cfRule type="containsText" dxfId="285" priority="63" operator="containsText" text="NOT OK">
      <formula>NOT(ISERROR(SEARCH("NOT OK",B17)))</formula>
    </cfRule>
    <cfRule type="containsText" dxfId="284" priority="64" operator="containsText" text="OK">
      <formula>NOT(ISERROR(SEARCH("OK",B17)))</formula>
    </cfRule>
  </conditionalFormatting>
  <conditionalFormatting sqref="B13">
    <cfRule type="containsText" dxfId="283" priority="69" operator="containsText" text="NOT OK">
      <formula>NOT(ISERROR(SEARCH("NOT OK",B13)))</formula>
    </cfRule>
    <cfRule type="containsText" dxfId="282" priority="70" operator="containsText" text="OK">
      <formula>NOT(ISERROR(SEARCH("OK",B13)))</formula>
    </cfRule>
  </conditionalFormatting>
  <conditionalFormatting sqref="A17:A19">
    <cfRule type="containsText" dxfId="281" priority="67" operator="containsText" text="NOT OK">
      <formula>NOT(ISERROR(SEARCH("NOT OK",A17)))</formula>
    </cfRule>
    <cfRule type="containsText" dxfId="280" priority="68" operator="containsText" text="OK">
      <formula>NOT(ISERROR(SEARCH("OK",A17)))</formula>
    </cfRule>
  </conditionalFormatting>
  <conditionalFormatting sqref="B18:B19">
    <cfRule type="containsText" dxfId="279" priority="65" operator="containsText" text="NOT OK">
      <formula>NOT(ISERROR(SEARCH("NOT OK",B18)))</formula>
    </cfRule>
    <cfRule type="containsText" dxfId="278" priority="66" operator="containsText" text="OK">
      <formula>NOT(ISERROR(SEARCH("OK",B18)))</formula>
    </cfRule>
  </conditionalFormatting>
  <conditionalFormatting sqref="A21:A23">
    <cfRule type="containsText" dxfId="277" priority="61" operator="containsText" text="NOT OK">
      <formula>NOT(ISERROR(SEARCH("NOT OK",A21)))</formula>
    </cfRule>
    <cfRule type="containsText" dxfId="276" priority="62" operator="containsText" text="OK">
      <formula>NOT(ISERROR(SEARCH("OK",A21)))</formula>
    </cfRule>
  </conditionalFormatting>
  <conditionalFormatting sqref="B22:B23">
    <cfRule type="containsText" dxfId="275" priority="59" operator="containsText" text="NOT OK">
      <formula>NOT(ISERROR(SEARCH("NOT OK",B22)))</formula>
    </cfRule>
    <cfRule type="containsText" dxfId="274" priority="60" operator="containsText" text="OK">
      <formula>NOT(ISERROR(SEARCH("OK",B22)))</formula>
    </cfRule>
  </conditionalFormatting>
  <conditionalFormatting sqref="B21">
    <cfRule type="containsText" dxfId="273" priority="57" operator="containsText" text="NOT OK">
      <formula>NOT(ISERROR(SEARCH("NOT OK",B21)))</formula>
    </cfRule>
    <cfRule type="containsText" dxfId="272" priority="58" operator="containsText" text="OK">
      <formula>NOT(ISERROR(SEARCH("OK",B21)))</formula>
    </cfRule>
  </conditionalFormatting>
  <conditionalFormatting sqref="K9:K11">
    <cfRule type="containsText" dxfId="271" priority="29" operator="containsText" text="NOT OK">
      <formula>NOT(ISERROR(SEARCH("NOT OK",K9)))</formula>
    </cfRule>
    <cfRule type="containsText" dxfId="270" priority="30" operator="containsText" text="OK">
      <formula>NOT(ISERROR(SEARCH("OK",K9)))</formula>
    </cfRule>
  </conditionalFormatting>
  <conditionalFormatting sqref="A25:A27">
    <cfRule type="containsText" dxfId="269" priority="55" operator="containsText" text="NOT OK">
      <formula>NOT(ISERROR(SEARCH("NOT OK",A25)))</formula>
    </cfRule>
    <cfRule type="containsText" dxfId="268" priority="56" operator="containsText" text="OK">
      <formula>NOT(ISERROR(SEARCH("OK",A25)))</formula>
    </cfRule>
  </conditionalFormatting>
  <conditionalFormatting sqref="B26:B27">
    <cfRule type="containsText" dxfId="267" priority="53" operator="containsText" text="NOT OK">
      <formula>NOT(ISERROR(SEARCH("NOT OK",B26)))</formula>
    </cfRule>
    <cfRule type="containsText" dxfId="266" priority="54" operator="containsText" text="OK">
      <formula>NOT(ISERROR(SEARCH("OK",B26)))</formula>
    </cfRule>
  </conditionalFormatting>
  <conditionalFormatting sqref="B25">
    <cfRule type="containsText" dxfId="265" priority="51" operator="containsText" text="NOT OK">
      <formula>NOT(ISERROR(SEARCH("NOT OK",B25)))</formula>
    </cfRule>
    <cfRule type="containsText" dxfId="264" priority="52" operator="containsText" text="OK">
      <formula>NOT(ISERROR(SEARCH("OK",B25)))</formula>
    </cfRule>
  </conditionalFormatting>
  <conditionalFormatting sqref="B30:B31">
    <cfRule type="containsText" dxfId="263" priority="49" operator="containsText" text="NOT OK">
      <formula>NOT(ISERROR(SEARCH("NOT OK",B30)))</formula>
    </cfRule>
    <cfRule type="containsText" dxfId="262" priority="50" operator="containsText" text="OK">
      <formula>NOT(ISERROR(SEARCH("OK",B30)))</formula>
    </cfRule>
  </conditionalFormatting>
  <conditionalFormatting sqref="B29">
    <cfRule type="containsText" dxfId="261" priority="47" operator="containsText" text="NOT OK">
      <formula>NOT(ISERROR(SEARCH("NOT OK",B29)))</formula>
    </cfRule>
    <cfRule type="containsText" dxfId="260" priority="48" operator="containsText" text="OK">
      <formula>NOT(ISERROR(SEARCH("OK",B29)))</formula>
    </cfRule>
  </conditionalFormatting>
  <conditionalFormatting sqref="B33">
    <cfRule type="containsText" dxfId="259" priority="43" operator="containsText" text="NOT OK">
      <formula>NOT(ISERROR(SEARCH("NOT OK",B33)))</formula>
    </cfRule>
    <cfRule type="containsText" dxfId="258" priority="44" operator="containsText" text="OK">
      <formula>NOT(ISERROR(SEARCH("OK",B33)))</formula>
    </cfRule>
  </conditionalFormatting>
  <conditionalFormatting sqref="B38:B39">
    <cfRule type="containsText" dxfId="257" priority="41" operator="containsText" text="NOT OK">
      <formula>NOT(ISERROR(SEARCH("NOT OK",B38)))</formula>
    </cfRule>
    <cfRule type="containsText" dxfId="256" priority="42" operator="containsText" text="OK">
      <formula>NOT(ISERROR(SEARCH("OK",B38)))</formula>
    </cfRule>
  </conditionalFormatting>
  <conditionalFormatting sqref="B37">
    <cfRule type="containsText" dxfId="255" priority="39" operator="containsText" text="NOT OK">
      <formula>NOT(ISERROR(SEARCH("NOT OK",B37)))</formula>
    </cfRule>
    <cfRule type="containsText" dxfId="254" priority="40" operator="containsText" text="OK">
      <formula>NOT(ISERROR(SEARCH("OK",B37)))</formula>
    </cfRule>
  </conditionalFormatting>
  <conditionalFormatting sqref="A5:B7">
    <cfRule type="containsText" dxfId="253" priority="37" operator="containsText" text="NOT OK">
      <formula>NOT(ISERROR(SEARCH("NOT OK",A5)))</formula>
    </cfRule>
    <cfRule type="containsText" dxfId="252" priority="38" operator="containsText" text="OK">
      <formula>NOT(ISERROR(SEARCH("OK",A5)))</formula>
    </cfRule>
  </conditionalFormatting>
  <conditionalFormatting sqref="C5:J7">
    <cfRule type="containsText" dxfId="251" priority="35" operator="containsText" text="NOT OK">
      <formula>NOT(ISERROR(SEARCH("NOT OK",C5)))</formula>
    </cfRule>
    <cfRule type="containsText" dxfId="250" priority="36" operator="containsText" text="OK">
      <formula>NOT(ISERROR(SEARCH("OK",C5)))</formula>
    </cfRule>
  </conditionalFormatting>
  <conditionalFormatting sqref="K5:K7">
    <cfRule type="containsText" dxfId="249" priority="33" operator="containsText" text="NOT OK">
      <formula>NOT(ISERROR(SEARCH("NOT OK",K5)))</formula>
    </cfRule>
    <cfRule type="containsText" dxfId="248" priority="34" operator="containsText" text="OK">
      <formula>NOT(ISERROR(SEARCH("OK",K5)))</formula>
    </cfRule>
  </conditionalFormatting>
  <conditionalFormatting sqref="C9:J11">
    <cfRule type="containsText" dxfId="247" priority="31" operator="containsText" text="NOT OK">
      <formula>NOT(ISERROR(SEARCH("NOT OK",C9)))</formula>
    </cfRule>
    <cfRule type="containsText" dxfId="246" priority="32" operator="containsText" text="OK">
      <formula>NOT(ISERROR(SEARCH("OK",C9)))</formula>
    </cfRule>
  </conditionalFormatting>
  <conditionalFormatting sqref="K13:K15">
    <cfRule type="containsText" dxfId="245" priority="25" operator="containsText" text="NOT OK">
      <formula>NOT(ISERROR(SEARCH("NOT OK",K13)))</formula>
    </cfRule>
    <cfRule type="containsText" dxfId="244" priority="26" operator="containsText" text="OK">
      <formula>NOT(ISERROR(SEARCH("OK",K13)))</formula>
    </cfRule>
  </conditionalFormatting>
  <conditionalFormatting sqref="C13:J15">
    <cfRule type="containsText" dxfId="243" priority="27" operator="containsText" text="NOT OK">
      <formula>NOT(ISERROR(SEARCH("NOT OK",C13)))</formula>
    </cfRule>
    <cfRule type="containsText" dxfId="242" priority="28" operator="containsText" text="OK">
      <formula>NOT(ISERROR(SEARCH("OK",C13)))</formula>
    </cfRule>
  </conditionalFormatting>
  <conditionalFormatting sqref="K17:K19">
    <cfRule type="containsText" dxfId="241" priority="21" operator="containsText" text="NOT OK">
      <formula>NOT(ISERROR(SEARCH("NOT OK",K17)))</formula>
    </cfRule>
    <cfRule type="containsText" dxfId="240" priority="22" operator="containsText" text="OK">
      <formula>NOT(ISERROR(SEARCH("OK",K17)))</formula>
    </cfRule>
  </conditionalFormatting>
  <conditionalFormatting sqref="C17:J19">
    <cfRule type="containsText" dxfId="239" priority="23" operator="containsText" text="NOT OK">
      <formula>NOT(ISERROR(SEARCH("NOT OK",C17)))</formula>
    </cfRule>
    <cfRule type="containsText" dxfId="238" priority="24" operator="containsText" text="OK">
      <formula>NOT(ISERROR(SEARCH("OK",C17)))</formula>
    </cfRule>
  </conditionalFormatting>
  <conditionalFormatting sqref="K21:K23">
    <cfRule type="containsText" dxfId="237" priority="17" operator="containsText" text="NOT OK">
      <formula>NOT(ISERROR(SEARCH("NOT OK",K21)))</formula>
    </cfRule>
    <cfRule type="containsText" dxfId="236" priority="18" operator="containsText" text="OK">
      <formula>NOT(ISERROR(SEARCH("OK",K21)))</formula>
    </cfRule>
  </conditionalFormatting>
  <conditionalFormatting sqref="C21:J23">
    <cfRule type="containsText" dxfId="235" priority="19" operator="containsText" text="NOT OK">
      <formula>NOT(ISERROR(SEARCH("NOT OK",C21)))</formula>
    </cfRule>
    <cfRule type="containsText" dxfId="234" priority="20" operator="containsText" text="OK">
      <formula>NOT(ISERROR(SEARCH("OK",C21)))</formula>
    </cfRule>
  </conditionalFormatting>
  <conditionalFormatting sqref="K25:K27">
    <cfRule type="containsText" dxfId="233" priority="13" operator="containsText" text="NOT OK">
      <formula>NOT(ISERROR(SEARCH("NOT OK",K25)))</formula>
    </cfRule>
    <cfRule type="containsText" dxfId="232" priority="14" operator="containsText" text="OK">
      <formula>NOT(ISERROR(SEARCH("OK",K25)))</formula>
    </cfRule>
  </conditionalFormatting>
  <conditionalFormatting sqref="C25:J27">
    <cfRule type="containsText" dxfId="231" priority="15" operator="containsText" text="NOT OK">
      <formula>NOT(ISERROR(SEARCH("NOT OK",C25)))</formula>
    </cfRule>
    <cfRule type="containsText" dxfId="230" priority="16" operator="containsText" text="OK">
      <formula>NOT(ISERROR(SEARCH("OK",C25)))</formula>
    </cfRule>
  </conditionalFormatting>
  <conditionalFormatting sqref="K29:K31">
    <cfRule type="containsText" dxfId="229" priority="9" operator="containsText" text="NOT OK">
      <formula>NOT(ISERROR(SEARCH("NOT OK",K29)))</formula>
    </cfRule>
    <cfRule type="containsText" dxfId="228" priority="10" operator="containsText" text="OK">
      <formula>NOT(ISERROR(SEARCH("OK",K29)))</formula>
    </cfRule>
  </conditionalFormatting>
  <conditionalFormatting sqref="C29:J31">
    <cfRule type="containsText" dxfId="227" priority="11" operator="containsText" text="NOT OK">
      <formula>NOT(ISERROR(SEARCH("NOT OK",C29)))</formula>
    </cfRule>
    <cfRule type="containsText" dxfId="226" priority="12" operator="containsText" text="OK">
      <formula>NOT(ISERROR(SEARCH("OK",C29)))</formula>
    </cfRule>
  </conditionalFormatting>
  <conditionalFormatting sqref="K33:K35">
    <cfRule type="containsText" dxfId="225" priority="5" operator="containsText" text="NOT OK">
      <formula>NOT(ISERROR(SEARCH("NOT OK",K33)))</formula>
    </cfRule>
    <cfRule type="containsText" dxfId="224" priority="6" operator="containsText" text="OK">
      <formula>NOT(ISERROR(SEARCH("OK",K33)))</formula>
    </cfRule>
  </conditionalFormatting>
  <conditionalFormatting sqref="C33:J35">
    <cfRule type="containsText" dxfId="223" priority="7" operator="containsText" text="NOT OK">
      <formula>NOT(ISERROR(SEARCH("NOT OK",C33)))</formula>
    </cfRule>
    <cfRule type="containsText" dxfId="222" priority="8" operator="containsText" text="OK">
      <formula>NOT(ISERROR(SEARCH("OK",C33)))</formula>
    </cfRule>
  </conditionalFormatting>
  <conditionalFormatting sqref="K37:K39">
    <cfRule type="containsText" dxfId="221" priority="1" operator="containsText" text="NOT OK">
      <formula>NOT(ISERROR(SEARCH("NOT OK",K37)))</formula>
    </cfRule>
    <cfRule type="containsText" dxfId="220" priority="2" operator="containsText" text="OK">
      <formula>NOT(ISERROR(SEARCH("OK",K37)))</formula>
    </cfRule>
  </conditionalFormatting>
  <conditionalFormatting sqref="C37:J39">
    <cfRule type="containsText" dxfId="219" priority="3" operator="containsText" text="NOT OK">
      <formula>NOT(ISERROR(SEARCH("NOT OK",C37)))</formula>
    </cfRule>
    <cfRule type="containsText" dxfId="218" priority="4" operator="containsText" text="OK">
      <formula>NOT(ISERROR(SEARCH("OK",C37)))</formula>
    </cfRule>
  </conditionalFormatting>
  <pageMargins left="1.01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2E5-F8DD-4AE9-B8D1-81E58EFD5D41}">
  <dimension ref="A1:AA40"/>
  <sheetViews>
    <sheetView topLeftCell="A10" zoomScale="85" zoomScaleNormal="85" zoomScaleSheetLayoutView="100" workbookViewId="0">
      <selection activeCell="L18" sqref="L18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3.554687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10" max="10" width="9.109375"/>
    <col min="13" max="15" width="9.109375"/>
    <col min="22" max="22" width="9.5546875" bestFit="1" customWidth="1"/>
  </cols>
  <sheetData>
    <row r="1" spans="1:27" ht="29.25" customHeight="1" thickBot="1" x14ac:dyDescent="0.35">
      <c r="A1" s="77" t="s">
        <v>88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7" ht="15" thickBot="1" x14ac:dyDescent="0.35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  <c r="M2" s="71" t="s">
        <v>75</v>
      </c>
      <c r="N2" s="72"/>
      <c r="O2" s="72"/>
      <c r="P2" s="72"/>
      <c r="Q2" s="73"/>
      <c r="S2" s="71" t="s">
        <v>76</v>
      </c>
      <c r="T2" s="72"/>
      <c r="U2" s="72"/>
      <c r="V2" s="72"/>
      <c r="W2" s="73"/>
    </row>
    <row r="3" spans="1:27" ht="16.2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  <c r="M3" s="40" t="s">
        <v>59</v>
      </c>
      <c r="O3">
        <v>1535</v>
      </c>
      <c r="P3" t="s">
        <v>63</v>
      </c>
      <c r="Q3" s="34"/>
      <c r="S3" s="40" t="s">
        <v>59</v>
      </c>
      <c r="U3">
        <v>965</v>
      </c>
      <c r="V3" t="s">
        <v>63</v>
      </c>
      <c r="W3" s="34"/>
    </row>
    <row r="4" spans="1:27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  <c r="M4" s="40" t="s">
        <v>60</v>
      </c>
      <c r="O4">
        <v>10</v>
      </c>
      <c r="P4" t="s">
        <v>55</v>
      </c>
      <c r="Q4" s="34"/>
      <c r="S4" s="40" t="s">
        <v>60</v>
      </c>
      <c r="U4">
        <v>10</v>
      </c>
      <c r="V4" t="s">
        <v>55</v>
      </c>
      <c r="W4" s="34"/>
    </row>
    <row r="5" spans="1:27" x14ac:dyDescent="0.3">
      <c r="A5" s="32"/>
      <c r="B5" s="4"/>
      <c r="C5" s="3"/>
      <c r="D5" s="46"/>
      <c r="E5" s="46"/>
      <c r="F5" s="46"/>
      <c r="G5" s="46"/>
      <c r="H5" s="3"/>
      <c r="I5" s="5"/>
      <c r="J5" s="31"/>
      <c r="M5" s="40" t="s">
        <v>61</v>
      </c>
      <c r="O5">
        <v>2</v>
      </c>
      <c r="Q5" s="34"/>
      <c r="S5" s="40" t="s">
        <v>61</v>
      </c>
      <c r="U5">
        <v>2</v>
      </c>
      <c r="W5" s="34"/>
    </row>
    <row r="6" spans="1:27" x14ac:dyDescent="0.3">
      <c r="A6" s="33"/>
      <c r="B6" s="4"/>
      <c r="C6" s="3"/>
      <c r="D6" s="46"/>
      <c r="E6" s="46"/>
      <c r="F6" s="46"/>
      <c r="G6" s="46"/>
      <c r="H6" s="3"/>
      <c r="I6" s="5"/>
      <c r="J6" s="31"/>
      <c r="M6" s="40" t="s">
        <v>62</v>
      </c>
      <c r="O6">
        <f>(((PI()*O4*O4/4)*O5)/O3)*1000</f>
        <v>102.33200826025384</v>
      </c>
      <c r="P6" t="s">
        <v>55</v>
      </c>
      <c r="Q6" s="34"/>
      <c r="S6" s="40" t="s">
        <v>62</v>
      </c>
      <c r="U6">
        <f>(((PI()*U4*U4/4)*U5)/U3)*1000</f>
        <v>162.77682142952295</v>
      </c>
      <c r="V6" t="s">
        <v>55</v>
      </c>
      <c r="W6" s="34"/>
    </row>
    <row r="7" spans="1:27" x14ac:dyDescent="0.3">
      <c r="A7" s="33"/>
      <c r="B7" s="4"/>
      <c r="C7" s="3"/>
      <c r="D7" s="46"/>
      <c r="E7" s="46"/>
      <c r="F7" s="46"/>
      <c r="G7" s="46"/>
      <c r="H7" s="3"/>
      <c r="I7" s="5"/>
      <c r="J7" s="31"/>
      <c r="M7" s="40" t="s">
        <v>64</v>
      </c>
      <c r="O7">
        <v>100</v>
      </c>
      <c r="P7" t="str">
        <f>IF(O6&gt;=O7, "OK", "NOT OK")</f>
        <v>OK</v>
      </c>
      <c r="Q7" s="34"/>
      <c r="S7" s="40" t="s">
        <v>64</v>
      </c>
      <c r="U7">
        <v>150</v>
      </c>
      <c r="V7" t="str">
        <f>IF(U6&gt;=U7, "OK", "NOT OK")</f>
        <v>OK</v>
      </c>
      <c r="W7" s="34"/>
    </row>
    <row r="8" spans="1:27" ht="15" thickBot="1" x14ac:dyDescent="0.35">
      <c r="A8" s="33"/>
      <c r="B8" s="4"/>
      <c r="C8" s="3"/>
      <c r="D8" s="4"/>
      <c r="E8" s="4"/>
      <c r="F8" s="4"/>
      <c r="G8" s="4"/>
      <c r="H8" s="3"/>
      <c r="I8" s="5"/>
      <c r="J8" s="31"/>
      <c r="M8" s="41"/>
      <c r="N8" s="35"/>
      <c r="O8" s="37" t="str">
        <f>CONCATENATE(O5,"L-",O4,"mm bars @",O7,"mm C/C")</f>
        <v>2L-10mm bars @100mm C/C</v>
      </c>
      <c r="P8" s="37"/>
      <c r="Q8" s="38"/>
      <c r="S8" s="41"/>
      <c r="T8" s="35"/>
      <c r="U8" s="37" t="str">
        <f>CONCATENATE(U5,"L-",U4,"mm bars @",U7,"mm C/C")</f>
        <v>2L-10mm bars @150mm C/C</v>
      </c>
      <c r="V8" s="37"/>
      <c r="W8" s="38"/>
    </row>
    <row r="9" spans="1:27" x14ac:dyDescent="0.3">
      <c r="A9" s="32" t="s">
        <v>77</v>
      </c>
      <c r="B9" s="4" t="s">
        <v>72</v>
      </c>
      <c r="C9" s="3">
        <v>295</v>
      </c>
      <c r="D9" s="46">
        <v>2</v>
      </c>
      <c r="E9" s="46">
        <v>16</v>
      </c>
      <c r="F9" s="46"/>
      <c r="G9" s="46"/>
      <c r="H9" s="3">
        <f>D9*(3.14*(E9^2)/4)+F9*(3.14*(G9^2)/4)</f>
        <v>401.92</v>
      </c>
      <c r="I9" s="5">
        <f>H9/(450*300)*100</f>
        <v>0.29771851851851849</v>
      </c>
      <c r="J9" s="31" t="s">
        <v>56</v>
      </c>
      <c r="K9" t="str">
        <f t="shared" ref="K9:K10" si="0">IF(H9&gt;=C9,"OK","NOT OK")</f>
        <v>OK</v>
      </c>
      <c r="L9" t="s">
        <v>90</v>
      </c>
    </row>
    <row r="10" spans="1:27" ht="15" thickBot="1" x14ac:dyDescent="0.35">
      <c r="A10" s="33"/>
      <c r="B10" s="4"/>
      <c r="C10" s="3">
        <v>295</v>
      </c>
      <c r="D10" s="46"/>
      <c r="E10" s="46"/>
      <c r="F10" s="46">
        <v>2</v>
      </c>
      <c r="G10" s="46">
        <v>16</v>
      </c>
      <c r="H10" s="3">
        <f>D10*(3.14*E10^2/4)+F10*(3.14*G10^2/4)</f>
        <v>401.92</v>
      </c>
      <c r="I10" s="5">
        <f t="shared" ref="I10:I11" si="1">H10/(450*300)*100</f>
        <v>0.29771851851851849</v>
      </c>
      <c r="J10" s="31" t="s">
        <v>57</v>
      </c>
      <c r="K10" t="str">
        <f t="shared" si="0"/>
        <v>OK</v>
      </c>
    </row>
    <row r="11" spans="1:27" x14ac:dyDescent="0.3">
      <c r="A11" s="33"/>
      <c r="B11" s="4"/>
      <c r="C11" s="3">
        <f>408-H9</f>
        <v>6.0799999999999841</v>
      </c>
      <c r="D11" s="46">
        <v>1</v>
      </c>
      <c r="E11" s="46">
        <v>12</v>
      </c>
      <c r="F11" s="46"/>
      <c r="G11" s="46"/>
      <c r="H11" s="3">
        <f t="shared" ref="H11" si="2">D11*(3.14*E11^2/4)+F11*(3.14*G11^2/4)</f>
        <v>113.04</v>
      </c>
      <c r="I11" s="5">
        <f t="shared" si="1"/>
        <v>8.373333333333334E-2</v>
      </c>
      <c r="J11" s="31" t="s">
        <v>58</v>
      </c>
      <c r="K11" t="str">
        <f>IF(H11&gt;=C11,"OK","NOT OK")</f>
        <v>OK</v>
      </c>
      <c r="M11" s="74" t="s">
        <v>73</v>
      </c>
      <c r="N11" s="75"/>
      <c r="O11" s="75"/>
      <c r="P11" s="75"/>
      <c r="Q11" s="75"/>
      <c r="R11" s="75"/>
      <c r="S11" s="76"/>
    </row>
    <row r="12" spans="1:27" x14ac:dyDescent="0.3">
      <c r="A12" s="33"/>
      <c r="B12" s="4"/>
      <c r="C12" s="3"/>
      <c r="D12" s="4"/>
      <c r="E12" s="4"/>
      <c r="F12" s="4"/>
      <c r="G12" s="4"/>
      <c r="H12" s="3"/>
      <c r="I12" s="5"/>
      <c r="J12" s="31"/>
      <c r="M12" s="33"/>
      <c r="N12" s="49" t="s">
        <v>65</v>
      </c>
      <c r="O12" s="51" t="s">
        <v>68</v>
      </c>
      <c r="P12" s="52"/>
      <c r="Q12" s="52"/>
      <c r="R12" s="52"/>
      <c r="S12" s="53"/>
    </row>
    <row r="13" spans="1:27" x14ac:dyDescent="0.3">
      <c r="A13" s="32" t="s">
        <v>78</v>
      </c>
      <c r="B13" s="4" t="s">
        <v>72</v>
      </c>
      <c r="C13" s="3">
        <v>295</v>
      </c>
      <c r="D13" s="46">
        <v>2</v>
      </c>
      <c r="E13" s="46">
        <v>16</v>
      </c>
      <c r="F13" s="46"/>
      <c r="G13" s="46"/>
      <c r="H13" s="3">
        <f>D13*(3.14*(E13^2)/4)+F13*(3.14*(G13^2)/4)</f>
        <v>401.92</v>
      </c>
      <c r="I13" s="5">
        <f>H13/(450*300)*100</f>
        <v>0.29771851851851849</v>
      </c>
      <c r="J13" s="31" t="s">
        <v>56</v>
      </c>
      <c r="K13" t="str">
        <f t="shared" ref="K13:K14" si="3">IF(H13&gt;=C13,"OK","NOT OK")</f>
        <v>OK</v>
      </c>
      <c r="L13" t="s">
        <v>90</v>
      </c>
      <c r="M13" s="33"/>
      <c r="N13" s="50"/>
      <c r="O13" s="39" t="s">
        <v>69</v>
      </c>
      <c r="P13" s="39" t="s">
        <v>20</v>
      </c>
      <c r="Q13" s="39" t="s">
        <v>70</v>
      </c>
      <c r="R13" s="39" t="s">
        <v>20</v>
      </c>
      <c r="S13" s="43" t="s">
        <v>71</v>
      </c>
    </row>
    <row r="14" spans="1:27" x14ac:dyDescent="0.3">
      <c r="A14" s="33"/>
      <c r="B14" s="4"/>
      <c r="C14" s="3">
        <v>442</v>
      </c>
      <c r="D14" s="46">
        <v>1</v>
      </c>
      <c r="E14" s="46">
        <v>12</v>
      </c>
      <c r="F14" s="46">
        <v>2</v>
      </c>
      <c r="G14" s="46">
        <v>16</v>
      </c>
      <c r="H14" s="3">
        <f>D14*(3.14*E14^2/4)+F14*(3.14*G14^2/4)</f>
        <v>514.96</v>
      </c>
      <c r="I14" s="5">
        <f t="shared" ref="I14:I15" si="4">H14/(450*300)*100</f>
        <v>0.38145185185185188</v>
      </c>
      <c r="J14" s="31" t="s">
        <v>57</v>
      </c>
      <c r="K14" t="str">
        <f t="shared" si="3"/>
        <v>OK</v>
      </c>
      <c r="M14" s="30" t="s">
        <v>66</v>
      </c>
      <c r="N14" s="4">
        <v>171</v>
      </c>
      <c r="O14" s="4">
        <v>3</v>
      </c>
      <c r="P14" s="4">
        <v>12</v>
      </c>
      <c r="Q14" s="4"/>
      <c r="R14" s="4"/>
      <c r="S14" s="31">
        <f>(PI()*P14^2/4)*O14+(PI()*R14^2/4)*Q14</f>
        <v>339.29200658769764</v>
      </c>
      <c r="T14" t="str">
        <f>IF(S14&gt;=N14,"OK","NOT OK")</f>
        <v>OK</v>
      </c>
      <c r="AA14" s="48"/>
    </row>
    <row r="15" spans="1:27" ht="15" thickBot="1" x14ac:dyDescent="0.35">
      <c r="A15" s="33"/>
      <c r="B15" s="4"/>
      <c r="C15" s="3">
        <f>599-H13</f>
        <v>197.07999999999998</v>
      </c>
      <c r="D15" s="46">
        <v>1</v>
      </c>
      <c r="E15" s="46">
        <v>16</v>
      </c>
      <c r="F15" s="46"/>
      <c r="G15" s="46"/>
      <c r="H15" s="3">
        <f t="shared" ref="H15" si="5">D15*(3.14*E15^2/4)+F15*(3.14*G15^2/4)</f>
        <v>200.96</v>
      </c>
      <c r="I15" s="5">
        <f t="shared" si="4"/>
        <v>0.14885925925925925</v>
      </c>
      <c r="J15" s="31" t="s">
        <v>58</v>
      </c>
      <c r="K15" t="str">
        <f>IF(H15&gt;=C15,"OK","NOT OK")</f>
        <v>OK</v>
      </c>
      <c r="M15" s="44" t="s">
        <v>67</v>
      </c>
      <c r="N15" s="36">
        <v>171</v>
      </c>
      <c r="O15" s="36">
        <v>3</v>
      </c>
      <c r="P15" s="36">
        <v>12</v>
      </c>
      <c r="Q15" s="36"/>
      <c r="R15" s="36"/>
      <c r="S15" s="45">
        <f>(PI()*P15^2/4)*O15+(PI()*R15^2/4)*Q15</f>
        <v>339.29200658769764</v>
      </c>
      <c r="T15" t="str">
        <f>IF(S15&gt;=N15,"OK","NOT OK")</f>
        <v>OK</v>
      </c>
    </row>
    <row r="16" spans="1:27" x14ac:dyDescent="0.3">
      <c r="A16" s="33"/>
      <c r="B16" s="4"/>
      <c r="C16" s="3"/>
      <c r="D16" s="4"/>
      <c r="E16" s="4"/>
      <c r="F16" s="4"/>
      <c r="G16" s="4"/>
      <c r="H16" s="3"/>
      <c r="I16" s="5"/>
      <c r="J16" s="31"/>
    </row>
    <row r="17" spans="1:12" x14ac:dyDescent="0.3">
      <c r="A17" s="32" t="s">
        <v>79</v>
      </c>
      <c r="B17" s="4" t="s">
        <v>72</v>
      </c>
      <c r="C17" s="3">
        <v>295</v>
      </c>
      <c r="D17" s="46">
        <v>2</v>
      </c>
      <c r="E17" s="46">
        <v>16</v>
      </c>
      <c r="F17" s="46"/>
      <c r="G17" s="46"/>
      <c r="H17" s="3">
        <f>D17*(3.14*(E17^2)/4)+F17*(3.14*(G17^2)/4)</f>
        <v>401.92</v>
      </c>
      <c r="I17" s="5">
        <f>H17/(450*300)*100</f>
        <v>0.29771851851851849</v>
      </c>
      <c r="J17" s="31" t="s">
        <v>56</v>
      </c>
      <c r="K17" t="str">
        <f t="shared" ref="K17:K18" si="6">IF(H17&gt;=C17,"OK","NOT OK")</f>
        <v>OK</v>
      </c>
      <c r="L17" t="s">
        <v>90</v>
      </c>
    </row>
    <row r="18" spans="1:12" x14ac:dyDescent="0.3">
      <c r="A18" s="33"/>
      <c r="B18" s="4"/>
      <c r="C18" s="3">
        <v>459</v>
      </c>
      <c r="D18" s="46">
        <v>1</v>
      </c>
      <c r="E18" s="46">
        <v>12</v>
      </c>
      <c r="F18" s="46">
        <v>2</v>
      </c>
      <c r="G18" s="46">
        <v>16</v>
      </c>
      <c r="H18" s="3">
        <f>D18*(3.14*E18^2/4)+F18*(3.14*G18^2/4)</f>
        <v>514.96</v>
      </c>
      <c r="I18" s="5">
        <f t="shared" ref="I18:I19" si="7">H18/(450*300)*100</f>
        <v>0.38145185185185188</v>
      </c>
      <c r="J18" s="31" t="s">
        <v>57</v>
      </c>
      <c r="K18" t="str">
        <f t="shared" si="6"/>
        <v>OK</v>
      </c>
      <c r="L18" t="s">
        <v>97</v>
      </c>
    </row>
    <row r="19" spans="1:12" x14ac:dyDescent="0.3">
      <c r="A19" s="33"/>
      <c r="B19" s="4"/>
      <c r="C19" s="3">
        <f>583-H17</f>
        <v>181.07999999999998</v>
      </c>
      <c r="D19" s="46">
        <v>1</v>
      </c>
      <c r="E19" s="46">
        <v>16</v>
      </c>
      <c r="F19" s="46"/>
      <c r="G19" s="46"/>
      <c r="H19" s="3">
        <f t="shared" ref="H19" si="8">D19*(3.14*E19^2/4)+F19*(3.14*G19^2/4)</f>
        <v>200.96</v>
      </c>
      <c r="I19" s="5">
        <f t="shared" si="7"/>
        <v>0.14885925925925925</v>
      </c>
      <c r="J19" s="31" t="s">
        <v>58</v>
      </c>
      <c r="K19" t="str">
        <f>IF(H19&gt;=C19,"OK","NOT OK")</f>
        <v>OK</v>
      </c>
    </row>
    <row r="20" spans="1:12" x14ac:dyDescent="0.3">
      <c r="A20" s="33"/>
      <c r="B20" s="4"/>
      <c r="C20" s="3"/>
      <c r="D20" s="4"/>
      <c r="E20" s="4"/>
      <c r="F20" s="4"/>
      <c r="G20" s="4"/>
      <c r="H20" s="3"/>
      <c r="I20" s="5"/>
      <c r="J20" s="31"/>
    </row>
    <row r="21" spans="1:12" x14ac:dyDescent="0.3">
      <c r="A21" s="32" t="s">
        <v>80</v>
      </c>
      <c r="B21" s="4" t="s">
        <v>72</v>
      </c>
      <c r="C21" s="3">
        <v>295</v>
      </c>
      <c r="D21" s="46">
        <v>2</v>
      </c>
      <c r="E21" s="46">
        <v>16</v>
      </c>
      <c r="F21" s="46"/>
      <c r="G21" s="46"/>
      <c r="H21" s="3">
        <f>D21*(3.14*(E21^2)/4)+F21*(3.14*(G21^2)/4)</f>
        <v>401.92</v>
      </c>
      <c r="I21" s="5">
        <f>H21/(450*300)*100</f>
        <v>0.29771851851851849</v>
      </c>
      <c r="J21" s="31" t="s">
        <v>56</v>
      </c>
      <c r="K21" t="str">
        <f t="shared" ref="K21:K22" si="9">IF(H21&gt;=C21,"OK","NOT OK")</f>
        <v>OK</v>
      </c>
    </row>
    <row r="22" spans="1:12" x14ac:dyDescent="0.3">
      <c r="A22" s="33"/>
      <c r="B22" s="4"/>
      <c r="C22" s="3">
        <v>355</v>
      </c>
      <c r="D22" s="46"/>
      <c r="E22" s="46"/>
      <c r="F22" s="46">
        <v>2</v>
      </c>
      <c r="G22" s="46">
        <v>16</v>
      </c>
      <c r="H22" s="3">
        <f>D22*(3.14*E22^2/4)+F22*(3.14*G22^2/4)</f>
        <v>401.92</v>
      </c>
      <c r="I22" s="5">
        <f t="shared" ref="I22:I23" si="10">H22/(450*300)*100</f>
        <v>0.29771851851851849</v>
      </c>
      <c r="J22" s="31" t="s">
        <v>57</v>
      </c>
      <c r="K22" t="str">
        <f t="shared" si="9"/>
        <v>OK</v>
      </c>
    </row>
    <row r="23" spans="1:12" x14ac:dyDescent="0.3">
      <c r="A23" s="33"/>
      <c r="B23" s="4"/>
      <c r="C23" s="3">
        <f>561-H21</f>
        <v>159.07999999999998</v>
      </c>
      <c r="D23" s="46">
        <v>1</v>
      </c>
      <c r="E23" s="46">
        <v>16</v>
      </c>
      <c r="F23" s="46"/>
      <c r="G23" s="46"/>
      <c r="H23" s="3">
        <f t="shared" ref="H23" si="11">D23*(3.14*E23^2/4)+F23*(3.14*G23^2/4)</f>
        <v>200.96</v>
      </c>
      <c r="I23" s="5">
        <f t="shared" si="10"/>
        <v>0.14885925925925925</v>
      </c>
      <c r="J23" s="31" t="s">
        <v>58</v>
      </c>
      <c r="K23" t="str">
        <f>IF(H23&gt;=C23,"OK","NOT OK")</f>
        <v>OK</v>
      </c>
    </row>
    <row r="24" spans="1:12" x14ac:dyDescent="0.3">
      <c r="A24" s="33"/>
      <c r="B24" s="4"/>
      <c r="C24" s="3"/>
      <c r="D24" s="4"/>
      <c r="E24" s="4"/>
      <c r="F24" s="4"/>
      <c r="G24" s="4"/>
      <c r="H24" s="3"/>
      <c r="I24" s="5"/>
      <c r="J24" s="31"/>
    </row>
    <row r="25" spans="1:12" x14ac:dyDescent="0.3">
      <c r="A25" s="32" t="s">
        <v>81</v>
      </c>
      <c r="B25" s="4" t="s">
        <v>72</v>
      </c>
      <c r="C25" s="3">
        <v>295</v>
      </c>
      <c r="D25" s="46">
        <v>2</v>
      </c>
      <c r="E25" s="46">
        <v>16</v>
      </c>
      <c r="F25" s="46"/>
      <c r="G25" s="46"/>
      <c r="H25" s="3">
        <f>D25*(3.14*(E25^2)/4)+F25*(3.14*(G25^2)/4)</f>
        <v>401.92</v>
      </c>
      <c r="I25" s="5">
        <f>H25/(450*300)*100</f>
        <v>0.29771851851851849</v>
      </c>
      <c r="J25" s="31" t="s">
        <v>56</v>
      </c>
      <c r="K25" t="str">
        <f t="shared" ref="K25:K26" si="12">IF(H25&gt;=C25,"OK","NOT OK")</f>
        <v>OK</v>
      </c>
      <c r="L25" t="s">
        <v>90</v>
      </c>
    </row>
    <row r="26" spans="1:12" x14ac:dyDescent="0.3">
      <c r="A26" s="33"/>
      <c r="B26" s="4"/>
      <c r="C26" s="3">
        <v>295</v>
      </c>
      <c r="D26" s="46"/>
      <c r="E26" s="46"/>
      <c r="F26" s="46">
        <v>2</v>
      </c>
      <c r="G26" s="46">
        <v>16</v>
      </c>
      <c r="H26" s="3">
        <f>D26*(3.14*E26^2/4)+F26*(3.14*G26^2/4)</f>
        <v>401.92</v>
      </c>
      <c r="I26" s="5">
        <f t="shared" ref="I26:I27" si="13">H26/(450*300)*100</f>
        <v>0.29771851851851849</v>
      </c>
      <c r="J26" s="31" t="s">
        <v>57</v>
      </c>
      <c r="K26" t="str">
        <f t="shared" si="12"/>
        <v>OK</v>
      </c>
    </row>
    <row r="27" spans="1:12" x14ac:dyDescent="0.3">
      <c r="A27" s="33"/>
      <c r="B27" s="4"/>
      <c r="C27" s="3">
        <f>401-H25</f>
        <v>-0.92000000000001592</v>
      </c>
      <c r="D27" s="46">
        <v>1</v>
      </c>
      <c r="E27" s="46">
        <v>12</v>
      </c>
      <c r="F27" s="46"/>
      <c r="G27" s="46"/>
      <c r="H27" s="3">
        <f t="shared" ref="H27" si="14">D27*(3.14*E27^2/4)+F27*(3.14*G27^2/4)</f>
        <v>113.04</v>
      </c>
      <c r="I27" s="5">
        <f t="shared" si="13"/>
        <v>8.373333333333334E-2</v>
      </c>
      <c r="J27" s="31" t="s">
        <v>58</v>
      </c>
      <c r="K27" t="str">
        <f>IF(H27&gt;=C27,"OK","NOT OK")</f>
        <v>OK</v>
      </c>
    </row>
    <row r="28" spans="1:12" x14ac:dyDescent="0.3">
      <c r="A28" s="33"/>
      <c r="B28" s="4"/>
      <c r="C28" s="3"/>
      <c r="D28" s="4"/>
      <c r="E28" s="4"/>
      <c r="F28" s="4"/>
      <c r="G28" s="4"/>
      <c r="H28" s="3"/>
      <c r="I28" s="5"/>
      <c r="J28" s="31"/>
    </row>
    <row r="29" spans="1:12" x14ac:dyDescent="0.3">
      <c r="A29" s="32" t="s">
        <v>82</v>
      </c>
      <c r="B29" s="4" t="s">
        <v>72</v>
      </c>
      <c r="C29" s="3">
        <v>295</v>
      </c>
      <c r="D29" s="46">
        <v>2</v>
      </c>
      <c r="E29" s="46">
        <v>16</v>
      </c>
      <c r="F29" s="46"/>
      <c r="G29" s="46"/>
      <c r="H29" s="3">
        <f>D29*(3.14*(E29^2)/4)+F29*(3.14*(G29^2)/4)</f>
        <v>401.92</v>
      </c>
      <c r="I29" s="5">
        <f>H29/(450*300)*100</f>
        <v>0.29771851851851849</v>
      </c>
      <c r="J29" s="31" t="s">
        <v>56</v>
      </c>
      <c r="K29" t="str">
        <f t="shared" ref="K29:K30" si="15">IF(H29&gt;=C29,"OK","NOT OK")</f>
        <v>OK</v>
      </c>
      <c r="L29" t="s">
        <v>94</v>
      </c>
    </row>
    <row r="30" spans="1:12" x14ac:dyDescent="0.3">
      <c r="A30" s="33"/>
      <c r="B30" s="4"/>
      <c r="C30" s="3">
        <v>308</v>
      </c>
      <c r="D30" s="46"/>
      <c r="E30" s="46"/>
      <c r="F30" s="46">
        <v>2</v>
      </c>
      <c r="G30" s="46">
        <v>16</v>
      </c>
      <c r="H30" s="3">
        <f>D30*(3.14*E30^2/4)+F30*(3.14*G30^2/4)</f>
        <v>401.92</v>
      </c>
      <c r="I30" s="5">
        <f t="shared" ref="I30:I31" si="16">H30/(450*300)*100</f>
        <v>0.29771851851851849</v>
      </c>
      <c r="J30" s="31" t="s">
        <v>57</v>
      </c>
      <c r="K30" t="str">
        <f t="shared" si="15"/>
        <v>OK</v>
      </c>
    </row>
    <row r="31" spans="1:12" x14ac:dyDescent="0.3">
      <c r="A31" s="33"/>
      <c r="B31" s="4"/>
      <c r="C31" s="3">
        <f>516-H29</f>
        <v>114.07999999999998</v>
      </c>
      <c r="D31" s="46">
        <v>1</v>
      </c>
      <c r="E31" s="46">
        <v>16</v>
      </c>
      <c r="F31" s="46"/>
      <c r="G31" s="46"/>
      <c r="H31" s="3">
        <f t="shared" ref="H31" si="17">D31*(3.14*E31^2/4)+F31*(3.14*G31^2/4)</f>
        <v>200.96</v>
      </c>
      <c r="I31" s="5">
        <f t="shared" si="16"/>
        <v>0.14885925925925925</v>
      </c>
      <c r="J31" s="31" t="s">
        <v>58</v>
      </c>
      <c r="K31" t="str">
        <f>IF(H31&gt;=C31,"OK","NOT OK")</f>
        <v>OK</v>
      </c>
    </row>
    <row r="32" spans="1:12" x14ac:dyDescent="0.3">
      <c r="A32" s="33"/>
      <c r="B32" s="4"/>
      <c r="C32" s="3"/>
      <c r="D32" s="4"/>
      <c r="E32" s="4"/>
      <c r="F32" s="4"/>
      <c r="G32" s="4"/>
      <c r="H32" s="3"/>
      <c r="I32" s="5"/>
      <c r="J32" s="31"/>
    </row>
    <row r="33" spans="1:15" x14ac:dyDescent="0.3">
      <c r="A33" s="32" t="s">
        <v>83</v>
      </c>
      <c r="B33" s="4" t="s">
        <v>72</v>
      </c>
      <c r="C33" s="3">
        <v>295</v>
      </c>
      <c r="D33" s="46">
        <v>2</v>
      </c>
      <c r="E33" s="46">
        <v>16</v>
      </c>
      <c r="F33" s="46"/>
      <c r="G33" s="46"/>
      <c r="H33" s="3">
        <f>D33*(3.14*(E33^2)/4)+F33*(3.14*(G33^2)/4)</f>
        <v>401.92</v>
      </c>
      <c r="I33" s="5">
        <f>H33/(450*300)*100</f>
        <v>0.29771851851851849</v>
      </c>
      <c r="J33" s="31" t="s">
        <v>56</v>
      </c>
      <c r="K33" t="str">
        <f t="shared" ref="K33:K34" si="18">IF(H33&gt;=C33,"OK","NOT OK")</f>
        <v>OK</v>
      </c>
      <c r="L33" t="s">
        <v>94</v>
      </c>
    </row>
    <row r="34" spans="1:15" x14ac:dyDescent="0.3">
      <c r="A34" s="33"/>
      <c r="B34" s="4"/>
      <c r="C34" s="3">
        <v>295</v>
      </c>
      <c r="D34" s="46"/>
      <c r="E34" s="46"/>
      <c r="F34" s="46">
        <v>2</v>
      </c>
      <c r="G34" s="46">
        <v>16</v>
      </c>
      <c r="H34" s="3">
        <f>D34*(3.14*E34^2/4)+F34*(3.14*G34^2/4)</f>
        <v>401.92</v>
      </c>
      <c r="I34" s="5">
        <f t="shared" ref="I34:I35" si="19">H34/(450*300)*100</f>
        <v>0.29771851851851849</v>
      </c>
      <c r="J34" s="31" t="s">
        <v>57</v>
      </c>
      <c r="K34" t="str">
        <f t="shared" si="18"/>
        <v>OK</v>
      </c>
      <c r="O34" s="47"/>
    </row>
    <row r="35" spans="1:15" x14ac:dyDescent="0.3">
      <c r="A35" s="33"/>
      <c r="B35" s="4"/>
      <c r="C35" s="3">
        <f>420-H33</f>
        <v>18.079999999999984</v>
      </c>
      <c r="D35" s="46">
        <v>1</v>
      </c>
      <c r="E35" s="46">
        <v>12</v>
      </c>
      <c r="F35" s="46"/>
      <c r="G35" s="46"/>
      <c r="H35" s="3">
        <f t="shared" ref="H35" si="20">D35*(3.14*E35^2/4)+F35*(3.14*G35^2/4)</f>
        <v>113.04</v>
      </c>
      <c r="I35" s="5">
        <f t="shared" si="19"/>
        <v>8.373333333333334E-2</v>
      </c>
      <c r="J35" s="31" t="s">
        <v>58</v>
      </c>
      <c r="K35" t="str">
        <f>IF(H35&gt;=C35,"OK","NOT OK")</f>
        <v>OK</v>
      </c>
    </row>
    <row r="36" spans="1:15" x14ac:dyDescent="0.3">
      <c r="A36" s="33"/>
      <c r="B36" s="4"/>
      <c r="C36" s="3"/>
      <c r="D36" s="4"/>
      <c r="E36" s="4"/>
      <c r="F36" s="4"/>
      <c r="G36" s="4"/>
      <c r="H36" s="3"/>
      <c r="I36" s="5"/>
      <c r="J36" s="31"/>
    </row>
    <row r="37" spans="1:15" x14ac:dyDescent="0.3">
      <c r="A37" s="32" t="s">
        <v>84</v>
      </c>
      <c r="B37" s="4" t="s">
        <v>72</v>
      </c>
      <c r="C37" s="3">
        <v>295</v>
      </c>
      <c r="D37" s="46">
        <v>2</v>
      </c>
      <c r="E37" s="46">
        <v>16</v>
      </c>
      <c r="F37" s="46"/>
      <c r="G37" s="46"/>
      <c r="H37" s="3">
        <f>D37*(3.14*(E37^2)/4)+F37*(3.14*(G37^2)/4)</f>
        <v>401.92</v>
      </c>
      <c r="I37" s="5">
        <f>H37/(450*300)*100</f>
        <v>0.29771851851851849</v>
      </c>
      <c r="J37" s="31" t="s">
        <v>56</v>
      </c>
      <c r="K37" t="str">
        <f t="shared" ref="K37:K38" si="21">IF(H37&gt;=C37,"OK","NOT OK")</f>
        <v>OK</v>
      </c>
      <c r="L37" t="s">
        <v>95</v>
      </c>
    </row>
    <row r="38" spans="1:15" x14ac:dyDescent="0.3">
      <c r="A38" s="33"/>
      <c r="B38" s="4"/>
      <c r="C38" s="3">
        <v>295</v>
      </c>
      <c r="D38" s="46"/>
      <c r="E38" s="46"/>
      <c r="F38" s="46">
        <v>2</v>
      </c>
      <c r="G38" s="46">
        <v>16</v>
      </c>
      <c r="H38" s="3">
        <f>D38*(3.14*E38^2/4)+F38*(3.14*G38^2/4)</f>
        <v>401.92</v>
      </c>
      <c r="I38" s="5">
        <f t="shared" ref="I38:I39" si="22">H38/(450*300)*100</f>
        <v>0.29771851851851849</v>
      </c>
      <c r="J38" s="31" t="s">
        <v>57</v>
      </c>
      <c r="K38" t="str">
        <f t="shared" si="21"/>
        <v>OK</v>
      </c>
    </row>
    <row r="39" spans="1:15" x14ac:dyDescent="0.3">
      <c r="A39" s="33"/>
      <c r="B39" s="4"/>
      <c r="C39" s="3">
        <f>301-H37</f>
        <v>-100.92000000000002</v>
      </c>
      <c r="D39" s="46">
        <v>1</v>
      </c>
      <c r="E39" s="46">
        <v>12</v>
      </c>
      <c r="F39" s="46"/>
      <c r="G39" s="46"/>
      <c r="H39" s="3">
        <f t="shared" ref="H39" si="23">D39*(3.14*E39^2/4)+F39*(3.14*G39^2/4)</f>
        <v>113.04</v>
      </c>
      <c r="I39" s="5">
        <f t="shared" si="22"/>
        <v>8.373333333333334E-2</v>
      </c>
      <c r="J39" s="31" t="s">
        <v>58</v>
      </c>
      <c r="K39" t="str">
        <f>IF(H39&gt;=C39,"OK","NOT OK")</f>
        <v>OK</v>
      </c>
    </row>
    <row r="40" spans="1:15" ht="15" thickBot="1" x14ac:dyDescent="0.35">
      <c r="A40" s="54"/>
      <c r="B40" s="36"/>
      <c r="C40" s="55"/>
      <c r="D40" s="36"/>
      <c r="E40" s="36"/>
      <c r="F40" s="36"/>
      <c r="G40" s="36"/>
      <c r="H40" s="55"/>
      <c r="I40" s="56"/>
      <c r="J40" s="45"/>
    </row>
  </sheetData>
  <mergeCells count="11">
    <mergeCell ref="M2:Q2"/>
    <mergeCell ref="S2:W2"/>
    <mergeCell ref="M11:S11"/>
    <mergeCell ref="A1:J1"/>
    <mergeCell ref="A2:A3"/>
    <mergeCell ref="B2:B3"/>
    <mergeCell ref="C2:C3"/>
    <mergeCell ref="D2:G2"/>
    <mergeCell ref="H2:H3"/>
    <mergeCell ref="I2:I3"/>
    <mergeCell ref="J2:J3"/>
  </mergeCells>
  <conditionalFormatting sqref="A1:K1 M2 R2 A9:B11 A24:L24 L33:XFD39 A40:XFD1048576 A12:L12 L13:L15 A32:L32 L25:L31 U17:XFD24 Y25:XFD32 L23 M15:X15 M12:T14 A2:L4 L5:L11 M3:W9 X1:X14 Y1:XFD15 V10:W14 A16:XFD16 C20:K20">
    <cfRule type="containsText" dxfId="217" priority="136" operator="containsText" text="NOT OK">
      <formula>NOT(ISERROR(SEARCH("NOT OK",A1)))</formula>
    </cfRule>
    <cfRule type="containsText" dxfId="216" priority="137" operator="containsText" text="OK">
      <formula>NOT(ISERROR(SEARCH("OK",A1)))</formula>
    </cfRule>
  </conditionalFormatting>
  <conditionalFormatting sqref="M11 N12:O12 O13:S13 M14:T15">
    <cfRule type="containsText" dxfId="215" priority="133" operator="containsText" text="NOT OK">
      <formula>NOT(ISERROR(SEARCH("NOT OK",M11)))</formula>
    </cfRule>
    <cfRule type="containsText" dxfId="214" priority="134" operator="containsText" text="NG">
      <formula>NOT(ISERROR(SEARCH("NG",M11)))</formula>
    </cfRule>
    <cfRule type="containsText" dxfId="213" priority="135" operator="containsText" text="OK">
      <formula>NOT(ISERROR(SEARCH("OK",M11)))</formula>
    </cfRule>
  </conditionalFormatting>
  <conditionalFormatting sqref="S2">
    <cfRule type="containsText" dxfId="212" priority="131" operator="containsText" text="NOT OK">
      <formula>NOT(ISERROR(SEARCH("NOT OK",S2)))</formula>
    </cfRule>
    <cfRule type="containsText" dxfId="211" priority="132" operator="containsText" text="OK">
      <formula>NOT(ISERROR(SEARCH("OK",S2)))</formula>
    </cfRule>
  </conditionalFormatting>
  <conditionalFormatting sqref="A13:A15">
    <cfRule type="containsText" dxfId="210" priority="129" operator="containsText" text="NOT OK">
      <formula>NOT(ISERROR(SEARCH("NOT OK",A13)))</formula>
    </cfRule>
    <cfRule type="containsText" dxfId="209" priority="130" operator="containsText" text="OK">
      <formula>NOT(ISERROR(SEARCH("OK",A13)))</formula>
    </cfRule>
  </conditionalFormatting>
  <conditionalFormatting sqref="B14:B15">
    <cfRule type="containsText" dxfId="208" priority="127" operator="containsText" text="NOT OK">
      <formula>NOT(ISERROR(SEARCH("NOT OK",B14)))</formula>
    </cfRule>
    <cfRule type="containsText" dxfId="207" priority="128" operator="containsText" text="OK">
      <formula>NOT(ISERROR(SEARCH("OK",B14)))</formula>
    </cfRule>
  </conditionalFormatting>
  <conditionalFormatting sqref="A20:K20">
    <cfRule type="containsText" dxfId="206" priority="125" operator="containsText" text="NOT OK">
      <formula>NOT(ISERROR(SEARCH("NOT OK",A20)))</formula>
    </cfRule>
    <cfRule type="containsText" dxfId="205" priority="126" operator="containsText" text="OK">
      <formula>NOT(ISERROR(SEARCH("OK",A20)))</formula>
    </cfRule>
  </conditionalFormatting>
  <conditionalFormatting sqref="A28:K28">
    <cfRule type="containsText" dxfId="204" priority="123" operator="containsText" text="NOT OK">
      <formula>NOT(ISERROR(SEARCH("NOT OK",A28)))</formula>
    </cfRule>
    <cfRule type="containsText" dxfId="203" priority="124" operator="containsText" text="OK">
      <formula>NOT(ISERROR(SEARCH("OK",A28)))</formula>
    </cfRule>
  </conditionalFormatting>
  <conditionalFormatting sqref="A29:A31">
    <cfRule type="containsText" dxfId="202" priority="121" operator="containsText" text="NOT OK">
      <formula>NOT(ISERROR(SEARCH("NOT OK",A29)))</formula>
    </cfRule>
    <cfRule type="containsText" dxfId="201" priority="122" operator="containsText" text="OK">
      <formula>NOT(ISERROR(SEARCH("OK",A29)))</formula>
    </cfRule>
  </conditionalFormatting>
  <conditionalFormatting sqref="A36:K36 A33:A35">
    <cfRule type="containsText" dxfId="200" priority="119" operator="containsText" text="NOT OK">
      <formula>NOT(ISERROR(SEARCH("NOT OK",A33)))</formula>
    </cfRule>
    <cfRule type="containsText" dxfId="199" priority="120" operator="containsText" text="OK">
      <formula>NOT(ISERROR(SEARCH("OK",A33)))</formula>
    </cfRule>
  </conditionalFormatting>
  <conditionalFormatting sqref="A37:A39">
    <cfRule type="containsText" dxfId="198" priority="117" operator="containsText" text="NOT OK">
      <formula>NOT(ISERROR(SEARCH("NOT OK",A37)))</formula>
    </cfRule>
    <cfRule type="containsText" dxfId="197" priority="118" operator="containsText" text="OK">
      <formula>NOT(ISERROR(SEARCH("OK",A37)))</formula>
    </cfRule>
  </conditionalFormatting>
  <conditionalFormatting sqref="A8:K8">
    <cfRule type="containsText" dxfId="196" priority="115" operator="containsText" text="NOT OK">
      <formula>NOT(ISERROR(SEARCH("NOT OK",A8)))</formula>
    </cfRule>
    <cfRule type="containsText" dxfId="195" priority="116" operator="containsText" text="OK">
      <formula>NOT(ISERROR(SEARCH("OK",A8)))</formula>
    </cfRule>
  </conditionalFormatting>
  <conditionalFormatting sqref="B34:B35">
    <cfRule type="containsText" dxfId="194" priority="89" operator="containsText" text="NOT OK">
      <formula>NOT(ISERROR(SEARCH("NOT OK",B34)))</formula>
    </cfRule>
    <cfRule type="containsText" dxfId="193" priority="90" operator="containsText" text="OK">
      <formula>NOT(ISERROR(SEARCH("OK",B34)))</formula>
    </cfRule>
  </conditionalFormatting>
  <conditionalFormatting sqref="B17">
    <cfRule type="containsText" dxfId="192" priority="107" operator="containsText" text="NOT OK">
      <formula>NOT(ISERROR(SEARCH("NOT OK",B17)))</formula>
    </cfRule>
    <cfRule type="containsText" dxfId="191" priority="108" operator="containsText" text="OK">
      <formula>NOT(ISERROR(SEARCH("OK",B17)))</formula>
    </cfRule>
  </conditionalFormatting>
  <conditionalFormatting sqref="B13">
    <cfRule type="containsText" dxfId="190" priority="113" operator="containsText" text="NOT OK">
      <formula>NOT(ISERROR(SEARCH("NOT OK",B13)))</formula>
    </cfRule>
    <cfRule type="containsText" dxfId="189" priority="114" operator="containsText" text="OK">
      <formula>NOT(ISERROR(SEARCH("OK",B13)))</formula>
    </cfRule>
  </conditionalFormatting>
  <conditionalFormatting sqref="A17:A19">
    <cfRule type="containsText" dxfId="188" priority="111" operator="containsText" text="NOT OK">
      <formula>NOT(ISERROR(SEARCH("NOT OK",A17)))</formula>
    </cfRule>
    <cfRule type="containsText" dxfId="187" priority="112" operator="containsText" text="OK">
      <formula>NOT(ISERROR(SEARCH("OK",A17)))</formula>
    </cfRule>
  </conditionalFormatting>
  <conditionalFormatting sqref="B18:B19">
    <cfRule type="containsText" dxfId="186" priority="109" operator="containsText" text="NOT OK">
      <formula>NOT(ISERROR(SEARCH("NOT OK",B18)))</formula>
    </cfRule>
    <cfRule type="containsText" dxfId="185" priority="110" operator="containsText" text="OK">
      <formula>NOT(ISERROR(SEARCH("OK",B18)))</formula>
    </cfRule>
  </conditionalFormatting>
  <conditionalFormatting sqref="A21:A23">
    <cfRule type="containsText" dxfId="184" priority="105" operator="containsText" text="NOT OK">
      <formula>NOT(ISERROR(SEARCH("NOT OK",A21)))</formula>
    </cfRule>
    <cfRule type="containsText" dxfId="183" priority="106" operator="containsText" text="OK">
      <formula>NOT(ISERROR(SEARCH("OK",A21)))</formula>
    </cfRule>
  </conditionalFormatting>
  <conditionalFormatting sqref="B22:B23">
    <cfRule type="containsText" dxfId="182" priority="103" operator="containsText" text="NOT OK">
      <formula>NOT(ISERROR(SEARCH("NOT OK",B22)))</formula>
    </cfRule>
    <cfRule type="containsText" dxfId="181" priority="104" operator="containsText" text="OK">
      <formula>NOT(ISERROR(SEARCH("OK",B22)))</formula>
    </cfRule>
  </conditionalFormatting>
  <conditionalFormatting sqref="B21">
    <cfRule type="containsText" dxfId="180" priority="101" operator="containsText" text="NOT OK">
      <formula>NOT(ISERROR(SEARCH("NOT OK",B21)))</formula>
    </cfRule>
    <cfRule type="containsText" dxfId="179" priority="102" operator="containsText" text="OK">
      <formula>NOT(ISERROR(SEARCH("OK",B21)))</formula>
    </cfRule>
  </conditionalFormatting>
  <conditionalFormatting sqref="A25:A27">
    <cfRule type="containsText" dxfId="178" priority="99" operator="containsText" text="NOT OK">
      <formula>NOT(ISERROR(SEARCH("NOT OK",A25)))</formula>
    </cfRule>
    <cfRule type="containsText" dxfId="177" priority="100" operator="containsText" text="OK">
      <formula>NOT(ISERROR(SEARCH("OK",A25)))</formula>
    </cfRule>
  </conditionalFormatting>
  <conditionalFormatting sqref="B26:B27">
    <cfRule type="containsText" dxfId="176" priority="97" operator="containsText" text="NOT OK">
      <formula>NOT(ISERROR(SEARCH("NOT OK",B26)))</formula>
    </cfRule>
    <cfRule type="containsText" dxfId="175" priority="98" operator="containsText" text="OK">
      <formula>NOT(ISERROR(SEARCH("OK",B26)))</formula>
    </cfRule>
  </conditionalFormatting>
  <conditionalFormatting sqref="B25">
    <cfRule type="containsText" dxfId="174" priority="95" operator="containsText" text="NOT OK">
      <formula>NOT(ISERROR(SEARCH("NOT OK",B25)))</formula>
    </cfRule>
    <cfRule type="containsText" dxfId="173" priority="96" operator="containsText" text="OK">
      <formula>NOT(ISERROR(SEARCH("OK",B25)))</formula>
    </cfRule>
  </conditionalFormatting>
  <conditionalFormatting sqref="B30:B31">
    <cfRule type="containsText" dxfId="172" priority="93" operator="containsText" text="NOT OK">
      <formula>NOT(ISERROR(SEARCH("NOT OK",B30)))</formula>
    </cfRule>
    <cfRule type="containsText" dxfId="171" priority="94" operator="containsText" text="OK">
      <formula>NOT(ISERROR(SEARCH("OK",B30)))</formula>
    </cfRule>
  </conditionalFormatting>
  <conditionalFormatting sqref="B29">
    <cfRule type="containsText" dxfId="170" priority="91" operator="containsText" text="NOT OK">
      <formula>NOT(ISERROR(SEARCH("NOT OK",B29)))</formula>
    </cfRule>
    <cfRule type="containsText" dxfId="169" priority="92" operator="containsText" text="OK">
      <formula>NOT(ISERROR(SEARCH("OK",B29)))</formula>
    </cfRule>
  </conditionalFormatting>
  <conditionalFormatting sqref="B33">
    <cfRule type="containsText" dxfId="168" priority="87" operator="containsText" text="NOT OK">
      <formula>NOT(ISERROR(SEARCH("NOT OK",B33)))</formula>
    </cfRule>
    <cfRule type="containsText" dxfId="167" priority="88" operator="containsText" text="OK">
      <formula>NOT(ISERROR(SEARCH("OK",B33)))</formula>
    </cfRule>
  </conditionalFormatting>
  <conditionalFormatting sqref="B38:B39">
    <cfRule type="containsText" dxfId="166" priority="85" operator="containsText" text="NOT OK">
      <formula>NOT(ISERROR(SEARCH("NOT OK",B38)))</formula>
    </cfRule>
    <cfRule type="containsText" dxfId="165" priority="86" operator="containsText" text="OK">
      <formula>NOT(ISERROR(SEARCH("OK",B38)))</formula>
    </cfRule>
  </conditionalFormatting>
  <conditionalFormatting sqref="B37">
    <cfRule type="containsText" dxfId="164" priority="83" operator="containsText" text="NOT OK">
      <formula>NOT(ISERROR(SEARCH("NOT OK",B37)))</formula>
    </cfRule>
    <cfRule type="containsText" dxfId="163" priority="84" operator="containsText" text="OK">
      <formula>NOT(ISERROR(SEARCH("OK",B37)))</formula>
    </cfRule>
  </conditionalFormatting>
  <conditionalFormatting sqref="A5:B7">
    <cfRule type="containsText" dxfId="162" priority="81" operator="containsText" text="NOT OK">
      <formula>NOT(ISERROR(SEARCH("NOT OK",A5)))</formula>
    </cfRule>
    <cfRule type="containsText" dxfId="161" priority="82" operator="containsText" text="OK">
      <formula>NOT(ISERROR(SEARCH("OK",A5)))</formula>
    </cfRule>
  </conditionalFormatting>
  <conditionalFormatting sqref="C5:J7">
    <cfRule type="containsText" dxfId="160" priority="79" operator="containsText" text="NOT OK">
      <formula>NOT(ISERROR(SEARCH("NOT OK",C5)))</formula>
    </cfRule>
    <cfRule type="containsText" dxfId="159" priority="80" operator="containsText" text="OK">
      <formula>NOT(ISERROR(SEARCH("OK",C5)))</formula>
    </cfRule>
  </conditionalFormatting>
  <conditionalFormatting sqref="K5:K7">
    <cfRule type="containsText" dxfId="158" priority="77" operator="containsText" text="NOT OK">
      <formula>NOT(ISERROR(SEARCH("NOT OK",K5)))</formula>
    </cfRule>
    <cfRule type="containsText" dxfId="157" priority="78" operator="containsText" text="OK">
      <formula>NOT(ISERROR(SEARCH("OK",K5)))</formula>
    </cfRule>
  </conditionalFormatting>
  <conditionalFormatting sqref="C9:J11">
    <cfRule type="containsText" dxfId="156" priority="43" operator="containsText" text="NOT OK">
      <formula>NOT(ISERROR(SEARCH("NOT OK",C9)))</formula>
    </cfRule>
    <cfRule type="containsText" dxfId="155" priority="44" operator="containsText" text="OK">
      <formula>NOT(ISERROR(SEARCH("OK",C9)))</formula>
    </cfRule>
  </conditionalFormatting>
  <conditionalFormatting sqref="K9:K11">
    <cfRule type="containsText" dxfId="154" priority="41" operator="containsText" text="NOT OK">
      <formula>NOT(ISERROR(SEARCH("NOT OK",K9)))</formula>
    </cfRule>
    <cfRule type="containsText" dxfId="153" priority="42" operator="containsText" text="OK">
      <formula>NOT(ISERROR(SEARCH("OK",K9)))</formula>
    </cfRule>
  </conditionalFormatting>
  <conditionalFormatting sqref="C13:J15">
    <cfRule type="containsText" dxfId="152" priority="39" operator="containsText" text="NOT OK">
      <formula>NOT(ISERROR(SEARCH("NOT OK",C13)))</formula>
    </cfRule>
    <cfRule type="containsText" dxfId="151" priority="40" operator="containsText" text="OK">
      <formula>NOT(ISERROR(SEARCH("OK",C13)))</formula>
    </cfRule>
  </conditionalFormatting>
  <conditionalFormatting sqref="K13:K15">
    <cfRule type="containsText" dxfId="150" priority="37" operator="containsText" text="NOT OK">
      <formula>NOT(ISERROR(SEARCH("NOT OK",K13)))</formula>
    </cfRule>
    <cfRule type="containsText" dxfId="149" priority="38" operator="containsText" text="OK">
      <formula>NOT(ISERROR(SEARCH("OK",K13)))</formula>
    </cfRule>
  </conditionalFormatting>
  <conditionalFormatting sqref="C17:J19">
    <cfRule type="containsText" dxfId="148" priority="35" operator="containsText" text="NOT OK">
      <formula>NOT(ISERROR(SEARCH("NOT OK",C17)))</formula>
    </cfRule>
    <cfRule type="containsText" dxfId="147" priority="36" operator="containsText" text="OK">
      <formula>NOT(ISERROR(SEARCH("OK",C17)))</formula>
    </cfRule>
  </conditionalFormatting>
  <conditionalFormatting sqref="K17:K19">
    <cfRule type="containsText" dxfId="146" priority="33" operator="containsText" text="NOT OK">
      <formula>NOT(ISERROR(SEARCH("NOT OK",K17)))</formula>
    </cfRule>
    <cfRule type="containsText" dxfId="145" priority="34" operator="containsText" text="OK">
      <formula>NOT(ISERROR(SEARCH("OK",K17)))</formula>
    </cfRule>
  </conditionalFormatting>
  <conditionalFormatting sqref="C21:J23">
    <cfRule type="containsText" dxfId="144" priority="31" operator="containsText" text="NOT OK">
      <formula>NOT(ISERROR(SEARCH("NOT OK",C21)))</formula>
    </cfRule>
    <cfRule type="containsText" dxfId="143" priority="32" operator="containsText" text="OK">
      <formula>NOT(ISERROR(SEARCH("OK",C21)))</formula>
    </cfRule>
  </conditionalFormatting>
  <conditionalFormatting sqref="K21:K23">
    <cfRule type="containsText" dxfId="142" priority="29" operator="containsText" text="NOT OK">
      <formula>NOT(ISERROR(SEARCH("NOT OK",K21)))</formula>
    </cfRule>
    <cfRule type="containsText" dxfId="141" priority="30" operator="containsText" text="OK">
      <formula>NOT(ISERROR(SEARCH("OK",K21)))</formula>
    </cfRule>
  </conditionalFormatting>
  <conditionalFormatting sqref="C25:J27">
    <cfRule type="containsText" dxfId="140" priority="27" operator="containsText" text="NOT OK">
      <formula>NOT(ISERROR(SEARCH("NOT OK",C25)))</formula>
    </cfRule>
    <cfRule type="containsText" dxfId="139" priority="28" operator="containsText" text="OK">
      <formula>NOT(ISERROR(SEARCH("OK",C25)))</formula>
    </cfRule>
  </conditionalFormatting>
  <conditionalFormatting sqref="K25:K27">
    <cfRule type="containsText" dxfId="138" priority="25" operator="containsText" text="NOT OK">
      <formula>NOT(ISERROR(SEARCH("NOT OK",K25)))</formula>
    </cfRule>
    <cfRule type="containsText" dxfId="137" priority="26" operator="containsText" text="OK">
      <formula>NOT(ISERROR(SEARCH("OK",K25)))</formula>
    </cfRule>
  </conditionalFormatting>
  <conditionalFormatting sqref="C29:J31">
    <cfRule type="containsText" dxfId="136" priority="23" operator="containsText" text="NOT OK">
      <formula>NOT(ISERROR(SEARCH("NOT OK",C29)))</formula>
    </cfRule>
    <cfRule type="containsText" dxfId="135" priority="24" operator="containsText" text="OK">
      <formula>NOT(ISERROR(SEARCH("OK",C29)))</formula>
    </cfRule>
  </conditionalFormatting>
  <conditionalFormatting sqref="K29:K31">
    <cfRule type="containsText" dxfId="134" priority="21" operator="containsText" text="NOT OK">
      <formula>NOT(ISERROR(SEARCH("NOT OK",K29)))</formula>
    </cfRule>
    <cfRule type="containsText" dxfId="133" priority="22" operator="containsText" text="OK">
      <formula>NOT(ISERROR(SEARCH("OK",K29)))</formula>
    </cfRule>
  </conditionalFormatting>
  <conditionalFormatting sqref="C33:J35">
    <cfRule type="containsText" dxfId="132" priority="19" operator="containsText" text="NOT OK">
      <formula>NOT(ISERROR(SEARCH("NOT OK",C33)))</formula>
    </cfRule>
    <cfRule type="containsText" dxfId="131" priority="20" operator="containsText" text="OK">
      <formula>NOT(ISERROR(SEARCH("OK",C33)))</formula>
    </cfRule>
  </conditionalFormatting>
  <conditionalFormatting sqref="K33:K35">
    <cfRule type="containsText" dxfId="130" priority="17" operator="containsText" text="NOT OK">
      <formula>NOT(ISERROR(SEARCH("NOT OK",K33)))</formula>
    </cfRule>
    <cfRule type="containsText" dxfId="129" priority="18" operator="containsText" text="OK">
      <formula>NOT(ISERROR(SEARCH("OK",K33)))</formula>
    </cfRule>
  </conditionalFormatting>
  <conditionalFormatting sqref="C37:J39">
    <cfRule type="containsText" dxfId="128" priority="15" operator="containsText" text="NOT OK">
      <formula>NOT(ISERROR(SEARCH("NOT OK",C37)))</formula>
    </cfRule>
    <cfRule type="containsText" dxfId="127" priority="16" operator="containsText" text="OK">
      <formula>NOT(ISERROR(SEARCH("OK",C37)))</formula>
    </cfRule>
  </conditionalFormatting>
  <conditionalFormatting sqref="K37:K39">
    <cfRule type="containsText" dxfId="126" priority="13" operator="containsText" text="NOT OK">
      <formula>NOT(ISERROR(SEARCH("NOT OK",K37)))</formula>
    </cfRule>
    <cfRule type="containsText" dxfId="125" priority="14" operator="containsText" text="OK">
      <formula>NOT(ISERROR(SEARCH("OK",K37)))</formula>
    </cfRule>
  </conditionalFormatting>
  <conditionalFormatting sqref="C13:J15">
    <cfRule type="containsText" dxfId="124" priority="11" operator="containsText" text="NOT OK">
      <formula>NOT(ISERROR(SEARCH("NOT OK",C13)))</formula>
    </cfRule>
    <cfRule type="containsText" dxfId="123" priority="12" operator="containsText" text="OK">
      <formula>NOT(ISERROR(SEARCH("OK",C13)))</formula>
    </cfRule>
  </conditionalFormatting>
  <conditionalFormatting sqref="K13:K15">
    <cfRule type="containsText" dxfId="122" priority="9" operator="containsText" text="NOT OK">
      <formula>NOT(ISERROR(SEARCH("NOT OK",K13)))</formula>
    </cfRule>
    <cfRule type="containsText" dxfId="121" priority="10" operator="containsText" text="OK">
      <formula>NOT(ISERROR(SEARCH("OK",K13)))</formula>
    </cfRule>
  </conditionalFormatting>
  <conditionalFormatting sqref="C17:J19">
    <cfRule type="containsText" dxfId="120" priority="7" operator="containsText" text="NOT OK">
      <formula>NOT(ISERROR(SEARCH("NOT OK",C17)))</formula>
    </cfRule>
    <cfRule type="containsText" dxfId="119" priority="8" operator="containsText" text="OK">
      <formula>NOT(ISERROR(SEARCH("OK",C17)))</formula>
    </cfRule>
  </conditionalFormatting>
  <conditionalFormatting sqref="K17:K19">
    <cfRule type="containsText" dxfId="118" priority="5" operator="containsText" text="NOT OK">
      <formula>NOT(ISERROR(SEARCH("NOT OK",K17)))</formula>
    </cfRule>
    <cfRule type="containsText" dxfId="117" priority="6" operator="containsText" text="OK">
      <formula>NOT(ISERROR(SEARCH("OK",K17)))</formula>
    </cfRule>
  </conditionalFormatting>
  <conditionalFormatting sqref="C21:J23">
    <cfRule type="containsText" dxfId="116" priority="3" operator="containsText" text="NOT OK">
      <formula>NOT(ISERROR(SEARCH("NOT OK",C21)))</formula>
    </cfRule>
    <cfRule type="containsText" dxfId="115" priority="4" operator="containsText" text="OK">
      <formula>NOT(ISERROR(SEARCH("OK",C21)))</formula>
    </cfRule>
  </conditionalFormatting>
  <conditionalFormatting sqref="K21:K23">
    <cfRule type="containsText" dxfId="114" priority="1" operator="containsText" text="NOT OK">
      <formula>NOT(ISERROR(SEARCH("NOT OK",K21)))</formula>
    </cfRule>
    <cfRule type="containsText" dxfId="113" priority="2" operator="containsText" text="OK">
      <formula>NOT(ISERROR(SEARCH("OK",K21)))</formula>
    </cfRule>
  </conditionalFormatting>
  <pageMargins left="1.01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D129-A9C2-4183-895B-DED683F7A513}">
  <dimension ref="A1:AA40"/>
  <sheetViews>
    <sheetView topLeftCell="A14" zoomScale="85" zoomScaleNormal="85" zoomScaleSheetLayoutView="100" workbookViewId="0">
      <selection activeCell="L22" sqref="L22"/>
    </sheetView>
  </sheetViews>
  <sheetFormatPr defaultRowHeight="14.4" x14ac:dyDescent="0.3"/>
  <cols>
    <col min="1" max="1" width="10.88671875" bestFit="1" customWidth="1"/>
    <col min="2" max="2" width="9.5546875" customWidth="1"/>
    <col min="3" max="3" width="12.44140625" style="2" bestFit="1" customWidth="1"/>
    <col min="4" max="4" width="3.5546875" customWidth="1"/>
    <col min="5" max="5" width="4.44140625" customWidth="1"/>
    <col min="6" max="6" width="3.33203125" bestFit="1" customWidth="1"/>
    <col min="7" max="7" width="3.6640625" bestFit="1" customWidth="1"/>
    <col min="8" max="8" width="9.44140625" style="2" customWidth="1"/>
    <col min="9" max="9" width="10.44140625" style="1" customWidth="1"/>
    <col min="10" max="10" width="9.109375"/>
    <col min="13" max="15" width="9.109375"/>
    <col min="22" max="22" width="9.5546875" bestFit="1" customWidth="1"/>
  </cols>
  <sheetData>
    <row r="1" spans="1:27" ht="29.25" customHeight="1" thickBot="1" x14ac:dyDescent="0.35">
      <c r="A1" s="77" t="s">
        <v>89</v>
      </c>
      <c r="B1" s="78"/>
      <c r="C1" s="78"/>
      <c r="D1" s="78"/>
      <c r="E1" s="78"/>
      <c r="F1" s="78"/>
      <c r="G1" s="78"/>
      <c r="H1" s="78"/>
      <c r="I1" s="78"/>
      <c r="J1" s="79"/>
      <c r="X1" s="42"/>
    </row>
    <row r="2" spans="1:27" ht="15" thickBot="1" x14ac:dyDescent="0.35">
      <c r="A2" s="80" t="s">
        <v>5</v>
      </c>
      <c r="B2" s="82" t="s">
        <v>9</v>
      </c>
      <c r="C2" s="84" t="s">
        <v>0</v>
      </c>
      <c r="D2" s="82" t="s">
        <v>3</v>
      </c>
      <c r="E2" s="82"/>
      <c r="F2" s="82"/>
      <c r="G2" s="82"/>
      <c r="H2" s="86" t="s">
        <v>4</v>
      </c>
      <c r="I2" s="88" t="s">
        <v>8</v>
      </c>
      <c r="J2" s="90" t="s">
        <v>10</v>
      </c>
      <c r="M2" s="71" t="s">
        <v>75</v>
      </c>
      <c r="N2" s="72"/>
      <c r="O2" s="72"/>
      <c r="P2" s="72"/>
      <c r="Q2" s="73"/>
      <c r="S2" s="71" t="s">
        <v>76</v>
      </c>
      <c r="T2" s="72"/>
      <c r="U2" s="72"/>
      <c r="V2" s="72"/>
      <c r="W2" s="73"/>
    </row>
    <row r="3" spans="1:27" ht="16.2" x14ac:dyDescent="0.3">
      <c r="A3" s="81"/>
      <c r="B3" s="83"/>
      <c r="C3" s="85"/>
      <c r="D3" s="39" t="s">
        <v>1</v>
      </c>
      <c r="E3" s="39" t="s">
        <v>2</v>
      </c>
      <c r="F3" s="39" t="s">
        <v>1</v>
      </c>
      <c r="G3" s="39" t="s">
        <v>2</v>
      </c>
      <c r="H3" s="87"/>
      <c r="I3" s="89"/>
      <c r="J3" s="91"/>
      <c r="M3" s="40" t="s">
        <v>59</v>
      </c>
      <c r="O3">
        <v>995</v>
      </c>
      <c r="P3" t="s">
        <v>63</v>
      </c>
      <c r="Q3" s="34"/>
      <c r="S3" s="40" t="s">
        <v>59</v>
      </c>
      <c r="U3">
        <v>593</v>
      </c>
      <c r="V3" t="s">
        <v>63</v>
      </c>
      <c r="W3" s="34"/>
    </row>
    <row r="4" spans="1:27" x14ac:dyDescent="0.3">
      <c r="A4" s="30" t="s">
        <v>41</v>
      </c>
      <c r="B4" s="4"/>
      <c r="C4" s="3"/>
      <c r="D4" s="4"/>
      <c r="E4" s="4"/>
      <c r="F4" s="4"/>
      <c r="G4" s="4"/>
      <c r="H4" s="3"/>
      <c r="I4" s="5"/>
      <c r="J4" s="31"/>
      <c r="M4" s="40" t="s">
        <v>60</v>
      </c>
      <c r="O4">
        <v>8</v>
      </c>
      <c r="P4" t="s">
        <v>55</v>
      </c>
      <c r="Q4" s="34"/>
      <c r="S4" s="40" t="s">
        <v>60</v>
      </c>
      <c r="U4">
        <v>8</v>
      </c>
      <c r="V4" t="s">
        <v>55</v>
      </c>
      <c r="W4" s="34"/>
    </row>
    <row r="5" spans="1:27" x14ac:dyDescent="0.3">
      <c r="A5" s="32"/>
      <c r="B5" s="4"/>
      <c r="C5" s="3"/>
      <c r="D5" s="46"/>
      <c r="E5" s="46"/>
      <c r="F5" s="46"/>
      <c r="G5" s="46"/>
      <c r="H5" s="3"/>
      <c r="I5" s="5"/>
      <c r="J5" s="31"/>
      <c r="M5" s="40" t="s">
        <v>61</v>
      </c>
      <c r="O5">
        <v>2</v>
      </c>
      <c r="Q5" s="34"/>
      <c r="S5" s="40" t="s">
        <v>61</v>
      </c>
      <c r="U5">
        <v>2</v>
      </c>
      <c r="W5" s="34"/>
    </row>
    <row r="6" spans="1:27" x14ac:dyDescent="0.3">
      <c r="A6" s="33"/>
      <c r="B6" s="4"/>
      <c r="C6" s="3"/>
      <c r="D6" s="46"/>
      <c r="E6" s="46"/>
      <c r="F6" s="46"/>
      <c r="G6" s="46"/>
      <c r="H6" s="3"/>
      <c r="I6" s="5"/>
      <c r="J6" s="31"/>
      <c r="M6" s="40" t="s">
        <v>62</v>
      </c>
      <c r="O6">
        <f>(((PI()*O4*O4/4)*O5)/O3)*1000</f>
        <v>101.03614564308883</v>
      </c>
      <c r="P6" t="s">
        <v>55</v>
      </c>
      <c r="Q6" s="34"/>
      <c r="S6" s="40" t="s">
        <v>62</v>
      </c>
      <c r="U6">
        <f>(((PI()*U4*U4/4)*U5)/U3)*1000</f>
        <v>169.52945179573925</v>
      </c>
      <c r="V6" t="s">
        <v>55</v>
      </c>
      <c r="W6" s="34"/>
    </row>
    <row r="7" spans="1:27" x14ac:dyDescent="0.3">
      <c r="A7" s="33"/>
      <c r="B7" s="4"/>
      <c r="C7" s="3"/>
      <c r="D7" s="46"/>
      <c r="E7" s="46"/>
      <c r="F7" s="46"/>
      <c r="G7" s="46"/>
      <c r="H7" s="3"/>
      <c r="I7" s="5"/>
      <c r="J7" s="31"/>
      <c r="M7" s="40" t="s">
        <v>64</v>
      </c>
      <c r="O7">
        <v>100</v>
      </c>
      <c r="P7" t="str">
        <f>IF(O6&gt;=O7, "OK", "NOT OK")</f>
        <v>OK</v>
      </c>
      <c r="Q7" s="34"/>
      <c r="S7" s="40" t="s">
        <v>64</v>
      </c>
      <c r="U7">
        <v>150</v>
      </c>
      <c r="V7" t="str">
        <f>IF(U6&gt;=U7, "OK", "NOT OK")</f>
        <v>OK</v>
      </c>
      <c r="W7" s="34"/>
    </row>
    <row r="8" spans="1:27" ht="15" thickBot="1" x14ac:dyDescent="0.35">
      <c r="A8" s="33"/>
      <c r="B8" s="4"/>
      <c r="C8" s="3"/>
      <c r="D8" s="4"/>
      <c r="E8" s="4"/>
      <c r="F8" s="4"/>
      <c r="G8" s="4"/>
      <c r="H8" s="3"/>
      <c r="I8" s="5"/>
      <c r="J8" s="31"/>
      <c r="M8" s="41"/>
      <c r="N8" s="35"/>
      <c r="O8" s="37" t="str">
        <f>CONCATENATE(O5,"L-",O4,"mm bars @",O7,"mm C/C")</f>
        <v>2L-8mm bars @100mm C/C</v>
      </c>
      <c r="P8" s="37"/>
      <c r="Q8" s="38"/>
      <c r="S8" s="41"/>
      <c r="T8" s="35"/>
      <c r="U8" s="37" t="str">
        <f>CONCATENATE(U5,"L-",U4,"mm bars @",U7,"mm C/C")</f>
        <v>2L-8mm bars @150mm C/C</v>
      </c>
      <c r="V8" s="37"/>
      <c r="W8" s="38"/>
    </row>
    <row r="9" spans="1:27" x14ac:dyDescent="0.3">
      <c r="A9" s="32"/>
      <c r="B9" s="4"/>
      <c r="C9" s="3"/>
      <c r="D9" s="46"/>
      <c r="E9" s="46"/>
      <c r="F9" s="46"/>
      <c r="G9" s="46"/>
      <c r="H9" s="3"/>
      <c r="I9" s="5"/>
      <c r="J9" s="31"/>
    </row>
    <row r="10" spans="1:27" ht="15" thickBot="1" x14ac:dyDescent="0.35">
      <c r="A10" s="33"/>
      <c r="B10" s="4"/>
      <c r="C10" s="3"/>
      <c r="D10" s="46"/>
      <c r="E10" s="46"/>
      <c r="F10" s="46"/>
      <c r="G10" s="46"/>
      <c r="H10" s="3"/>
      <c r="I10" s="5"/>
      <c r="J10" s="31"/>
    </row>
    <row r="11" spans="1:27" x14ac:dyDescent="0.3">
      <c r="A11" s="33"/>
      <c r="B11" s="4"/>
      <c r="C11" s="3"/>
      <c r="D11" s="46"/>
      <c r="E11" s="46"/>
      <c r="F11" s="46"/>
      <c r="G11" s="46"/>
      <c r="H11" s="3"/>
      <c r="I11" s="5"/>
      <c r="J11" s="31"/>
      <c r="M11" s="74" t="s">
        <v>73</v>
      </c>
      <c r="N11" s="75"/>
      <c r="O11" s="75"/>
      <c r="P11" s="75"/>
      <c r="Q11" s="75"/>
      <c r="R11" s="75"/>
      <c r="S11" s="76"/>
    </row>
    <row r="12" spans="1:27" x14ac:dyDescent="0.3">
      <c r="A12" s="33"/>
      <c r="B12" s="4"/>
      <c r="C12" s="3"/>
      <c r="D12" s="4"/>
      <c r="E12" s="4"/>
      <c r="F12" s="4"/>
      <c r="G12" s="4"/>
      <c r="H12" s="3"/>
      <c r="I12" s="5"/>
      <c r="J12" s="31"/>
      <c r="M12" s="33"/>
      <c r="N12" s="49" t="s">
        <v>65</v>
      </c>
      <c r="O12" s="51" t="s">
        <v>68</v>
      </c>
      <c r="P12" s="52"/>
      <c r="Q12" s="52"/>
      <c r="R12" s="52"/>
      <c r="S12" s="53"/>
    </row>
    <row r="13" spans="1:27" x14ac:dyDescent="0.3">
      <c r="A13" s="32" t="s">
        <v>78</v>
      </c>
      <c r="B13" s="4" t="s">
        <v>72</v>
      </c>
      <c r="C13" s="3">
        <v>295</v>
      </c>
      <c r="D13" s="46">
        <v>2</v>
      </c>
      <c r="E13" s="46">
        <v>16</v>
      </c>
      <c r="F13" s="46"/>
      <c r="G13" s="46"/>
      <c r="H13" s="3">
        <f>D13*(3.14*(E13^2)/4)+F13*(3.14*(G13^2)/4)</f>
        <v>401.92</v>
      </c>
      <c r="I13" s="5">
        <f>H13/(450*300)*100</f>
        <v>0.29771851851851849</v>
      </c>
      <c r="J13" s="31" t="s">
        <v>56</v>
      </c>
      <c r="K13" t="str">
        <f t="shared" ref="K13:K14" si="0">IF(H13&gt;=C13,"OK","NOT OK")</f>
        <v>OK</v>
      </c>
      <c r="L13" t="s">
        <v>90</v>
      </c>
      <c r="M13" s="33"/>
      <c r="N13" s="50"/>
      <c r="O13" s="39" t="s">
        <v>69</v>
      </c>
      <c r="P13" s="39" t="s">
        <v>20</v>
      </c>
      <c r="Q13" s="39" t="s">
        <v>70</v>
      </c>
      <c r="R13" s="39" t="s">
        <v>20</v>
      </c>
      <c r="S13" s="43" t="s">
        <v>71</v>
      </c>
    </row>
    <row r="14" spans="1:27" x14ac:dyDescent="0.3">
      <c r="A14" s="33"/>
      <c r="B14" s="4"/>
      <c r="C14" s="3">
        <v>295</v>
      </c>
      <c r="D14" s="46"/>
      <c r="E14" s="46"/>
      <c r="F14" s="46">
        <v>2</v>
      </c>
      <c r="G14" s="46">
        <v>16</v>
      </c>
      <c r="H14" s="3">
        <f>D14*(3.14*E14^2/4)+F14*(3.14*G14^2/4)</f>
        <v>401.92</v>
      </c>
      <c r="I14" s="5">
        <f t="shared" ref="I14:I15" si="1">H14/(450*300)*100</f>
        <v>0.29771851851851849</v>
      </c>
      <c r="J14" s="31" t="s">
        <v>57</v>
      </c>
      <c r="K14" t="str">
        <f t="shared" si="0"/>
        <v>OK</v>
      </c>
      <c r="M14" s="30" t="s">
        <v>66</v>
      </c>
      <c r="N14" s="4">
        <v>171</v>
      </c>
      <c r="O14" s="4">
        <v>3</v>
      </c>
      <c r="P14" s="4">
        <v>12</v>
      </c>
      <c r="Q14" s="4"/>
      <c r="R14" s="4"/>
      <c r="S14" s="31">
        <f>(PI()*P14^2/4)*O14+(PI()*R14^2/4)*Q14</f>
        <v>339.29200658769764</v>
      </c>
      <c r="T14" t="str">
        <f>IF(S14&gt;=N14,"OK","NOT OK")</f>
        <v>OK</v>
      </c>
      <c r="AA14" s="48"/>
    </row>
    <row r="15" spans="1:27" ht="15" thickBot="1" x14ac:dyDescent="0.35">
      <c r="A15" s="33"/>
      <c r="B15" s="4"/>
      <c r="C15" s="3">
        <f>359-H13</f>
        <v>-42.920000000000016</v>
      </c>
      <c r="D15" s="46">
        <v>1</v>
      </c>
      <c r="E15" s="46">
        <v>12</v>
      </c>
      <c r="F15" s="46"/>
      <c r="G15" s="46"/>
      <c r="H15" s="3">
        <f t="shared" ref="H15" si="2">D15*(3.14*E15^2/4)+F15*(3.14*G15^2/4)</f>
        <v>113.04</v>
      </c>
      <c r="I15" s="5">
        <f t="shared" si="1"/>
        <v>8.373333333333334E-2</v>
      </c>
      <c r="J15" s="31" t="s">
        <v>58</v>
      </c>
      <c r="K15" t="str">
        <f>IF(H15&gt;=C15,"OK","NOT OK")</f>
        <v>OK</v>
      </c>
      <c r="M15" s="44" t="s">
        <v>67</v>
      </c>
      <c r="N15" s="36">
        <v>171</v>
      </c>
      <c r="O15" s="36">
        <v>3</v>
      </c>
      <c r="P15" s="36">
        <v>12</v>
      </c>
      <c r="Q15" s="36"/>
      <c r="R15" s="36"/>
      <c r="S15" s="45">
        <f>(PI()*P15^2/4)*O15+(PI()*R15^2/4)*Q15</f>
        <v>339.29200658769764</v>
      </c>
      <c r="T15" t="str">
        <f>IF(S15&gt;=N15,"OK","NOT OK")</f>
        <v>OK</v>
      </c>
    </row>
    <row r="16" spans="1:27" x14ac:dyDescent="0.3">
      <c r="A16" s="33"/>
      <c r="B16" s="4"/>
      <c r="C16" s="3"/>
      <c r="D16" s="4"/>
      <c r="E16" s="4"/>
      <c r="F16" s="4"/>
      <c r="G16" s="4"/>
      <c r="H16" s="3"/>
      <c r="I16" s="5"/>
      <c r="J16" s="31"/>
    </row>
    <row r="17" spans="1:12" x14ac:dyDescent="0.3">
      <c r="A17" s="32" t="s">
        <v>79</v>
      </c>
      <c r="B17" s="4" t="s">
        <v>72</v>
      </c>
      <c r="C17" s="3">
        <v>295</v>
      </c>
      <c r="D17" s="46">
        <v>2</v>
      </c>
      <c r="E17" s="46">
        <v>16</v>
      </c>
      <c r="F17" s="46"/>
      <c r="G17" s="46"/>
      <c r="H17" s="3">
        <f>D17*(3.14*(E17^2)/4)+F17*(3.14*(G17^2)/4)</f>
        <v>401.92</v>
      </c>
      <c r="I17" s="5">
        <f>H17/(450*300)*100</f>
        <v>0.29771851851851849</v>
      </c>
      <c r="J17" s="31" t="s">
        <v>56</v>
      </c>
      <c r="K17" t="str">
        <f t="shared" ref="K17:K18" si="3">IF(H17&gt;=C17,"OK","NOT OK")</f>
        <v>OK</v>
      </c>
      <c r="L17" t="s">
        <v>90</v>
      </c>
    </row>
    <row r="18" spans="1:12" x14ac:dyDescent="0.3">
      <c r="A18" s="33"/>
      <c r="B18" s="4"/>
      <c r="C18" s="3">
        <v>295</v>
      </c>
      <c r="D18" s="46"/>
      <c r="E18" s="46"/>
      <c r="F18" s="46">
        <v>2</v>
      </c>
      <c r="G18" s="46">
        <v>16</v>
      </c>
      <c r="H18" s="3">
        <f>D18*(3.14*E18^2/4)+F18*(3.14*G18^2/4)</f>
        <v>401.92</v>
      </c>
      <c r="I18" s="5">
        <f t="shared" ref="I18:I19" si="4">H18/(450*300)*100</f>
        <v>0.29771851851851849</v>
      </c>
      <c r="J18" s="31" t="s">
        <v>57</v>
      </c>
      <c r="K18" t="str">
        <f t="shared" si="3"/>
        <v>OK</v>
      </c>
    </row>
    <row r="19" spans="1:12" x14ac:dyDescent="0.3">
      <c r="A19" s="33"/>
      <c r="B19" s="4"/>
      <c r="C19" s="3">
        <f>335-H17</f>
        <v>-66.920000000000016</v>
      </c>
      <c r="D19" s="46">
        <v>1</v>
      </c>
      <c r="E19" s="46">
        <v>12</v>
      </c>
      <c r="F19" s="46"/>
      <c r="G19" s="46"/>
      <c r="H19" s="3">
        <f t="shared" ref="H19" si="5">D19*(3.14*E19^2/4)+F19*(3.14*G19^2/4)</f>
        <v>113.04</v>
      </c>
      <c r="I19" s="5">
        <f t="shared" si="4"/>
        <v>8.373333333333334E-2</v>
      </c>
      <c r="J19" s="31" t="s">
        <v>58</v>
      </c>
      <c r="K19" t="str">
        <f>IF(H19&gt;=C19,"OK","NOT OK")</f>
        <v>OK</v>
      </c>
    </row>
    <row r="20" spans="1:12" x14ac:dyDescent="0.3">
      <c r="A20" s="33"/>
      <c r="B20" s="4"/>
      <c r="C20" s="3"/>
      <c r="D20" s="4"/>
      <c r="E20" s="4"/>
      <c r="F20" s="4"/>
      <c r="G20" s="4"/>
      <c r="H20" s="3"/>
      <c r="I20" s="5"/>
      <c r="J20" s="31"/>
    </row>
    <row r="21" spans="1:12" x14ac:dyDescent="0.3">
      <c r="A21" s="32" t="s">
        <v>80</v>
      </c>
      <c r="B21" s="4" t="s">
        <v>72</v>
      </c>
      <c r="C21" s="3">
        <v>295</v>
      </c>
      <c r="D21" s="46">
        <v>2</v>
      </c>
      <c r="E21" s="46">
        <v>16</v>
      </c>
      <c r="F21" s="46"/>
      <c r="G21" s="46"/>
      <c r="H21" s="3">
        <f>D21*(3.14*(E21^2)/4)+F21*(3.14*(G21^2)/4)</f>
        <v>401.92</v>
      </c>
      <c r="I21" s="5">
        <f>H21/(450*300)*100</f>
        <v>0.29771851851851849</v>
      </c>
      <c r="J21" s="31" t="s">
        <v>56</v>
      </c>
      <c r="K21" t="str">
        <f t="shared" ref="K21:K22" si="6">IF(H21&gt;=C21,"OK","NOT OK")</f>
        <v>OK</v>
      </c>
      <c r="L21" t="s">
        <v>90</v>
      </c>
    </row>
    <row r="22" spans="1:12" x14ac:dyDescent="0.3">
      <c r="A22" s="33"/>
      <c r="B22" s="4"/>
      <c r="C22" s="3">
        <v>295</v>
      </c>
      <c r="D22" s="46"/>
      <c r="E22" s="46"/>
      <c r="F22" s="46">
        <v>2</v>
      </c>
      <c r="G22" s="46">
        <v>16</v>
      </c>
      <c r="H22" s="3">
        <f>D22*(3.14*E22^2/4)+F22*(3.14*G22^2/4)</f>
        <v>401.92</v>
      </c>
      <c r="I22" s="5">
        <f t="shared" ref="I22:I23" si="7">H22/(450*300)*100</f>
        <v>0.29771851851851849</v>
      </c>
      <c r="J22" s="31" t="s">
        <v>57</v>
      </c>
      <c r="K22" t="str">
        <f t="shared" si="6"/>
        <v>OK</v>
      </c>
    </row>
    <row r="23" spans="1:12" x14ac:dyDescent="0.3">
      <c r="A23" s="33"/>
      <c r="B23" s="4"/>
      <c r="C23" s="3">
        <f>367-H21</f>
        <v>-34.920000000000016</v>
      </c>
      <c r="D23" s="46">
        <v>1</v>
      </c>
      <c r="E23" s="46">
        <v>12</v>
      </c>
      <c r="F23" s="46"/>
      <c r="G23" s="46"/>
      <c r="H23" s="3">
        <f t="shared" ref="H23" si="8">D23*(3.14*E23^2/4)+F23*(3.14*G23^2/4)</f>
        <v>113.04</v>
      </c>
      <c r="I23" s="5">
        <f t="shared" si="7"/>
        <v>8.373333333333334E-2</v>
      </c>
      <c r="J23" s="31" t="s">
        <v>58</v>
      </c>
      <c r="K23" t="str">
        <f>IF(H23&gt;=C23,"OK","NOT OK")</f>
        <v>OK</v>
      </c>
    </row>
    <row r="24" spans="1:12" x14ac:dyDescent="0.3">
      <c r="A24" s="33"/>
      <c r="B24" s="4"/>
      <c r="C24" s="3"/>
      <c r="D24" s="4"/>
      <c r="E24" s="4"/>
      <c r="F24" s="4"/>
      <c r="G24" s="4"/>
      <c r="H24" s="3"/>
      <c r="I24" s="5"/>
      <c r="J24" s="31"/>
    </row>
    <row r="25" spans="1:12" x14ac:dyDescent="0.3">
      <c r="A25" s="32"/>
      <c r="B25" s="4"/>
      <c r="C25" s="3"/>
      <c r="D25" s="46"/>
      <c r="E25" s="46"/>
      <c r="F25" s="46"/>
      <c r="G25" s="46"/>
      <c r="H25" s="3"/>
      <c r="I25" s="5"/>
      <c r="J25" s="31"/>
    </row>
    <row r="26" spans="1:12" x14ac:dyDescent="0.3">
      <c r="A26" s="33"/>
      <c r="B26" s="4"/>
      <c r="C26" s="3"/>
      <c r="D26" s="46"/>
      <c r="E26" s="46"/>
      <c r="F26" s="46"/>
      <c r="G26" s="46"/>
      <c r="H26" s="3"/>
      <c r="I26" s="5"/>
      <c r="J26" s="31"/>
    </row>
    <row r="27" spans="1:12" x14ac:dyDescent="0.3">
      <c r="A27" s="33"/>
      <c r="B27" s="4"/>
      <c r="C27" s="3"/>
      <c r="D27" s="46"/>
      <c r="E27" s="46"/>
      <c r="F27" s="46"/>
      <c r="G27" s="46"/>
      <c r="H27" s="3"/>
      <c r="I27" s="5"/>
      <c r="J27" s="31"/>
    </row>
    <row r="28" spans="1:12" x14ac:dyDescent="0.3">
      <c r="A28" s="33"/>
      <c r="B28" s="4"/>
      <c r="C28" s="3"/>
      <c r="D28" s="4"/>
      <c r="E28" s="4"/>
      <c r="F28" s="4"/>
      <c r="G28" s="4"/>
      <c r="H28" s="3"/>
      <c r="I28" s="5"/>
      <c r="J28" s="31"/>
    </row>
    <row r="29" spans="1:12" x14ac:dyDescent="0.3">
      <c r="A29" s="32" t="s">
        <v>82</v>
      </c>
      <c r="B29" s="4" t="s">
        <v>72</v>
      </c>
      <c r="C29" s="3">
        <v>295</v>
      </c>
      <c r="D29" s="46">
        <v>2</v>
      </c>
      <c r="E29" s="46">
        <v>16</v>
      </c>
      <c r="F29" s="46"/>
      <c r="G29" s="46"/>
      <c r="H29" s="3">
        <f>D29*(3.14*(E29^2)/4)+F29*(3.14*(G29^2)/4)</f>
        <v>401.92</v>
      </c>
      <c r="I29" s="5">
        <f>H29/(450*300)*100</f>
        <v>0.29771851851851849</v>
      </c>
      <c r="J29" s="31" t="s">
        <v>56</v>
      </c>
      <c r="K29" t="str">
        <f t="shared" ref="K29:K30" si="9">IF(H29&gt;=C29,"OK","NOT OK")</f>
        <v>OK</v>
      </c>
      <c r="L29" t="s">
        <v>96</v>
      </c>
    </row>
    <row r="30" spans="1:12" x14ac:dyDescent="0.3">
      <c r="A30" s="33"/>
      <c r="B30" s="4"/>
      <c r="C30" s="3">
        <v>295</v>
      </c>
      <c r="D30" s="46"/>
      <c r="E30" s="46"/>
      <c r="F30" s="46">
        <v>2</v>
      </c>
      <c r="G30" s="46">
        <v>16</v>
      </c>
      <c r="H30" s="3">
        <f>D30*(3.14*E30^2/4)+F30*(3.14*G30^2/4)</f>
        <v>401.92</v>
      </c>
      <c r="I30" s="5">
        <f t="shared" ref="I30:I31" si="10">H30/(450*300)*100</f>
        <v>0.29771851851851849</v>
      </c>
      <c r="J30" s="31" t="s">
        <v>57</v>
      </c>
      <c r="K30" t="str">
        <f t="shared" si="9"/>
        <v>OK</v>
      </c>
    </row>
    <row r="31" spans="1:12" x14ac:dyDescent="0.3">
      <c r="A31" s="33"/>
      <c r="B31" s="4"/>
      <c r="C31" s="3">
        <f>295-H29</f>
        <v>-106.92000000000002</v>
      </c>
      <c r="D31" s="46">
        <v>1</v>
      </c>
      <c r="E31" s="46">
        <v>12</v>
      </c>
      <c r="F31" s="46"/>
      <c r="G31" s="46"/>
      <c r="H31" s="3">
        <f t="shared" ref="H31" si="11">D31*(3.14*E31^2/4)+F31*(3.14*G31^2/4)</f>
        <v>113.04</v>
      </c>
      <c r="I31" s="5">
        <f t="shared" si="10"/>
        <v>8.373333333333334E-2</v>
      </c>
      <c r="J31" s="31" t="s">
        <v>58</v>
      </c>
      <c r="K31" t="str">
        <f>IF(H31&gt;=C31,"OK","NOT OK")</f>
        <v>OK</v>
      </c>
    </row>
    <row r="32" spans="1:12" x14ac:dyDescent="0.3">
      <c r="A32" s="33"/>
      <c r="B32" s="4"/>
      <c r="C32" s="3"/>
      <c r="D32" s="4"/>
      <c r="E32" s="4"/>
      <c r="F32" s="4"/>
      <c r="G32" s="4"/>
      <c r="H32" s="3"/>
      <c r="I32" s="5"/>
      <c r="J32" s="31"/>
    </row>
    <row r="33" spans="1:15" x14ac:dyDescent="0.3">
      <c r="A33" s="32" t="s">
        <v>83</v>
      </c>
      <c r="B33" s="4" t="s">
        <v>72</v>
      </c>
      <c r="C33" s="3">
        <v>295</v>
      </c>
      <c r="D33" s="46">
        <v>2</v>
      </c>
      <c r="E33" s="46">
        <v>16</v>
      </c>
      <c r="F33" s="46"/>
      <c r="G33" s="46"/>
      <c r="H33" s="3">
        <f>D33*(3.14*(E33^2)/4)+F33*(3.14*(G33^2)/4)</f>
        <v>401.92</v>
      </c>
      <c r="I33" s="5">
        <f>H33/(450*300)*100</f>
        <v>0.29771851851851849</v>
      </c>
      <c r="J33" s="31" t="s">
        <v>56</v>
      </c>
      <c r="K33" t="str">
        <f t="shared" ref="K33:K34" si="12">IF(H33&gt;=C33,"OK","NOT OK")</f>
        <v>OK</v>
      </c>
    </row>
    <row r="34" spans="1:15" x14ac:dyDescent="0.3">
      <c r="A34" s="33"/>
      <c r="B34" s="4"/>
      <c r="C34" s="3">
        <v>295</v>
      </c>
      <c r="D34" s="46"/>
      <c r="E34" s="46"/>
      <c r="F34" s="46">
        <v>2</v>
      </c>
      <c r="G34" s="46">
        <v>16</v>
      </c>
      <c r="H34" s="3">
        <f>D34*(3.14*E34^2/4)+F34*(3.14*G34^2/4)</f>
        <v>401.92</v>
      </c>
      <c r="I34" s="5">
        <f t="shared" ref="I34:I35" si="13">H34/(450*300)*100</f>
        <v>0.29771851851851849</v>
      </c>
      <c r="J34" s="31" t="s">
        <v>57</v>
      </c>
      <c r="K34" t="str">
        <f t="shared" si="12"/>
        <v>OK</v>
      </c>
      <c r="O34" s="47"/>
    </row>
    <row r="35" spans="1:15" x14ac:dyDescent="0.3">
      <c r="A35" s="33"/>
      <c r="B35" s="4"/>
      <c r="C35" s="3">
        <f>295-H33</f>
        <v>-106.92000000000002</v>
      </c>
      <c r="D35" s="46">
        <v>1</v>
      </c>
      <c r="E35" s="46">
        <v>12</v>
      </c>
      <c r="F35" s="46"/>
      <c r="G35" s="46"/>
      <c r="H35" s="3">
        <f t="shared" ref="H35" si="14">D35*(3.14*E35^2/4)+F35*(3.14*G35^2/4)</f>
        <v>113.04</v>
      </c>
      <c r="I35" s="5">
        <f t="shared" si="13"/>
        <v>8.373333333333334E-2</v>
      </c>
      <c r="J35" s="31" t="s">
        <v>58</v>
      </c>
      <c r="K35" t="str">
        <f>IF(H35&gt;=C35,"OK","NOT OK")</f>
        <v>OK</v>
      </c>
    </row>
    <row r="36" spans="1:15" x14ac:dyDescent="0.3">
      <c r="A36" s="33"/>
      <c r="B36" s="4"/>
      <c r="C36" s="3"/>
      <c r="D36" s="4"/>
      <c r="E36" s="4"/>
      <c r="F36" s="4"/>
      <c r="G36" s="4"/>
      <c r="H36" s="3"/>
      <c r="I36" s="5"/>
      <c r="J36" s="31"/>
    </row>
    <row r="37" spans="1:15" x14ac:dyDescent="0.3">
      <c r="A37" s="32"/>
      <c r="B37" s="4"/>
      <c r="C37" s="3"/>
      <c r="D37" s="46"/>
      <c r="E37" s="46"/>
      <c r="F37" s="46"/>
      <c r="G37" s="46"/>
      <c r="H37" s="3"/>
      <c r="I37" s="5"/>
      <c r="J37" s="31"/>
    </row>
    <row r="38" spans="1:15" x14ac:dyDescent="0.3">
      <c r="A38" s="33"/>
      <c r="B38" s="4"/>
      <c r="C38" s="3"/>
      <c r="D38" s="46"/>
      <c r="E38" s="46"/>
      <c r="F38" s="46"/>
      <c r="G38" s="46"/>
      <c r="H38" s="3"/>
      <c r="I38" s="5"/>
      <c r="J38" s="31"/>
    </row>
    <row r="39" spans="1:15" x14ac:dyDescent="0.3">
      <c r="A39" s="33"/>
      <c r="B39" s="4"/>
      <c r="C39" s="3"/>
      <c r="D39" s="46"/>
      <c r="E39" s="46"/>
      <c r="F39" s="46"/>
      <c r="G39" s="46"/>
      <c r="H39" s="3"/>
      <c r="I39" s="5"/>
      <c r="J39" s="31"/>
    </row>
    <row r="40" spans="1:15" ht="15" thickBot="1" x14ac:dyDescent="0.35">
      <c r="A40" s="54"/>
      <c r="B40" s="36"/>
      <c r="C40" s="55"/>
      <c r="D40" s="36"/>
      <c r="E40" s="36"/>
      <c r="F40" s="36"/>
      <c r="G40" s="36"/>
      <c r="H40" s="55"/>
      <c r="I40" s="56"/>
      <c r="J40" s="45"/>
    </row>
  </sheetData>
  <mergeCells count="11">
    <mergeCell ref="M2:Q2"/>
    <mergeCell ref="S2:W2"/>
    <mergeCell ref="M11:S11"/>
    <mergeCell ref="A1:J1"/>
    <mergeCell ref="A2:A3"/>
    <mergeCell ref="B2:B3"/>
    <mergeCell ref="C2:C3"/>
    <mergeCell ref="D2:G2"/>
    <mergeCell ref="H2:H3"/>
    <mergeCell ref="I2:I3"/>
    <mergeCell ref="J2:J3"/>
  </mergeCells>
  <conditionalFormatting sqref="A1:K1 M2 R2 A9:B11 A24:L24 L33:XFD39 A40:XFD1048576 A12:L12 L13:L15 A32:L32 L25:L31 U17:XFD24 Y25:XFD32 L23 M15:X15 M12:T14 A2:L4 L5:L11 M3:W9 X1:X14 Y1:XFD15 V10:W14 A16:XFD16 C20:K20">
    <cfRule type="containsText" dxfId="112" priority="136" operator="containsText" text="NOT OK">
      <formula>NOT(ISERROR(SEARCH("NOT OK",A1)))</formula>
    </cfRule>
    <cfRule type="containsText" dxfId="111" priority="137" operator="containsText" text="OK">
      <formula>NOT(ISERROR(SEARCH("OK",A1)))</formula>
    </cfRule>
  </conditionalFormatting>
  <conditionalFormatting sqref="M11 N12:O12 O13:S13 M14:T15">
    <cfRule type="containsText" dxfId="110" priority="133" operator="containsText" text="NOT OK">
      <formula>NOT(ISERROR(SEARCH("NOT OK",M11)))</formula>
    </cfRule>
    <cfRule type="containsText" dxfId="109" priority="134" operator="containsText" text="NG">
      <formula>NOT(ISERROR(SEARCH("NG",M11)))</formula>
    </cfRule>
    <cfRule type="containsText" dxfId="108" priority="135" operator="containsText" text="OK">
      <formula>NOT(ISERROR(SEARCH("OK",M11)))</formula>
    </cfRule>
  </conditionalFormatting>
  <conditionalFormatting sqref="S2">
    <cfRule type="containsText" dxfId="107" priority="131" operator="containsText" text="NOT OK">
      <formula>NOT(ISERROR(SEARCH("NOT OK",S2)))</formula>
    </cfRule>
    <cfRule type="containsText" dxfId="106" priority="132" operator="containsText" text="OK">
      <formula>NOT(ISERROR(SEARCH("OK",S2)))</formula>
    </cfRule>
  </conditionalFormatting>
  <conditionalFormatting sqref="A13:A15">
    <cfRule type="containsText" dxfId="105" priority="129" operator="containsText" text="NOT OK">
      <formula>NOT(ISERROR(SEARCH("NOT OK",A13)))</formula>
    </cfRule>
    <cfRule type="containsText" dxfId="104" priority="130" operator="containsText" text="OK">
      <formula>NOT(ISERROR(SEARCH("OK",A13)))</formula>
    </cfRule>
  </conditionalFormatting>
  <conditionalFormatting sqref="B14:B15">
    <cfRule type="containsText" dxfId="103" priority="127" operator="containsText" text="NOT OK">
      <formula>NOT(ISERROR(SEARCH("NOT OK",B14)))</formula>
    </cfRule>
    <cfRule type="containsText" dxfId="102" priority="128" operator="containsText" text="OK">
      <formula>NOT(ISERROR(SEARCH("OK",B14)))</formula>
    </cfRule>
  </conditionalFormatting>
  <conditionalFormatting sqref="A20:K20">
    <cfRule type="containsText" dxfId="101" priority="125" operator="containsText" text="NOT OK">
      <formula>NOT(ISERROR(SEARCH("NOT OK",A20)))</formula>
    </cfRule>
    <cfRule type="containsText" dxfId="100" priority="126" operator="containsText" text="OK">
      <formula>NOT(ISERROR(SEARCH("OK",A20)))</formula>
    </cfRule>
  </conditionalFormatting>
  <conditionalFormatting sqref="A28:K28">
    <cfRule type="containsText" dxfId="99" priority="123" operator="containsText" text="NOT OK">
      <formula>NOT(ISERROR(SEARCH("NOT OK",A28)))</formula>
    </cfRule>
    <cfRule type="containsText" dxfId="98" priority="124" operator="containsText" text="OK">
      <formula>NOT(ISERROR(SEARCH("OK",A28)))</formula>
    </cfRule>
  </conditionalFormatting>
  <conditionalFormatting sqref="A29:A31">
    <cfRule type="containsText" dxfId="97" priority="121" operator="containsText" text="NOT OK">
      <formula>NOT(ISERROR(SEARCH("NOT OK",A29)))</formula>
    </cfRule>
    <cfRule type="containsText" dxfId="96" priority="122" operator="containsText" text="OK">
      <formula>NOT(ISERROR(SEARCH("OK",A29)))</formula>
    </cfRule>
  </conditionalFormatting>
  <conditionalFormatting sqref="A36:K36 A33:A35">
    <cfRule type="containsText" dxfId="95" priority="119" operator="containsText" text="NOT OK">
      <formula>NOT(ISERROR(SEARCH("NOT OK",A33)))</formula>
    </cfRule>
    <cfRule type="containsText" dxfId="94" priority="120" operator="containsText" text="OK">
      <formula>NOT(ISERROR(SEARCH("OK",A33)))</formula>
    </cfRule>
  </conditionalFormatting>
  <conditionalFormatting sqref="A37:A39">
    <cfRule type="containsText" dxfId="93" priority="117" operator="containsText" text="NOT OK">
      <formula>NOT(ISERROR(SEARCH("NOT OK",A37)))</formula>
    </cfRule>
    <cfRule type="containsText" dxfId="92" priority="118" operator="containsText" text="OK">
      <formula>NOT(ISERROR(SEARCH("OK",A37)))</formula>
    </cfRule>
  </conditionalFormatting>
  <conditionalFormatting sqref="A8:K8">
    <cfRule type="containsText" dxfId="91" priority="115" operator="containsText" text="NOT OK">
      <formula>NOT(ISERROR(SEARCH("NOT OK",A8)))</formula>
    </cfRule>
    <cfRule type="containsText" dxfId="90" priority="116" operator="containsText" text="OK">
      <formula>NOT(ISERROR(SEARCH("OK",A8)))</formula>
    </cfRule>
  </conditionalFormatting>
  <conditionalFormatting sqref="B34:B35">
    <cfRule type="containsText" dxfId="89" priority="89" operator="containsText" text="NOT OK">
      <formula>NOT(ISERROR(SEARCH("NOT OK",B34)))</formula>
    </cfRule>
    <cfRule type="containsText" dxfId="88" priority="90" operator="containsText" text="OK">
      <formula>NOT(ISERROR(SEARCH("OK",B34)))</formula>
    </cfRule>
  </conditionalFormatting>
  <conditionalFormatting sqref="B17">
    <cfRule type="containsText" dxfId="87" priority="107" operator="containsText" text="NOT OK">
      <formula>NOT(ISERROR(SEARCH("NOT OK",B17)))</formula>
    </cfRule>
    <cfRule type="containsText" dxfId="86" priority="108" operator="containsText" text="OK">
      <formula>NOT(ISERROR(SEARCH("OK",B17)))</formula>
    </cfRule>
  </conditionalFormatting>
  <conditionalFormatting sqref="B13">
    <cfRule type="containsText" dxfId="85" priority="113" operator="containsText" text="NOT OK">
      <formula>NOT(ISERROR(SEARCH("NOT OK",B13)))</formula>
    </cfRule>
    <cfRule type="containsText" dxfId="84" priority="114" operator="containsText" text="OK">
      <formula>NOT(ISERROR(SEARCH("OK",B13)))</formula>
    </cfRule>
  </conditionalFormatting>
  <conditionalFormatting sqref="A17:A19">
    <cfRule type="containsText" dxfId="83" priority="111" operator="containsText" text="NOT OK">
      <formula>NOT(ISERROR(SEARCH("NOT OK",A17)))</formula>
    </cfRule>
    <cfRule type="containsText" dxfId="82" priority="112" operator="containsText" text="OK">
      <formula>NOT(ISERROR(SEARCH("OK",A17)))</formula>
    </cfRule>
  </conditionalFormatting>
  <conditionalFormatting sqref="B18:B19">
    <cfRule type="containsText" dxfId="81" priority="109" operator="containsText" text="NOT OK">
      <formula>NOT(ISERROR(SEARCH("NOT OK",B18)))</formula>
    </cfRule>
    <cfRule type="containsText" dxfId="80" priority="110" operator="containsText" text="OK">
      <formula>NOT(ISERROR(SEARCH("OK",B18)))</formula>
    </cfRule>
  </conditionalFormatting>
  <conditionalFormatting sqref="A21:A23">
    <cfRule type="containsText" dxfId="79" priority="105" operator="containsText" text="NOT OK">
      <formula>NOT(ISERROR(SEARCH("NOT OK",A21)))</formula>
    </cfRule>
    <cfRule type="containsText" dxfId="78" priority="106" operator="containsText" text="OK">
      <formula>NOT(ISERROR(SEARCH("OK",A21)))</formula>
    </cfRule>
  </conditionalFormatting>
  <conditionalFormatting sqref="B22:B23">
    <cfRule type="containsText" dxfId="77" priority="103" operator="containsText" text="NOT OK">
      <formula>NOT(ISERROR(SEARCH("NOT OK",B22)))</formula>
    </cfRule>
    <cfRule type="containsText" dxfId="76" priority="104" operator="containsText" text="OK">
      <formula>NOT(ISERROR(SEARCH("OK",B22)))</formula>
    </cfRule>
  </conditionalFormatting>
  <conditionalFormatting sqref="B21">
    <cfRule type="containsText" dxfId="75" priority="101" operator="containsText" text="NOT OK">
      <formula>NOT(ISERROR(SEARCH("NOT OK",B21)))</formula>
    </cfRule>
    <cfRule type="containsText" dxfId="74" priority="102" operator="containsText" text="OK">
      <formula>NOT(ISERROR(SEARCH("OK",B21)))</formula>
    </cfRule>
  </conditionalFormatting>
  <conditionalFormatting sqref="A25:A27">
    <cfRule type="containsText" dxfId="73" priority="99" operator="containsText" text="NOT OK">
      <formula>NOT(ISERROR(SEARCH("NOT OK",A25)))</formula>
    </cfRule>
    <cfRule type="containsText" dxfId="72" priority="100" operator="containsText" text="OK">
      <formula>NOT(ISERROR(SEARCH("OK",A25)))</formula>
    </cfRule>
  </conditionalFormatting>
  <conditionalFormatting sqref="B26:B27">
    <cfRule type="containsText" dxfId="71" priority="97" operator="containsText" text="NOT OK">
      <formula>NOT(ISERROR(SEARCH("NOT OK",B26)))</formula>
    </cfRule>
    <cfRule type="containsText" dxfId="70" priority="98" operator="containsText" text="OK">
      <formula>NOT(ISERROR(SEARCH("OK",B26)))</formula>
    </cfRule>
  </conditionalFormatting>
  <conditionalFormatting sqref="B25">
    <cfRule type="containsText" dxfId="69" priority="95" operator="containsText" text="NOT OK">
      <formula>NOT(ISERROR(SEARCH("NOT OK",B25)))</formula>
    </cfRule>
    <cfRule type="containsText" dxfId="68" priority="96" operator="containsText" text="OK">
      <formula>NOT(ISERROR(SEARCH("OK",B25)))</formula>
    </cfRule>
  </conditionalFormatting>
  <conditionalFormatting sqref="B30:B31">
    <cfRule type="containsText" dxfId="67" priority="93" operator="containsText" text="NOT OK">
      <formula>NOT(ISERROR(SEARCH("NOT OK",B30)))</formula>
    </cfRule>
    <cfRule type="containsText" dxfId="66" priority="94" operator="containsText" text="OK">
      <formula>NOT(ISERROR(SEARCH("OK",B30)))</formula>
    </cfRule>
  </conditionalFormatting>
  <conditionalFormatting sqref="B29">
    <cfRule type="containsText" dxfId="65" priority="91" operator="containsText" text="NOT OK">
      <formula>NOT(ISERROR(SEARCH("NOT OK",B29)))</formula>
    </cfRule>
    <cfRule type="containsText" dxfId="64" priority="92" operator="containsText" text="OK">
      <formula>NOT(ISERROR(SEARCH("OK",B29)))</formula>
    </cfRule>
  </conditionalFormatting>
  <conditionalFormatting sqref="B33">
    <cfRule type="containsText" dxfId="63" priority="87" operator="containsText" text="NOT OK">
      <formula>NOT(ISERROR(SEARCH("NOT OK",B33)))</formula>
    </cfRule>
    <cfRule type="containsText" dxfId="62" priority="88" operator="containsText" text="OK">
      <formula>NOT(ISERROR(SEARCH("OK",B33)))</formula>
    </cfRule>
  </conditionalFormatting>
  <conditionalFormatting sqref="B38:B39">
    <cfRule type="containsText" dxfId="61" priority="85" operator="containsText" text="NOT OK">
      <formula>NOT(ISERROR(SEARCH("NOT OK",B38)))</formula>
    </cfRule>
    <cfRule type="containsText" dxfId="60" priority="86" operator="containsText" text="OK">
      <formula>NOT(ISERROR(SEARCH("OK",B38)))</formula>
    </cfRule>
  </conditionalFormatting>
  <conditionalFormatting sqref="B37">
    <cfRule type="containsText" dxfId="59" priority="83" operator="containsText" text="NOT OK">
      <formula>NOT(ISERROR(SEARCH("NOT OK",B37)))</formula>
    </cfRule>
    <cfRule type="containsText" dxfId="58" priority="84" operator="containsText" text="OK">
      <formula>NOT(ISERROR(SEARCH("OK",B37)))</formula>
    </cfRule>
  </conditionalFormatting>
  <conditionalFormatting sqref="A5:B7">
    <cfRule type="containsText" dxfId="57" priority="81" operator="containsText" text="NOT OK">
      <formula>NOT(ISERROR(SEARCH("NOT OK",A5)))</formula>
    </cfRule>
    <cfRule type="containsText" dxfId="56" priority="82" operator="containsText" text="OK">
      <formula>NOT(ISERROR(SEARCH("OK",A5)))</formula>
    </cfRule>
  </conditionalFormatting>
  <conditionalFormatting sqref="C5:J7">
    <cfRule type="containsText" dxfId="55" priority="79" operator="containsText" text="NOT OK">
      <formula>NOT(ISERROR(SEARCH("NOT OK",C5)))</formula>
    </cfRule>
    <cfRule type="containsText" dxfId="54" priority="80" operator="containsText" text="OK">
      <formula>NOT(ISERROR(SEARCH("OK",C5)))</formula>
    </cfRule>
  </conditionalFormatting>
  <conditionalFormatting sqref="K5:K7">
    <cfRule type="containsText" dxfId="53" priority="77" operator="containsText" text="NOT OK">
      <formula>NOT(ISERROR(SEARCH("NOT OK",K5)))</formula>
    </cfRule>
    <cfRule type="containsText" dxfId="52" priority="78" operator="containsText" text="OK">
      <formula>NOT(ISERROR(SEARCH("OK",K5)))</formula>
    </cfRule>
  </conditionalFormatting>
  <conditionalFormatting sqref="C9:J11">
    <cfRule type="containsText" dxfId="51" priority="75" operator="containsText" text="NOT OK">
      <formula>NOT(ISERROR(SEARCH("NOT OK",C9)))</formula>
    </cfRule>
    <cfRule type="containsText" dxfId="50" priority="76" operator="containsText" text="OK">
      <formula>NOT(ISERROR(SEARCH("OK",C9)))</formula>
    </cfRule>
  </conditionalFormatting>
  <conditionalFormatting sqref="K9:K11">
    <cfRule type="containsText" dxfId="49" priority="73" operator="containsText" text="NOT OK">
      <formula>NOT(ISERROR(SEARCH("NOT OK",K9)))</formula>
    </cfRule>
    <cfRule type="containsText" dxfId="48" priority="74" operator="containsText" text="OK">
      <formula>NOT(ISERROR(SEARCH("OK",K9)))</formula>
    </cfRule>
  </conditionalFormatting>
  <conditionalFormatting sqref="C13:J15">
    <cfRule type="containsText" dxfId="47" priority="71" operator="containsText" text="NOT OK">
      <formula>NOT(ISERROR(SEARCH("NOT OK",C13)))</formula>
    </cfRule>
    <cfRule type="containsText" dxfId="46" priority="72" operator="containsText" text="OK">
      <formula>NOT(ISERROR(SEARCH("OK",C13)))</formula>
    </cfRule>
  </conditionalFormatting>
  <conditionalFormatting sqref="K13:K15">
    <cfRule type="containsText" dxfId="45" priority="69" operator="containsText" text="NOT OK">
      <formula>NOT(ISERROR(SEARCH("NOT OK",K13)))</formula>
    </cfRule>
    <cfRule type="containsText" dxfId="44" priority="70" operator="containsText" text="OK">
      <formula>NOT(ISERROR(SEARCH("OK",K13)))</formula>
    </cfRule>
  </conditionalFormatting>
  <conditionalFormatting sqref="C25:J27">
    <cfRule type="containsText" dxfId="43" priority="59" operator="containsText" text="NOT OK">
      <formula>NOT(ISERROR(SEARCH("NOT OK",C25)))</formula>
    </cfRule>
    <cfRule type="containsText" dxfId="42" priority="60" operator="containsText" text="OK">
      <formula>NOT(ISERROR(SEARCH("OK",C25)))</formula>
    </cfRule>
  </conditionalFormatting>
  <conditionalFormatting sqref="K25:K27">
    <cfRule type="containsText" dxfId="41" priority="57" operator="containsText" text="NOT OK">
      <formula>NOT(ISERROR(SEARCH("NOT OK",K25)))</formula>
    </cfRule>
    <cfRule type="containsText" dxfId="40" priority="58" operator="containsText" text="OK">
      <formula>NOT(ISERROR(SEARCH("OK",K25)))</formula>
    </cfRule>
  </conditionalFormatting>
  <conditionalFormatting sqref="C37:J39">
    <cfRule type="containsText" dxfId="39" priority="47" operator="containsText" text="NOT OK">
      <formula>NOT(ISERROR(SEARCH("NOT OK",C37)))</formula>
    </cfRule>
    <cfRule type="containsText" dxfId="38" priority="48" operator="containsText" text="OK">
      <formula>NOT(ISERROR(SEARCH("OK",C37)))</formula>
    </cfRule>
  </conditionalFormatting>
  <conditionalFormatting sqref="K37:K39">
    <cfRule type="containsText" dxfId="37" priority="45" operator="containsText" text="NOT OK">
      <formula>NOT(ISERROR(SEARCH("NOT OK",K37)))</formula>
    </cfRule>
    <cfRule type="containsText" dxfId="36" priority="46" operator="containsText" text="OK">
      <formula>NOT(ISERROR(SEARCH("OK",K37)))</formula>
    </cfRule>
  </conditionalFormatting>
  <conditionalFormatting sqref="C13:J15">
    <cfRule type="containsText" dxfId="35" priority="43" operator="containsText" text="NOT OK">
      <formula>NOT(ISERROR(SEARCH("NOT OK",C13)))</formula>
    </cfRule>
    <cfRule type="containsText" dxfId="34" priority="44" operator="containsText" text="OK">
      <formula>NOT(ISERROR(SEARCH("OK",C13)))</formula>
    </cfRule>
  </conditionalFormatting>
  <conditionalFormatting sqref="K13:K15">
    <cfRule type="containsText" dxfId="33" priority="41" operator="containsText" text="NOT OK">
      <formula>NOT(ISERROR(SEARCH("NOT OK",K13)))</formula>
    </cfRule>
    <cfRule type="containsText" dxfId="32" priority="42" operator="containsText" text="OK">
      <formula>NOT(ISERROR(SEARCH("OK",K13)))</formula>
    </cfRule>
  </conditionalFormatting>
  <conditionalFormatting sqref="C17:J19">
    <cfRule type="containsText" dxfId="31" priority="31" operator="containsText" text="NOT OK">
      <formula>NOT(ISERROR(SEARCH("NOT OK",C17)))</formula>
    </cfRule>
    <cfRule type="containsText" dxfId="30" priority="32" operator="containsText" text="OK">
      <formula>NOT(ISERROR(SEARCH("OK",C17)))</formula>
    </cfRule>
  </conditionalFormatting>
  <conditionalFormatting sqref="K17:K19">
    <cfRule type="containsText" dxfId="29" priority="29" operator="containsText" text="NOT OK">
      <formula>NOT(ISERROR(SEARCH("NOT OK",K17)))</formula>
    </cfRule>
    <cfRule type="containsText" dxfId="28" priority="30" operator="containsText" text="OK">
      <formula>NOT(ISERROR(SEARCH("OK",K17)))</formula>
    </cfRule>
  </conditionalFormatting>
  <conditionalFormatting sqref="C17:J19">
    <cfRule type="containsText" dxfId="27" priority="27" operator="containsText" text="NOT OK">
      <formula>NOT(ISERROR(SEARCH("NOT OK",C17)))</formula>
    </cfRule>
    <cfRule type="containsText" dxfId="26" priority="28" operator="containsText" text="OK">
      <formula>NOT(ISERROR(SEARCH("OK",C17)))</formula>
    </cfRule>
  </conditionalFormatting>
  <conditionalFormatting sqref="K17:K19">
    <cfRule type="containsText" dxfId="25" priority="25" operator="containsText" text="NOT OK">
      <formula>NOT(ISERROR(SEARCH("NOT OK",K17)))</formula>
    </cfRule>
    <cfRule type="containsText" dxfId="24" priority="26" operator="containsText" text="OK">
      <formula>NOT(ISERROR(SEARCH("OK",K17)))</formula>
    </cfRule>
  </conditionalFormatting>
  <conditionalFormatting sqref="C21:J23">
    <cfRule type="containsText" dxfId="23" priority="23" operator="containsText" text="NOT OK">
      <formula>NOT(ISERROR(SEARCH("NOT OK",C21)))</formula>
    </cfRule>
    <cfRule type="containsText" dxfId="22" priority="24" operator="containsText" text="OK">
      <formula>NOT(ISERROR(SEARCH("OK",C21)))</formula>
    </cfRule>
  </conditionalFormatting>
  <conditionalFormatting sqref="K21:K23">
    <cfRule type="containsText" dxfId="21" priority="21" operator="containsText" text="NOT OK">
      <formula>NOT(ISERROR(SEARCH("NOT OK",K21)))</formula>
    </cfRule>
    <cfRule type="containsText" dxfId="20" priority="22" operator="containsText" text="OK">
      <formula>NOT(ISERROR(SEARCH("OK",K21)))</formula>
    </cfRule>
  </conditionalFormatting>
  <conditionalFormatting sqref="C21:J23">
    <cfRule type="containsText" dxfId="19" priority="19" operator="containsText" text="NOT OK">
      <formula>NOT(ISERROR(SEARCH("NOT OK",C21)))</formula>
    </cfRule>
    <cfRule type="containsText" dxfId="18" priority="20" operator="containsText" text="OK">
      <formula>NOT(ISERROR(SEARCH("OK",C21)))</formula>
    </cfRule>
  </conditionalFormatting>
  <conditionalFormatting sqref="K21:K23">
    <cfRule type="containsText" dxfId="17" priority="17" operator="containsText" text="NOT OK">
      <formula>NOT(ISERROR(SEARCH("NOT OK",K21)))</formula>
    </cfRule>
    <cfRule type="containsText" dxfId="16" priority="18" operator="containsText" text="OK">
      <formula>NOT(ISERROR(SEARCH("OK",K21)))</formula>
    </cfRule>
  </conditionalFormatting>
  <conditionalFormatting sqref="C29:J31">
    <cfRule type="containsText" dxfId="15" priority="15" operator="containsText" text="NOT OK">
      <formula>NOT(ISERROR(SEARCH("NOT OK",C29)))</formula>
    </cfRule>
    <cfRule type="containsText" dxfId="14" priority="16" operator="containsText" text="OK">
      <formula>NOT(ISERROR(SEARCH("OK",C29)))</formula>
    </cfRule>
  </conditionalFormatting>
  <conditionalFormatting sqref="K29:K31">
    <cfRule type="containsText" dxfId="13" priority="13" operator="containsText" text="NOT OK">
      <formula>NOT(ISERROR(SEARCH("NOT OK",K29)))</formula>
    </cfRule>
    <cfRule type="containsText" dxfId="12" priority="14" operator="containsText" text="OK">
      <formula>NOT(ISERROR(SEARCH("OK",K29)))</formula>
    </cfRule>
  </conditionalFormatting>
  <conditionalFormatting sqref="C29:J31">
    <cfRule type="containsText" dxfId="11" priority="11" operator="containsText" text="NOT OK">
      <formula>NOT(ISERROR(SEARCH("NOT OK",C29)))</formula>
    </cfRule>
    <cfRule type="containsText" dxfId="10" priority="12" operator="containsText" text="OK">
      <formula>NOT(ISERROR(SEARCH("OK",C29)))</formula>
    </cfRule>
  </conditionalFormatting>
  <conditionalFormatting sqref="K29:K31">
    <cfRule type="containsText" dxfId="9" priority="9" operator="containsText" text="NOT OK">
      <formula>NOT(ISERROR(SEARCH("NOT OK",K29)))</formula>
    </cfRule>
    <cfRule type="containsText" dxfId="8" priority="10" operator="containsText" text="OK">
      <formula>NOT(ISERROR(SEARCH("OK",K29)))</formula>
    </cfRule>
  </conditionalFormatting>
  <conditionalFormatting sqref="C33:J35">
    <cfRule type="containsText" dxfId="7" priority="7" operator="containsText" text="NOT OK">
      <formula>NOT(ISERROR(SEARCH("NOT OK",C33)))</formula>
    </cfRule>
    <cfRule type="containsText" dxfId="6" priority="8" operator="containsText" text="OK">
      <formula>NOT(ISERROR(SEARCH("OK",C33)))</formula>
    </cfRule>
  </conditionalFormatting>
  <conditionalFormatting sqref="K33:K35">
    <cfRule type="containsText" dxfId="5" priority="5" operator="containsText" text="NOT OK">
      <formula>NOT(ISERROR(SEARCH("NOT OK",K33)))</formula>
    </cfRule>
    <cfRule type="containsText" dxfId="4" priority="6" operator="containsText" text="OK">
      <formula>NOT(ISERROR(SEARCH("OK",K33)))</formula>
    </cfRule>
  </conditionalFormatting>
  <conditionalFormatting sqref="C33:J35">
    <cfRule type="containsText" dxfId="3" priority="3" operator="containsText" text="NOT OK">
      <formula>NOT(ISERROR(SEARCH("NOT OK",C33)))</formula>
    </cfRule>
    <cfRule type="containsText" dxfId="2" priority="4" operator="containsText" text="OK">
      <formula>NOT(ISERROR(SEARCH("OK",C33)))</formula>
    </cfRule>
  </conditionalFormatting>
  <conditionalFormatting sqref="K33:K35">
    <cfRule type="containsText" dxfId="1" priority="1" operator="containsText" text="NOT OK">
      <formula>NOT(ISERROR(SEARCH("NOT OK",K33)))</formula>
    </cfRule>
    <cfRule type="containsText" dxfId="0" priority="2" operator="containsText" text="OK">
      <formula>NOT(ISERROR(SEARCH("OK",K33)))</formula>
    </cfRule>
  </conditionalFormatting>
  <pageMargins left="1.01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view="pageBreakPreview" zoomScaleNormal="100" zoomScaleSheetLayoutView="100" workbookViewId="0">
      <selection activeCell="C12" sqref="C12"/>
    </sheetView>
  </sheetViews>
  <sheetFormatPr defaultColWidth="9.109375" defaultRowHeight="14.4" x14ac:dyDescent="0.3"/>
  <cols>
    <col min="1" max="1" width="9.88671875" style="6" customWidth="1"/>
    <col min="2" max="2" width="10.6640625" style="6" customWidth="1"/>
    <col min="3" max="3" width="11" style="6" bestFit="1" customWidth="1"/>
    <col min="4" max="4" width="4.5546875" style="6" customWidth="1"/>
    <col min="5" max="5" width="4.6640625" style="6" customWidth="1"/>
    <col min="6" max="9" width="4.5546875" style="6" customWidth="1"/>
    <col min="10" max="10" width="8.44140625" style="6" bestFit="1" customWidth="1"/>
    <col min="11" max="11" width="8.33203125" style="6" customWidth="1"/>
    <col min="12" max="12" width="4.33203125" style="6" bestFit="1" customWidth="1"/>
    <col min="13" max="13" width="8.44140625" style="6" customWidth="1"/>
    <col min="14" max="14" width="8.5546875" style="6" bestFit="1" customWidth="1"/>
    <col min="15" max="16384" width="9.109375" style="6"/>
  </cols>
  <sheetData>
    <row r="1" spans="1:16" ht="15" x14ac:dyDescent="0.3">
      <c r="A1" s="101" t="s">
        <v>11</v>
      </c>
      <c r="B1" s="101"/>
      <c r="C1" s="101"/>
    </row>
    <row r="2" spans="1:16" ht="15" x14ac:dyDescent="0.3">
      <c r="A2" s="102" t="s">
        <v>12</v>
      </c>
      <c r="B2" s="102"/>
      <c r="C2" s="102"/>
    </row>
    <row r="3" spans="1:16" ht="15" x14ac:dyDescent="0.3">
      <c r="B3" s="103" t="s">
        <v>13</v>
      </c>
      <c r="C3" s="103"/>
    </row>
    <row r="4" spans="1:16" ht="15" x14ac:dyDescent="0.3">
      <c r="B4" s="103" t="s">
        <v>14</v>
      </c>
      <c r="C4" s="103"/>
    </row>
    <row r="5" spans="1:16" ht="15" x14ac:dyDescent="0.3">
      <c r="B5" s="103" t="s">
        <v>15</v>
      </c>
      <c r="C5" s="103"/>
    </row>
    <row r="6" spans="1:16" ht="15" x14ac:dyDescent="0.3">
      <c r="B6" s="100" t="s">
        <v>16</v>
      </c>
      <c r="C6" s="100"/>
    </row>
    <row r="7" spans="1:16" ht="28.5" customHeight="1" x14ac:dyDescent="0.3">
      <c r="A7" s="104" t="s">
        <v>17</v>
      </c>
      <c r="B7" s="104" t="s">
        <v>18</v>
      </c>
      <c r="C7" s="105" t="s">
        <v>19</v>
      </c>
      <c r="D7" s="106" t="s">
        <v>20</v>
      </c>
      <c r="E7" s="107"/>
      <c r="F7" s="107"/>
      <c r="G7" s="107"/>
      <c r="H7" s="107"/>
      <c r="I7" s="107"/>
      <c r="J7" s="107" t="s">
        <v>21</v>
      </c>
      <c r="K7" s="106" t="s">
        <v>22</v>
      </c>
      <c r="L7" s="107" t="s">
        <v>23</v>
      </c>
      <c r="M7" s="107"/>
      <c r="N7" s="106" t="s">
        <v>24</v>
      </c>
    </row>
    <row r="8" spans="1:16" ht="53.25" customHeight="1" x14ac:dyDescent="0.3">
      <c r="A8" s="104"/>
      <c r="B8" s="104"/>
      <c r="C8" s="104"/>
      <c r="D8" s="108" t="s">
        <v>25</v>
      </c>
      <c r="E8" s="108"/>
      <c r="F8" s="107" t="s">
        <v>26</v>
      </c>
      <c r="G8" s="107"/>
      <c r="H8" s="107" t="s">
        <v>27</v>
      </c>
      <c r="I8" s="107"/>
      <c r="J8" s="107"/>
      <c r="K8" s="107"/>
      <c r="L8" s="7" t="s">
        <v>28</v>
      </c>
      <c r="M8" s="8" t="s">
        <v>29</v>
      </c>
      <c r="N8" s="107"/>
    </row>
    <row r="9" spans="1:16" ht="13.5" customHeight="1" x14ac:dyDescent="0.3">
      <c r="A9" s="104"/>
      <c r="B9" s="104"/>
      <c r="C9" s="104"/>
      <c r="D9" s="9" t="s">
        <v>30</v>
      </c>
      <c r="E9" s="10" t="s">
        <v>31</v>
      </c>
      <c r="F9" s="9" t="s">
        <v>32</v>
      </c>
      <c r="G9" s="10" t="s">
        <v>31</v>
      </c>
      <c r="H9" s="10" t="s">
        <v>33</v>
      </c>
      <c r="I9" s="10" t="s">
        <v>31</v>
      </c>
      <c r="J9" s="11"/>
      <c r="K9" s="11"/>
      <c r="L9" s="11"/>
      <c r="M9" s="11"/>
      <c r="N9" s="11"/>
    </row>
    <row r="10" spans="1:16" ht="31.5" customHeight="1" x14ac:dyDescent="0.3">
      <c r="A10" s="97" t="s">
        <v>42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9"/>
      <c r="P10" s="6" t="s">
        <v>43</v>
      </c>
    </row>
    <row r="11" spans="1:16" ht="45" x14ac:dyDescent="0.3">
      <c r="A11" s="12" t="s">
        <v>34</v>
      </c>
      <c r="B11" s="13" t="s">
        <v>6</v>
      </c>
      <c r="C11" s="14">
        <v>1060</v>
      </c>
      <c r="D11" s="14">
        <v>4</v>
      </c>
      <c r="E11" s="14">
        <v>16</v>
      </c>
      <c r="F11" s="14">
        <v>4</v>
      </c>
      <c r="G11" s="14">
        <v>12</v>
      </c>
      <c r="H11" s="14"/>
      <c r="I11" s="14"/>
      <c r="J11" s="15">
        <f>D11*22/7*E11^2/4+F11*22/7*G11^2/4+H11*22/7*I11^2/4</f>
        <v>1257.1428571428571</v>
      </c>
      <c r="K11" s="16">
        <f>J11/(350*350)*100</f>
        <v>1.0262390670553936</v>
      </c>
      <c r="L11" s="14">
        <v>2</v>
      </c>
      <c r="M11" s="14">
        <v>8</v>
      </c>
      <c r="N11" s="11"/>
    </row>
    <row r="12" spans="1:16" ht="30" x14ac:dyDescent="0.3">
      <c r="A12" s="13" t="s">
        <v>35</v>
      </c>
      <c r="B12" s="13" t="s">
        <v>6</v>
      </c>
      <c r="C12" s="14">
        <v>980</v>
      </c>
      <c r="D12" s="14">
        <v>4</v>
      </c>
      <c r="E12" s="14">
        <v>16</v>
      </c>
      <c r="F12" s="14">
        <v>4</v>
      </c>
      <c r="G12" s="14">
        <v>12</v>
      </c>
      <c r="H12" s="14"/>
      <c r="I12" s="14"/>
      <c r="J12" s="15">
        <f t="shared" ref="J12" si="0">D12*22/7*E12^2/4+F12*22/7*G12^2/4+H12*22/7*I12^2/4</f>
        <v>1257.1428571428571</v>
      </c>
      <c r="K12" s="16">
        <f>J12/(350*350)*100</f>
        <v>1.0262390670553936</v>
      </c>
      <c r="L12" s="14">
        <v>2</v>
      </c>
      <c r="M12" s="14">
        <v>8</v>
      </c>
      <c r="N12" s="11"/>
    </row>
    <row r="13" spans="1:16" ht="15" x14ac:dyDescent="0.3">
      <c r="A13" s="13"/>
      <c r="B13" s="13"/>
      <c r="C13" s="14"/>
      <c r="D13" s="14"/>
      <c r="E13" s="14"/>
      <c r="F13" s="14"/>
      <c r="G13" s="14"/>
      <c r="H13" s="14"/>
      <c r="I13" s="14"/>
      <c r="J13" s="15"/>
      <c r="K13" s="16"/>
      <c r="L13" s="14"/>
      <c r="M13" s="14"/>
      <c r="N13" s="11"/>
    </row>
    <row r="14" spans="1:16" ht="15" x14ac:dyDescent="0.3">
      <c r="A14" s="17"/>
      <c r="B14" s="18"/>
      <c r="C14" s="19"/>
      <c r="D14" s="19"/>
      <c r="E14" s="19"/>
      <c r="F14" s="19"/>
      <c r="G14" s="19"/>
      <c r="H14" s="19"/>
      <c r="I14" s="19"/>
      <c r="J14" s="20"/>
      <c r="K14" s="21"/>
      <c r="L14" s="19"/>
      <c r="M14" s="19"/>
      <c r="N14" s="22"/>
    </row>
    <row r="15" spans="1:16" x14ac:dyDescent="0.3">
      <c r="A15" s="97" t="s">
        <v>45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9"/>
      <c r="P15" s="6" t="s">
        <v>44</v>
      </c>
    </row>
    <row r="16" spans="1:16" ht="15" x14ac:dyDescent="0.3">
      <c r="A16" s="12" t="s">
        <v>36</v>
      </c>
      <c r="B16" s="13" t="str">
        <f>B11</f>
        <v>350 X 350</v>
      </c>
      <c r="C16" s="14">
        <v>2172</v>
      </c>
      <c r="D16" s="14">
        <v>4</v>
      </c>
      <c r="E16" s="14">
        <v>20</v>
      </c>
      <c r="F16" s="14">
        <v>4</v>
      </c>
      <c r="G16" s="14">
        <v>20</v>
      </c>
      <c r="H16" s="11"/>
      <c r="I16" s="11"/>
      <c r="J16" s="15">
        <f>D16*22/7*E16^2/4+F16*22/7*G16^2/4+H16*22/7*I16^2/4</f>
        <v>2514.2857142857142</v>
      </c>
      <c r="K16" s="16">
        <f>J16/(350*350)*100</f>
        <v>2.0524781341107872</v>
      </c>
      <c r="L16" s="14">
        <v>2</v>
      </c>
      <c r="M16" s="14">
        <v>8</v>
      </c>
      <c r="N16" s="11"/>
    </row>
    <row r="17" spans="1:16" ht="15" x14ac:dyDescent="0.3">
      <c r="A17" s="12" t="s">
        <v>37</v>
      </c>
      <c r="B17" s="13" t="str">
        <f>B12</f>
        <v>350 X 350</v>
      </c>
      <c r="C17" s="14">
        <v>1922</v>
      </c>
      <c r="D17" s="14">
        <v>4</v>
      </c>
      <c r="E17" s="14">
        <v>20</v>
      </c>
      <c r="F17" s="14">
        <v>4</v>
      </c>
      <c r="G17" s="14">
        <v>16</v>
      </c>
      <c r="H17" s="11"/>
      <c r="I17" s="11"/>
      <c r="J17" s="15">
        <f t="shared" ref="J17" si="1">D17*22/7*E17^2/4+F17*22/7*G17^2/4+H17*22/7*I17^2/4</f>
        <v>2061.7142857142858</v>
      </c>
      <c r="K17" s="16">
        <f t="shared" ref="K17" si="2">J17/(350*350)*100</f>
        <v>1.6830320699708454</v>
      </c>
      <c r="L17" s="14">
        <v>2</v>
      </c>
      <c r="M17" s="14">
        <v>8</v>
      </c>
      <c r="N17" s="11"/>
    </row>
    <row r="18" spans="1:16" ht="15" x14ac:dyDescent="0.3">
      <c r="A18" s="12" t="s">
        <v>46</v>
      </c>
      <c r="B18" s="13" t="str">
        <f>B17</f>
        <v>350 X 350</v>
      </c>
      <c r="C18" s="14">
        <v>1018</v>
      </c>
      <c r="D18" s="14">
        <v>4</v>
      </c>
      <c r="E18" s="14">
        <v>16</v>
      </c>
      <c r="F18" s="14">
        <v>4</v>
      </c>
      <c r="G18" s="14">
        <v>12</v>
      </c>
      <c r="H18" s="11"/>
      <c r="I18" s="11"/>
      <c r="J18" s="15">
        <f t="shared" ref="J18" si="3">D18*22/7*E18^2/4+F18*22/7*G18^2/4+H18*22/7*I18^2/4</f>
        <v>1257.1428571428571</v>
      </c>
      <c r="K18" s="16">
        <f t="shared" ref="K18" si="4">J18/(350*350)*100</f>
        <v>1.0262390670553936</v>
      </c>
      <c r="L18" s="14">
        <v>2</v>
      </c>
      <c r="M18" s="14">
        <v>8</v>
      </c>
      <c r="N18" s="11"/>
    </row>
    <row r="19" spans="1:16" x14ac:dyDescent="0.3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9"/>
    </row>
    <row r="20" spans="1:16" ht="33" customHeight="1" x14ac:dyDescent="0.3">
      <c r="A20" s="97" t="s">
        <v>48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9"/>
      <c r="P20" s="6" t="s">
        <v>47</v>
      </c>
    </row>
    <row r="21" spans="1:16" ht="15" x14ac:dyDescent="0.3">
      <c r="A21" s="12" t="str">
        <f>A16</f>
        <v xml:space="preserve">Gr. FLR </v>
      </c>
      <c r="B21" s="13" t="s">
        <v>6</v>
      </c>
      <c r="C21" s="14">
        <v>3082</v>
      </c>
      <c r="D21" s="14">
        <v>4</v>
      </c>
      <c r="E21" s="14">
        <v>20</v>
      </c>
      <c r="F21" s="14">
        <v>6</v>
      </c>
      <c r="G21" s="14">
        <v>20</v>
      </c>
      <c r="H21" s="14"/>
      <c r="I21" s="14"/>
      <c r="J21" s="15">
        <f>D21*22/7*E21^2/4+F21*22/7*G21^2/4+H21*22/7*I21^2/4</f>
        <v>3142.8571428571431</v>
      </c>
      <c r="K21" s="16">
        <f>J21/(350*350)*100</f>
        <v>2.565597667638484</v>
      </c>
      <c r="L21" s="14">
        <v>2</v>
      </c>
      <c r="M21" s="14">
        <v>8</v>
      </c>
      <c r="N21" s="11"/>
    </row>
    <row r="22" spans="1:16" ht="15" x14ac:dyDescent="0.3">
      <c r="A22" s="12" t="s">
        <v>37</v>
      </c>
      <c r="B22" s="13" t="s">
        <v>6</v>
      </c>
      <c r="C22" s="14">
        <v>1487</v>
      </c>
      <c r="D22" s="14">
        <v>4</v>
      </c>
      <c r="E22" s="14">
        <v>16</v>
      </c>
      <c r="F22" s="14">
        <v>6</v>
      </c>
      <c r="G22" s="14">
        <v>16</v>
      </c>
      <c r="H22" s="14"/>
      <c r="I22" s="14"/>
      <c r="J22" s="15">
        <f t="shared" ref="J22:J23" si="5">D22*22/7*E22^2/4+F22*22/7*G22^2/4+H22*22/7*I22^2/4</f>
        <v>2011.4285714285716</v>
      </c>
      <c r="K22" s="16">
        <f t="shared" ref="K22:K23" si="6">J22/(350*350)*100</f>
        <v>1.64198250728863</v>
      </c>
      <c r="L22" s="14">
        <v>2</v>
      </c>
      <c r="M22" s="14">
        <v>8</v>
      </c>
      <c r="N22" s="11"/>
    </row>
    <row r="23" spans="1:16" ht="45" x14ac:dyDescent="0.3">
      <c r="A23" s="12" t="s">
        <v>38</v>
      </c>
      <c r="B23" s="13" t="s">
        <v>6</v>
      </c>
      <c r="C23" s="14">
        <v>980</v>
      </c>
      <c r="D23" s="14">
        <v>4</v>
      </c>
      <c r="E23" s="14">
        <v>16</v>
      </c>
      <c r="F23" s="14">
        <v>6</v>
      </c>
      <c r="G23" s="14">
        <v>12</v>
      </c>
      <c r="H23" s="14"/>
      <c r="I23" s="14"/>
      <c r="J23" s="15">
        <f t="shared" si="5"/>
        <v>1483.4285714285716</v>
      </c>
      <c r="K23" s="16">
        <f t="shared" si="6"/>
        <v>1.2109620991253645</v>
      </c>
      <c r="L23" s="14">
        <v>2</v>
      </c>
      <c r="M23" s="14">
        <v>8</v>
      </c>
      <c r="N23" s="11"/>
    </row>
    <row r="24" spans="1:16" ht="15" x14ac:dyDescent="0.3">
      <c r="A24" s="12"/>
      <c r="B24" s="12"/>
      <c r="C24" s="14"/>
      <c r="D24" s="14"/>
      <c r="E24" s="14"/>
      <c r="F24" s="14"/>
      <c r="G24" s="14"/>
      <c r="H24" s="14"/>
      <c r="I24" s="14"/>
      <c r="J24" s="15"/>
      <c r="K24" s="15"/>
      <c r="L24" s="14"/>
      <c r="M24" s="14"/>
      <c r="N24" s="11"/>
    </row>
    <row r="25" spans="1:16" ht="30.75" customHeight="1" x14ac:dyDescent="0.3">
      <c r="A25" s="97" t="s">
        <v>50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9"/>
      <c r="P25" s="6" t="s">
        <v>49</v>
      </c>
    </row>
    <row r="26" spans="1:16" ht="18" customHeight="1" x14ac:dyDescent="0.3">
      <c r="A26" s="12" t="str">
        <f>A21</f>
        <v xml:space="preserve">Gr. FLR </v>
      </c>
      <c r="B26" s="13" t="s">
        <v>7</v>
      </c>
      <c r="C26" s="14">
        <v>2362</v>
      </c>
      <c r="D26" s="14">
        <v>4</v>
      </c>
      <c r="E26" s="14">
        <v>20</v>
      </c>
      <c r="F26" s="14">
        <v>4</v>
      </c>
      <c r="G26" s="14">
        <v>20</v>
      </c>
      <c r="H26" s="14"/>
      <c r="I26" s="14"/>
      <c r="J26" s="23">
        <f>D26*22/7*E26^2/4+F26*22/7*G26^2/4+H26*22/7*I26^2/4</f>
        <v>2514.2857142857142</v>
      </c>
      <c r="K26" s="16">
        <f>J26/(400*400)*100</f>
        <v>1.5714285714285716</v>
      </c>
      <c r="L26" s="14">
        <v>2</v>
      </c>
      <c r="M26" s="14">
        <v>8</v>
      </c>
      <c r="N26" s="11"/>
    </row>
    <row r="27" spans="1:16" ht="15" x14ac:dyDescent="0.3">
      <c r="A27" s="24" t="str">
        <f>A22</f>
        <v>First floor</v>
      </c>
      <c r="B27" s="25" t="s">
        <v>7</v>
      </c>
      <c r="C27" s="14">
        <v>1280</v>
      </c>
      <c r="D27" s="14">
        <v>4</v>
      </c>
      <c r="E27" s="14">
        <v>16</v>
      </c>
      <c r="F27" s="14">
        <v>4</v>
      </c>
      <c r="G27" s="14">
        <v>16</v>
      </c>
      <c r="H27" s="14"/>
      <c r="I27" s="14"/>
      <c r="J27" s="15">
        <f t="shared" ref="J27:J29" si="7">D27*22/7*E27^2/4+F27*22/7*G27^2/4+H27*22/7*I27^2/4</f>
        <v>1609.1428571428571</v>
      </c>
      <c r="K27" s="16">
        <f t="shared" ref="K27:K29" si="8">J27/(400*400)*100</f>
        <v>1.0057142857142856</v>
      </c>
      <c r="L27" s="14">
        <v>2</v>
      </c>
      <c r="M27" s="14">
        <v>8</v>
      </c>
      <c r="N27" s="11"/>
    </row>
    <row r="28" spans="1:16" ht="15" x14ac:dyDescent="0.3">
      <c r="A28" s="26" t="s">
        <v>39</v>
      </c>
      <c r="B28" s="25" t="s">
        <v>7</v>
      </c>
      <c r="C28" s="14">
        <v>1280</v>
      </c>
      <c r="D28" s="14">
        <v>4</v>
      </c>
      <c r="E28" s="14">
        <v>16</v>
      </c>
      <c r="F28" s="14">
        <v>4</v>
      </c>
      <c r="G28" s="14">
        <v>16</v>
      </c>
      <c r="H28" s="14"/>
      <c r="I28" s="14"/>
      <c r="J28" s="15">
        <f t="shared" si="7"/>
        <v>1609.1428571428571</v>
      </c>
      <c r="K28" s="16">
        <f t="shared" si="8"/>
        <v>1.0057142857142856</v>
      </c>
      <c r="L28" s="14">
        <v>2</v>
      </c>
      <c r="M28" s="14">
        <v>8</v>
      </c>
      <c r="N28" s="11"/>
    </row>
    <row r="29" spans="1:16" ht="15" x14ac:dyDescent="0.3">
      <c r="A29" s="27" t="s">
        <v>40</v>
      </c>
      <c r="B29" s="25" t="s">
        <v>7</v>
      </c>
      <c r="C29" s="14">
        <v>1280</v>
      </c>
      <c r="D29" s="14">
        <v>4</v>
      </c>
      <c r="E29" s="14">
        <v>16</v>
      </c>
      <c r="F29" s="14">
        <v>4</v>
      </c>
      <c r="G29" s="14">
        <v>16</v>
      </c>
      <c r="H29" s="14"/>
      <c r="I29" s="14"/>
      <c r="J29" s="15">
        <f t="shared" si="7"/>
        <v>1609.1428571428571</v>
      </c>
      <c r="K29" s="16">
        <f t="shared" si="8"/>
        <v>1.0057142857142856</v>
      </c>
      <c r="L29" s="14">
        <v>2</v>
      </c>
      <c r="M29" s="14">
        <v>8</v>
      </c>
      <c r="N29" s="11"/>
    </row>
    <row r="30" spans="1:16" ht="15" x14ac:dyDescent="0.3">
      <c r="A30" s="27"/>
      <c r="B30" s="28"/>
      <c r="C30" s="14"/>
      <c r="D30" s="14"/>
      <c r="E30" s="14"/>
      <c r="F30" s="14"/>
      <c r="G30" s="14"/>
      <c r="H30" s="11"/>
      <c r="I30" s="11"/>
      <c r="J30" s="15"/>
      <c r="K30" s="15"/>
      <c r="L30" s="14"/>
      <c r="M30" s="14"/>
      <c r="N30" s="11"/>
    </row>
    <row r="31" spans="1:16" ht="27.75" customHeight="1" x14ac:dyDescent="0.3">
      <c r="A31" s="97" t="s">
        <v>52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9"/>
      <c r="P31" s="6" t="s">
        <v>51</v>
      </c>
    </row>
    <row r="32" spans="1:16" ht="13.5" customHeight="1" x14ac:dyDescent="0.3">
      <c r="A32" s="24" t="str">
        <f>A26</f>
        <v xml:space="preserve">Gr. FLR </v>
      </c>
      <c r="B32" s="13" t="s">
        <v>7</v>
      </c>
      <c r="C32" s="14">
        <v>2914</v>
      </c>
      <c r="D32" s="14">
        <v>6</v>
      </c>
      <c r="E32" s="14">
        <v>16</v>
      </c>
      <c r="F32" s="14">
        <v>6</v>
      </c>
      <c r="G32" s="14">
        <v>20</v>
      </c>
      <c r="H32" s="11"/>
      <c r="I32" s="11"/>
      <c r="J32" s="15">
        <f>D32*22/7*E32^2/4+F32*22/7*G32^2/4+H32*22/7*I32^2/4</f>
        <v>3092.5714285714284</v>
      </c>
      <c r="K32" s="16">
        <f>J32/(400*400)*100</f>
        <v>1.9328571428571428</v>
      </c>
      <c r="L32" s="14">
        <v>2</v>
      </c>
      <c r="M32" s="14">
        <v>8</v>
      </c>
      <c r="N32" s="11"/>
    </row>
    <row r="33" spans="1:16" ht="15" x14ac:dyDescent="0.3">
      <c r="A33" s="24" t="str">
        <f t="shared" ref="A33:A35" si="9">A27</f>
        <v>First floor</v>
      </c>
      <c r="B33" s="25" t="s">
        <v>7</v>
      </c>
      <c r="C33" s="14">
        <v>1280</v>
      </c>
      <c r="D33" s="14">
        <v>6</v>
      </c>
      <c r="E33" s="14">
        <v>16</v>
      </c>
      <c r="F33" s="14">
        <v>6</v>
      </c>
      <c r="G33" s="14">
        <v>12</v>
      </c>
      <c r="H33" s="11"/>
      <c r="I33" s="11"/>
      <c r="J33" s="15">
        <f t="shared" ref="J33:J35" si="10">D33*22/7*E33^2/4+F33*22/7*G33^2/4+H33*22/7*I33^2/4</f>
        <v>1885.7142857142858</v>
      </c>
      <c r="K33" s="16">
        <f t="shared" ref="K33:K35" si="11">J33/(400*400)*100</f>
        <v>1.1785714285714286</v>
      </c>
      <c r="L33" s="14">
        <v>2</v>
      </c>
      <c r="M33" s="14">
        <v>8</v>
      </c>
      <c r="N33" s="11"/>
    </row>
    <row r="34" spans="1:16" ht="15" x14ac:dyDescent="0.3">
      <c r="A34" s="26" t="str">
        <f t="shared" si="9"/>
        <v>to</v>
      </c>
      <c r="B34" s="25" t="s">
        <v>7</v>
      </c>
      <c r="C34" s="14">
        <v>1280</v>
      </c>
      <c r="D34" s="14">
        <v>6</v>
      </c>
      <c r="E34" s="14">
        <v>16</v>
      </c>
      <c r="F34" s="14">
        <v>6</v>
      </c>
      <c r="G34" s="14">
        <v>12</v>
      </c>
      <c r="H34" s="11"/>
      <c r="I34" s="11"/>
      <c r="J34" s="15">
        <f t="shared" si="10"/>
        <v>1885.7142857142858</v>
      </c>
      <c r="K34" s="16">
        <f t="shared" si="11"/>
        <v>1.1785714285714286</v>
      </c>
      <c r="L34" s="14">
        <v>2</v>
      </c>
      <c r="M34" s="14">
        <v>8</v>
      </c>
      <c r="N34" s="29"/>
    </row>
    <row r="35" spans="1:16" ht="15" x14ac:dyDescent="0.3">
      <c r="A35" s="27" t="str">
        <f t="shared" si="9"/>
        <v>top floor</v>
      </c>
      <c r="B35" s="25" t="s">
        <v>7</v>
      </c>
      <c r="C35" s="14">
        <v>1280</v>
      </c>
      <c r="D35" s="14">
        <v>6</v>
      </c>
      <c r="E35" s="14">
        <v>16</v>
      </c>
      <c r="F35" s="14">
        <v>6</v>
      </c>
      <c r="G35" s="14">
        <v>12</v>
      </c>
      <c r="H35" s="11"/>
      <c r="I35" s="11"/>
      <c r="J35" s="15">
        <f t="shared" si="10"/>
        <v>1885.7142857142858</v>
      </c>
      <c r="K35" s="16">
        <f t="shared" si="11"/>
        <v>1.1785714285714286</v>
      </c>
      <c r="L35" s="14">
        <v>2</v>
      </c>
      <c r="M35" s="14">
        <v>8</v>
      </c>
      <c r="N35" s="29"/>
    </row>
    <row r="37" spans="1:16" x14ac:dyDescent="0.3">
      <c r="A37" s="97" t="s">
        <v>53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9"/>
      <c r="P37" s="6" t="s">
        <v>54</v>
      </c>
    </row>
    <row r="38" spans="1:16" ht="15" x14ac:dyDescent="0.3">
      <c r="A38" s="24" t="str">
        <f>A32</f>
        <v xml:space="preserve">Gr. FLR </v>
      </c>
      <c r="B38" s="13" t="str">
        <f>B11</f>
        <v>350 X 350</v>
      </c>
      <c r="C38" s="14">
        <v>1728</v>
      </c>
      <c r="D38" s="14">
        <v>4</v>
      </c>
      <c r="E38" s="14">
        <v>20</v>
      </c>
      <c r="F38" s="14">
        <v>4</v>
      </c>
      <c r="G38" s="14">
        <v>16</v>
      </c>
      <c r="H38" s="11"/>
      <c r="I38" s="11"/>
      <c r="J38" s="15">
        <f>D38*22/7*E38^2/4+F38*22/7*G38^2/4+H38*22/7*I38^2/4</f>
        <v>2061.7142857142858</v>
      </c>
      <c r="K38" s="16">
        <f>J38/(350*350)*100</f>
        <v>1.6830320699708454</v>
      </c>
      <c r="L38" s="14">
        <v>2</v>
      </c>
      <c r="M38" s="14">
        <v>8</v>
      </c>
      <c r="N38" s="11"/>
    </row>
    <row r="39" spans="1:16" ht="15" x14ac:dyDescent="0.3">
      <c r="A39" s="24" t="str">
        <f t="shared" ref="A39:A41" si="12">A33</f>
        <v>First floor</v>
      </c>
      <c r="B39" s="25" t="str">
        <f>B38</f>
        <v>350 X 350</v>
      </c>
      <c r="C39" s="14">
        <v>980</v>
      </c>
      <c r="D39" s="14">
        <v>4</v>
      </c>
      <c r="E39" s="14">
        <v>16</v>
      </c>
      <c r="F39" s="14">
        <v>4</v>
      </c>
      <c r="G39" s="14">
        <v>12</v>
      </c>
      <c r="H39" s="11"/>
      <c r="I39" s="11"/>
      <c r="J39" s="15">
        <f t="shared" ref="J39:J41" si="13">D39*22/7*E39^2/4+F39*22/7*G39^2/4+H39*22/7*I39^2/4</f>
        <v>1257.1428571428571</v>
      </c>
      <c r="K39" s="16">
        <f t="shared" ref="K39:K41" si="14">J39/(350*350)*100</f>
        <v>1.0262390670553936</v>
      </c>
      <c r="L39" s="14">
        <v>2</v>
      </c>
      <c r="M39" s="14">
        <v>8</v>
      </c>
      <c r="N39" s="11"/>
    </row>
    <row r="40" spans="1:16" ht="15" x14ac:dyDescent="0.3">
      <c r="A40" s="26" t="str">
        <f t="shared" si="12"/>
        <v>to</v>
      </c>
      <c r="B40" s="25" t="str">
        <f t="shared" ref="B40:B41" si="15">B39</f>
        <v>350 X 350</v>
      </c>
      <c r="C40" s="14">
        <v>980</v>
      </c>
      <c r="D40" s="14">
        <v>4</v>
      </c>
      <c r="E40" s="14">
        <v>16</v>
      </c>
      <c r="F40" s="14">
        <v>4</v>
      </c>
      <c r="G40" s="14">
        <v>12</v>
      </c>
      <c r="H40" s="11"/>
      <c r="I40" s="11"/>
      <c r="J40" s="15">
        <f t="shared" si="13"/>
        <v>1257.1428571428571</v>
      </c>
      <c r="K40" s="16">
        <f t="shared" si="14"/>
        <v>1.0262390670553936</v>
      </c>
      <c r="L40" s="14">
        <v>2</v>
      </c>
      <c r="M40" s="14">
        <v>8</v>
      </c>
      <c r="N40" s="29"/>
    </row>
    <row r="41" spans="1:16" ht="15" x14ac:dyDescent="0.3">
      <c r="A41" s="27" t="str">
        <f t="shared" si="12"/>
        <v>top floor</v>
      </c>
      <c r="B41" s="25" t="str">
        <f t="shared" si="15"/>
        <v>350 X 350</v>
      </c>
      <c r="C41" s="14">
        <v>980</v>
      </c>
      <c r="D41" s="14">
        <v>4</v>
      </c>
      <c r="E41" s="14">
        <v>16</v>
      </c>
      <c r="F41" s="14">
        <v>4</v>
      </c>
      <c r="G41" s="14">
        <v>12</v>
      </c>
      <c r="H41" s="11"/>
      <c r="I41" s="11"/>
      <c r="J41" s="15">
        <f t="shared" si="13"/>
        <v>1257.1428571428571</v>
      </c>
      <c r="K41" s="16">
        <f t="shared" si="14"/>
        <v>1.0262390670553936</v>
      </c>
      <c r="L41" s="14">
        <v>2</v>
      </c>
      <c r="M41" s="14">
        <v>8</v>
      </c>
      <c r="N41" s="29"/>
    </row>
  </sheetData>
  <mergeCells count="24">
    <mergeCell ref="A20:N20"/>
    <mergeCell ref="A25:N25"/>
    <mergeCell ref="A31:N31"/>
    <mergeCell ref="D8:E8"/>
    <mergeCell ref="F8:G8"/>
    <mergeCell ref="H8:I8"/>
    <mergeCell ref="A15:N15"/>
    <mergeCell ref="A19:N19"/>
    <mergeCell ref="A37:N37"/>
    <mergeCell ref="B6:C6"/>
    <mergeCell ref="A1:C1"/>
    <mergeCell ref="A2:C2"/>
    <mergeCell ref="B3:C3"/>
    <mergeCell ref="B4:C4"/>
    <mergeCell ref="B5:C5"/>
    <mergeCell ref="A10:N10"/>
    <mergeCell ref="A7:A9"/>
    <mergeCell ref="B7:B9"/>
    <mergeCell ref="C7:C9"/>
    <mergeCell ref="D7:I7"/>
    <mergeCell ref="J7:J8"/>
    <mergeCell ref="K7:K8"/>
    <mergeCell ref="L7:M7"/>
    <mergeCell ref="N7:N8"/>
  </mergeCells>
  <pageMargins left="1.25" right="1.25" top="1" bottom="0.79166666666666696" header="0.25" footer="0.25"/>
  <pageSetup paperSize="9"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8C6BBF69A1F488E40AEF3A3BA5268" ma:contentTypeVersion="4" ma:contentTypeDescription="Create a new document." ma:contentTypeScope="" ma:versionID="4c2b3f7a0fbf7e55e70a50d8558bafe8">
  <xsd:schema xmlns:xsd="http://www.w3.org/2001/XMLSchema" xmlns:xs="http://www.w3.org/2001/XMLSchema" xmlns:p="http://schemas.microsoft.com/office/2006/metadata/properties" xmlns:ns2="35d28554-9c82-4d01-af78-ff48b97fb042" targetNamespace="http://schemas.microsoft.com/office/2006/metadata/properties" ma:root="true" ma:fieldsID="d07d465e4d44e9f3ab506962f070e6d6" ns2:_="">
    <xsd:import namespace="35d28554-9c82-4d01-af78-ff48b97fb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28554-9c82-4d01-af78-ff48b97fb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07D902-D89D-44EB-ACF2-333338A58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28554-9c82-4d01-af78-ff48b97fb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91BA8E-F684-47E5-83FC-B9DAD9BC45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2B08F0-0069-49EA-888C-9BF34D9053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Trial</vt:lpstr>
      <vt:lpstr>BEAM GF</vt:lpstr>
      <vt:lpstr>2. Shear reinforcement</vt:lpstr>
      <vt:lpstr>BEAM 1F</vt:lpstr>
      <vt:lpstr>BEAM 2F</vt:lpstr>
      <vt:lpstr>BEAM RF</vt:lpstr>
      <vt:lpstr>BEAM SC</vt:lpstr>
      <vt:lpstr>column summary</vt:lpstr>
      <vt:lpstr>'BEAM 1F'!Print_Area</vt:lpstr>
      <vt:lpstr>'BEAM 2F'!Print_Area</vt:lpstr>
      <vt:lpstr>'BEAM GF'!Print_Area</vt:lpstr>
      <vt:lpstr>'BEAM RF'!Print_Area</vt:lpstr>
      <vt:lpstr>'BEAM SC'!Print_Area</vt:lpstr>
      <vt:lpstr>'column summary'!Print_Area</vt:lpstr>
      <vt:lpstr>Trial!Print_Area</vt:lpstr>
      <vt:lpstr>'BEAM 1F'!Print_Titles</vt:lpstr>
      <vt:lpstr>'BEAM 2F'!Print_Titles</vt:lpstr>
      <vt:lpstr>'BEAM GF'!Print_Titles</vt:lpstr>
      <vt:lpstr>'BEAM RF'!Print_Titles</vt:lpstr>
      <vt:lpstr>'BEAM SC'!Print_Titles</vt:lpstr>
      <vt:lpstr>Trial!Print_Titles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2023-04-15T09:51:06Z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0x0101009218C6BBF69A1F488E40AEF3A3BA5268</vt:lpwstr>
  </property>
</Properties>
</file>