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<sst xmlns="http://schemas.openxmlformats.org/spreadsheetml/2006/main" count="98" uniqueCount="30">
  <si>
    <t xml:space="preserve">Homogenus </t>
  </si>
  <si>
    <t xml:space="preserve">Dedup</t>
  </si>
  <si>
    <t xml:space="preserve">CPI </t>
  </si>
  <si>
    <t xml:space="preserve">Total reads</t>
  </si>
  <si>
    <t xml:space="preserve">Total writes</t>
  </si>
  <si>
    <t xml:space="preserve">Energy</t>
  </si>
  <si>
    <t xml:space="preserve">EDP</t>
  </si>
  <si>
    <t xml:space="preserve">Misses</t>
  </si>
  <si>
    <t xml:space="preserve">Total Access</t>
  </si>
  <si>
    <t xml:space="preserve">Miss Rate</t>
  </si>
  <si>
    <t xml:space="preserve">Total Instructions</t>
  </si>
  <si>
    <t xml:space="preserve">MPKI</t>
  </si>
  <si>
    <t xml:space="preserve">CPI Normalised vs 1ms</t>
  </si>
  <si>
    <t xml:space="preserve">Cpi Normalised vs 1s</t>
  </si>
  <si>
    <t xml:space="preserve">Energy  Normalised vs 1ms</t>
  </si>
  <si>
    <t xml:space="preserve">Energy Normalised vs 1s</t>
  </si>
  <si>
    <t xml:space="preserve">1ms</t>
  </si>
  <si>
    <t xml:space="preserve">10ms</t>
  </si>
  <si>
    <t xml:space="preserve">100ms</t>
  </si>
  <si>
    <t xml:space="preserve">1s</t>
  </si>
  <si>
    <t xml:space="preserve">Swaptions</t>
  </si>
  <si>
    <t xml:space="preserve">Freqmine</t>
  </si>
  <si>
    <t xml:space="preserve">Streamcluster</t>
  </si>
  <si>
    <t xml:space="preserve">x264</t>
  </si>
  <si>
    <t xml:space="preserve">Fluidanimate</t>
  </si>
  <si>
    <t xml:space="preserve">Read Energy</t>
  </si>
  <si>
    <t xml:space="preserve">Write Energy</t>
  </si>
  <si>
    <t xml:space="preserve">AVG</t>
  </si>
  <si>
    <t xml:space="preserve">MPKI  Normalised vs 1ms</t>
  </si>
  <si>
    <t xml:space="preserve">MPKI Normalised vs 1s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</si>
</sst>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6"/>
  <sheetViews>
    <sheetView showFormulas="false" showGridLines="true" showRowColHeaders="true" showZeros="true" rightToLeft="false" tabSelected="true" showOutlineSymbols="true" defaultGridColor="true" view="normal" topLeftCell="J1" colorId="64" zoomScale="120" zoomScaleNormal="120" zoomScalePageLayoutView="100" workbookViewId="0">
      <selection pane="topLeft" activeCell="Q53" activeCellId="0" sqref="Q53:Q56"/>
    </sheetView>
  </sheetViews>
  <sheetFormatPr defaultColWidth="11.625" defaultRowHeight="12.8" zeroHeight="false" outlineLevelRow="0" outlineLevelCol="0"/>
  <cols>
    <col collapsed="false" customWidth="true" hidden="false" outlineLevel="0" max="2" min="2" style="1" width="13.31"/>
    <col collapsed="false" customWidth="true" hidden="false" outlineLevel="0" max="3" min="3" style="0" width="26.32"/>
    <col collapsed="false" customWidth="true" hidden="false" outlineLevel="0" max="4" min="4" style="0" width="24.01"/>
    <col collapsed="false" customWidth="true" hidden="false" outlineLevel="0" max="5" min="5" style="0" width="18.52"/>
    <col collapsed="false" customWidth="true" hidden="false" outlineLevel="0" max="6" min="6" style="2" width="21.07"/>
    <col collapsed="false" customWidth="true" hidden="false" outlineLevel="0" max="10" min="10" style="0" width="15.74"/>
    <col collapsed="false" customWidth="true" hidden="false" outlineLevel="0" max="11" min="11" style="0" width="11.52"/>
    <col collapsed="false" customWidth="true" hidden="false" outlineLevel="0" max="13" min="13" style="0" width="20.82"/>
    <col collapsed="false" customWidth="true" hidden="false" outlineLevel="0" max="14" min="14" style="0" width="19.08"/>
    <col collapsed="false" customWidth="true" hidden="false" outlineLevel="0" max="15" min="15" style="0" width="24.06"/>
    <col collapsed="false" customWidth="true" hidden="false" outlineLevel="0" max="16" min="16" style="0" width="22.09"/>
    <col collapsed="false" customWidth="true" hidden="false" outlineLevel="0" max="17" min="17" style="0" width="22.66"/>
    <col collapsed="false" customWidth="true" hidden="false" outlineLevel="0" max="18" min="18" style="0" width="21.54"/>
  </cols>
  <sheetData>
    <row r="1" customFormat="false" ht="12.8" hidden="false" customHeight="false" outlineLevel="0" collapsed="false">
      <c r="B1" s="3" t="s">
        <v>0</v>
      </c>
      <c r="C1" s="3"/>
      <c r="D1" s="3"/>
      <c r="E1" s="3"/>
    </row>
    <row r="4" customFormat="false" ht="12.8" hidden="false" customHeight="false" outlineLevel="0" collapsed="false">
      <c r="B4" s="4" t="s">
        <v>1</v>
      </c>
      <c r="C4" s="4"/>
      <c r="D4" s="4"/>
      <c r="E4" s="4"/>
    </row>
    <row r="5" customFormat="false" ht="12.8" hidden="false" customHeight="false" outlineLevel="0" collapsed="false">
      <c r="B5" s="1" t="s">
        <v>2</v>
      </c>
      <c r="C5" s="0" t="s">
        <v>3</v>
      </c>
      <c r="D5" s="0" t="s">
        <v>4</v>
      </c>
      <c r="E5" s="0" t="s">
        <v>5</v>
      </c>
      <c r="F5" s="2" t="s">
        <v>6</v>
      </c>
      <c r="G5" s="0" t="s">
        <v>7</v>
      </c>
      <c r="H5" s="0" t="s">
        <v>8</v>
      </c>
      <c r="I5" s="0" t="s">
        <v>9</v>
      </c>
      <c r="J5" s="0" t="s">
        <v>10</v>
      </c>
      <c r="K5" s="0" t="s">
        <v>11</v>
      </c>
      <c r="M5" s="0" t="s">
        <v>12</v>
      </c>
      <c r="N5" s="0" t="s">
        <v>13</v>
      </c>
      <c r="O5" s="0" t="s">
        <v>14</v>
      </c>
      <c r="P5" s="0" t="s">
        <v>15</v>
      </c>
    </row>
    <row r="6" customFormat="false" ht="12.8" hidden="false" customHeight="false" outlineLevel="0" collapsed="false">
      <c r="A6" s="0" t="s">
        <v>16</v>
      </c>
      <c r="B6" s="1" t="n">
        <f aca="false">3443318076000/6048370474</f>
        <v>569.296819829691</v>
      </c>
      <c r="C6" s="0" t="n">
        <f aca="false">41753579+1438594+1698</f>
        <v>43193871</v>
      </c>
      <c r="D6" s="0" t="n">
        <f aca="false">46400792+1677500+1960</f>
        <v>48080252</v>
      </c>
      <c r="E6" s="2" t="n">
        <f aca="false">C6*$B53+D6*$C53</f>
        <v>270539345.16994</v>
      </c>
      <c r="F6" s="2" t="n">
        <f aca="false">B6*E6</f>
        <v>154017188844.054</v>
      </c>
      <c r="G6" s="0" t="n">
        <v>13163477</v>
      </c>
      <c r="H6" s="0" t="n">
        <v>50479373</v>
      </c>
      <c r="I6" s="2" t="n">
        <f aca="false">G6/H6*100</f>
        <v>26.0769423582183</v>
      </c>
      <c r="J6" s="5" t="n">
        <v>6048370474</v>
      </c>
      <c r="K6" s="2" t="n">
        <f aca="false">G6/J6*1000</f>
        <v>2.1763675119746</v>
      </c>
      <c r="M6" s="0" t="n">
        <f aca="false">B6/$B$6</f>
        <v>1</v>
      </c>
      <c r="N6" s="0" t="n">
        <f aca="false">B6/B$9</f>
        <v>1.23784845468154</v>
      </c>
      <c r="O6" s="0" t="n">
        <f aca="false">E6/E$6</f>
        <v>1</v>
      </c>
      <c r="P6" s="0" t="n">
        <f aca="false">E6/E$9</f>
        <v>0.902217703065276</v>
      </c>
      <c r="Q6" s="0" t="n">
        <f aca="false">K6/K$6</f>
        <v>1</v>
      </c>
    </row>
    <row r="7" customFormat="false" ht="12.8" hidden="false" customHeight="false" outlineLevel="0" collapsed="false">
      <c r="A7" s="0" t="s">
        <v>17</v>
      </c>
      <c r="B7" s="1" t="n">
        <f aca="false">2859117733500/6013628637</f>
        <v>475.439689758814</v>
      </c>
      <c r="C7" s="0" t="n">
        <f aca="false">28026445+15828314+2475209+91067</f>
        <v>46421035</v>
      </c>
      <c r="D7" s="0" t="n">
        <f aca="false">23083872+13854638+2173222+82265</f>
        <v>39193997</v>
      </c>
      <c r="E7" s="2" t="n">
        <f aca="false">C7*$B54+D7*$C54</f>
        <v>275468425.81123</v>
      </c>
      <c r="F7" s="2" t="n">
        <f aca="false">B7*E7</f>
        <v>130968622906.04</v>
      </c>
      <c r="G7" s="0" t="n">
        <v>3743807</v>
      </c>
      <c r="H7" s="0" t="n">
        <v>48198021</v>
      </c>
      <c r="I7" s="2" t="n">
        <f aca="false">G7/H7*100</f>
        <v>7.76755336074898</v>
      </c>
      <c r="J7" s="5" t="n">
        <v>6013628637</v>
      </c>
      <c r="K7" s="2" t="n">
        <f aca="false">G7/J7*1000</f>
        <v>0.622553740177022</v>
      </c>
      <c r="M7" s="0" t="n">
        <f aca="false">B7/$B$6</f>
        <v>0.835134982663429</v>
      </c>
      <c r="N7" s="0" t="n">
        <f aca="false">B7/B$9</f>
        <v>1.03377054774042</v>
      </c>
      <c r="O7" s="0" t="n">
        <f aca="false">E7/E$6</f>
        <v>1.0182194594956</v>
      </c>
      <c r="P7" s="0" t="n">
        <f aca="false">E7/E$9</f>
        <v>0.918655621962488</v>
      </c>
      <c r="Q7" s="0" t="n">
        <f aca="false">K7/K$6</f>
        <v>0.286051752174974</v>
      </c>
    </row>
    <row r="8" customFormat="false" ht="12.8" hidden="false" customHeight="false" outlineLevel="0" collapsed="false">
      <c r="A8" s="0" t="s">
        <v>18</v>
      </c>
      <c r="B8" s="1" t="n">
        <f aca="false">2851948094000/6126831952</f>
        <v>465.484954760189</v>
      </c>
      <c r="C8" s="0" t="n">
        <f aca="false">13087786+12560031+12755261+12135799</f>
        <v>50538877</v>
      </c>
      <c r="D8" s="0" t="n">
        <f aca="false">9816997+9892872+10167922+9715146</f>
        <v>39592937</v>
      </c>
      <c r="E8" s="2" t="n">
        <f aca="false">C8*$B55+D8*$C55</f>
        <v>306581079.2559</v>
      </c>
      <c r="F8" s="2" t="n">
        <f aca="false">B8*E8</f>
        <v>142708879807.763</v>
      </c>
      <c r="G8" s="0" t="n">
        <v>2365638</v>
      </c>
      <c r="H8" s="0" t="n">
        <v>51414699</v>
      </c>
      <c r="I8" s="2" t="n">
        <f aca="false">G8/H8*100</f>
        <v>4.60109277309977</v>
      </c>
      <c r="J8" s="5" t="n">
        <v>6126831952</v>
      </c>
      <c r="K8" s="2" t="n">
        <f aca="false">G8/J8*1000</f>
        <v>0.386111128644189</v>
      </c>
      <c r="M8" s="0" t="n">
        <f aca="false">B8/$B$6</f>
        <v>0.817648963680215</v>
      </c>
      <c r="N8" s="0" t="n">
        <f aca="false">B8/B$9</f>
        <v>1.01212550616352</v>
      </c>
      <c r="O8" s="0" t="n">
        <f aca="false">E8/E$6</f>
        <v>1.13322178355729</v>
      </c>
      <c r="P8" s="0" t="n">
        <f aca="false">E8/E$9</f>
        <v>1.02241275462459</v>
      </c>
      <c r="Q8" s="0" t="n">
        <f aca="false">K8/K$6</f>
        <v>0.177410812521215</v>
      </c>
    </row>
    <row r="9" customFormat="false" ht="12.8" hidden="false" customHeight="false" outlineLevel="0" collapsed="false">
      <c r="A9" s="0" t="s">
        <v>19</v>
      </c>
      <c r="B9" s="1" t="n">
        <f aca="false">2761096999000/6003581145</f>
        <v>459.908333428547</v>
      </c>
      <c r="C9" s="0" t="n">
        <f aca="false">11815667+11651915+11555599+11602943</f>
        <v>46626124</v>
      </c>
      <c r="D9" s="0" t="n">
        <f aca="false">9322094+9412407+9276558+9357014</f>
        <v>37368073</v>
      </c>
      <c r="E9" s="2" t="n">
        <f aca="false">C9*$B56+D9*$C56</f>
        <v>299860382.09047</v>
      </c>
      <c r="F9" s="2" t="n">
        <f aca="false">B9*E9</f>
        <v>137908288588.475</v>
      </c>
      <c r="G9" s="0" t="n">
        <v>2127547</v>
      </c>
      <c r="H9" s="0" t="n">
        <v>47347092</v>
      </c>
      <c r="I9" s="2" t="n">
        <f aca="false">G9/H9*100</f>
        <v>4.49351144944657</v>
      </c>
      <c r="J9" s="5" t="n">
        <v>6003581145</v>
      </c>
      <c r="K9" s="2" t="n">
        <f aca="false">G9/J9*1000</f>
        <v>0.354379652513217</v>
      </c>
      <c r="M9" s="0" t="n">
        <f aca="false">B9/$B$6</f>
        <v>0.807853333110365</v>
      </c>
      <c r="N9" s="0" t="n">
        <f aca="false">B9/B$9</f>
        <v>1</v>
      </c>
      <c r="O9" s="0" t="n">
        <f aca="false">E9/E$6</f>
        <v>1.10837993602044</v>
      </c>
      <c r="P9" s="0" t="n">
        <f aca="false">E9/E$9</f>
        <v>1</v>
      </c>
      <c r="Q9" s="0" t="n">
        <f aca="false">K9/K$6</f>
        <v>0.162830795149892</v>
      </c>
    </row>
    <row r="10" customFormat="false" ht="12.8" hidden="false" customHeight="false" outlineLevel="0" collapsed="false">
      <c r="E10" s="2"/>
      <c r="I10" s="2"/>
      <c r="J10" s="2"/>
      <c r="K10" s="2"/>
    </row>
    <row r="11" customFormat="false" ht="12.8" hidden="false" customHeight="false" outlineLevel="0" collapsed="false">
      <c r="E11" s="2"/>
      <c r="I11" s="2"/>
      <c r="J11" s="2"/>
      <c r="K11" s="2"/>
    </row>
    <row r="12" customFormat="false" ht="12.8" hidden="false" customHeight="false" outlineLevel="0" collapsed="false">
      <c r="B12" s="6" t="s">
        <v>20</v>
      </c>
      <c r="C12" s="6"/>
      <c r="D12" s="6"/>
      <c r="E12" s="6" t="n">
        <f aca="false">C12*$B$53+D12*$C$53</f>
        <v>0</v>
      </c>
      <c r="F12" s="7"/>
      <c r="G12" s="8"/>
      <c r="I12" s="2"/>
      <c r="J12" s="2"/>
      <c r="K12" s="2"/>
    </row>
    <row r="13" customFormat="false" ht="12.8" hidden="false" customHeight="false" outlineLevel="0" collapsed="false">
      <c r="B13" s="1" t="s">
        <v>2</v>
      </c>
      <c r="C13" s="0" t="s">
        <v>3</v>
      </c>
      <c r="D13" s="0" t="s">
        <v>4</v>
      </c>
      <c r="E13" s="2" t="s">
        <v>5</v>
      </c>
      <c r="F13" s="2" t="s">
        <v>6</v>
      </c>
      <c r="G13" s="0" t="s">
        <v>7</v>
      </c>
      <c r="H13" s="0" t="s">
        <v>8</v>
      </c>
      <c r="I13" s="2" t="s">
        <v>9</v>
      </c>
      <c r="J13" s="2"/>
      <c r="K13" s="2"/>
    </row>
    <row r="14" customFormat="false" ht="12.8" hidden="false" customHeight="false" outlineLevel="0" collapsed="false">
      <c r="A14" s="0" t="s">
        <v>16</v>
      </c>
      <c r="B14" s="1" t="n">
        <f aca="false">1915712918500/4387279821</f>
        <v>436.651637611605</v>
      </c>
      <c r="C14" s="0" t="n">
        <f aca="false">14453960+12101</f>
        <v>14466061</v>
      </c>
      <c r="D14" s="0" t="n">
        <f aca="false">9184554+11582</f>
        <v>9196136</v>
      </c>
      <c r="E14" s="2" t="n">
        <f aca="false">C14*$B53+D14*$C53</f>
        <v>58221986.70462</v>
      </c>
      <c r="F14" s="2" t="n">
        <f aca="false">B14*E14</f>
        <v>25422725839.5734</v>
      </c>
      <c r="G14" s="0" t="n">
        <v>2066021</v>
      </c>
      <c r="H14" s="0" t="n">
        <v>15486233</v>
      </c>
      <c r="I14" s="2" t="n">
        <f aca="false">G14/H14*100</f>
        <v>13.3410171472946</v>
      </c>
      <c r="J14" s="5" t="n">
        <v>4387279821</v>
      </c>
      <c r="K14" s="2" t="n">
        <f aca="false">G14/J14*1000</f>
        <v>0.470911609081977</v>
      </c>
      <c r="M14" s="0" t="n">
        <f aca="false">B14/$B$14</f>
        <v>1</v>
      </c>
      <c r="N14" s="0" t="n">
        <f aca="false">B14/B$17</f>
        <v>1.05977905681211</v>
      </c>
      <c r="O14" s="0" t="n">
        <f aca="false">E14/E$14</f>
        <v>1</v>
      </c>
      <c r="P14" s="0" t="n">
        <f aca="false">E14/E$17</f>
        <v>0.819092964581552</v>
      </c>
      <c r="Q14" s="0" t="n">
        <f aca="false">K14/K$14</f>
        <v>1</v>
      </c>
    </row>
    <row r="15" customFormat="false" ht="12.8" hidden="false" customHeight="false" outlineLevel="0" collapsed="false">
      <c r="A15" s="0" t="s">
        <v>17</v>
      </c>
      <c r="B15" s="1" t="n">
        <f aca="false">1808948786000/4387416999</f>
        <v>412.303819402693</v>
      </c>
      <c r="C15" s="0" t="n">
        <f aca="false">14065045+559832+203587+18711</f>
        <v>14847175</v>
      </c>
      <c r="D15" s="0" t="n">
        <f aca="false">7304931+187224+521179+16364</f>
        <v>8029698</v>
      </c>
      <c r="E15" s="2" t="n">
        <f aca="false">C15*$B54+D15*$C54</f>
        <v>62061991.87947</v>
      </c>
      <c r="F15" s="2" t="n">
        <f aca="false">B15*E15</f>
        <v>25588396291.6444</v>
      </c>
      <c r="G15" s="0" t="n">
        <v>396682</v>
      </c>
      <c r="H15" s="0" t="n">
        <v>15078755</v>
      </c>
      <c r="I15" s="2" t="n">
        <f aca="false">G15/H15*100</f>
        <v>2.63073443397681</v>
      </c>
      <c r="J15" s="5" t="n">
        <v>4387416999</v>
      </c>
      <c r="K15" s="2" t="n">
        <f aca="false">G15/J15*1000</f>
        <v>0.0904135622600755</v>
      </c>
      <c r="M15" s="0" t="n">
        <f aca="false">B15/$B$14</f>
        <v>0.944239718549804</v>
      </c>
      <c r="N15" s="0" t="n">
        <f aca="false">B15/B$17</f>
        <v>1.00068547832924</v>
      </c>
      <c r="O15" s="0" t="n">
        <f aca="false">E15/E$14</f>
        <v>1.06595455415034</v>
      </c>
      <c r="P15" s="0" t="n">
        <f aca="false">E15/E$17</f>
        <v>0.873115875868205</v>
      </c>
      <c r="Q15" s="0" t="n">
        <f aca="false">K15/K$14</f>
        <v>0.191996885437445</v>
      </c>
    </row>
    <row r="16" customFormat="false" ht="12.8" hidden="false" customHeight="false" outlineLevel="0" collapsed="false">
      <c r="A16" s="0" t="s">
        <v>18</v>
      </c>
      <c r="B16" s="1" t="n">
        <f aca="false">1801194597000/4391859499</f>
        <v>410.121179288664</v>
      </c>
      <c r="C16" s="0" t="n">
        <f aca="false">13532422+436848+658646+691152</f>
        <v>15319068</v>
      </c>
      <c r="D16" s="0" t="n">
        <f aca="false">6831711+386623+558264+472809</f>
        <v>8249407</v>
      </c>
      <c r="E16" s="2" t="n">
        <f aca="false">C16*$B55+D16*$C55</f>
        <v>68953832.05922</v>
      </c>
      <c r="F16" s="2" t="n">
        <f aca="false">B16*E16</f>
        <v>28279426920.5998</v>
      </c>
      <c r="G16" s="0" t="n">
        <v>288730</v>
      </c>
      <c r="H16" s="0" t="n">
        <v>15518708</v>
      </c>
      <c r="I16" s="2" t="n">
        <f aca="false">G16/H16*100</f>
        <v>1.86052859555061</v>
      </c>
      <c r="J16" s="5" t="n">
        <v>4391859499</v>
      </c>
      <c r="K16" s="2" t="n">
        <f aca="false">G16/J16*1000</f>
        <v>0.0657420848881304</v>
      </c>
      <c r="M16" s="0" t="n">
        <f aca="false">B16/$B$14</f>
        <v>0.93924113403523</v>
      </c>
      <c r="N16" s="0" t="n">
        <f aca="false">B16/B$17</f>
        <v>0.99538808314699</v>
      </c>
      <c r="O16" s="0" t="n">
        <f aca="false">E16/E$14</f>
        <v>1.18432633377913</v>
      </c>
      <c r="P16" s="0" t="n">
        <f aca="false">E16/E$17</f>
        <v>0.97007336776715</v>
      </c>
      <c r="Q16" s="0" t="n">
        <f aca="false">K16/K$14</f>
        <v>0.139605997431857</v>
      </c>
    </row>
    <row r="17" customFormat="false" ht="12.8" hidden="false" customHeight="false" outlineLevel="0" collapsed="false">
      <c r="A17" s="0" t="s">
        <v>19</v>
      </c>
      <c r="B17" s="1" t="n">
        <f aca="false">1810647157000/4394546524</f>
        <v>412.021387670261</v>
      </c>
      <c r="C17" s="0" t="n">
        <f aca="false">7291763+2402430+3333627+2310734</f>
        <v>15338554</v>
      </c>
      <c r="D17" s="0" t="n">
        <f aca="false">3879588+1517559+1412575+1365902</f>
        <v>8175624</v>
      </c>
      <c r="E17" s="2" t="n">
        <f aca="false">C17*$B56+D17*$C56</f>
        <v>71081048.45506</v>
      </c>
      <c r="F17" s="2" t="n">
        <f aca="false">B17*E17</f>
        <v>29286912221.5109</v>
      </c>
      <c r="G17" s="0" t="n">
        <v>230185</v>
      </c>
      <c r="H17" s="0" t="n">
        <v>15489177</v>
      </c>
      <c r="I17" s="2" t="n">
        <f aca="false">G17/H17*100</f>
        <v>1.48610219897416</v>
      </c>
      <c r="J17" s="5" t="n">
        <v>4394546524</v>
      </c>
      <c r="K17" s="2" t="n">
        <f aca="false">G17/J17*1000</f>
        <v>0.0523796935003162</v>
      </c>
      <c r="M17" s="0" t="n">
        <f aca="false">B17/$B$14</f>
        <v>0.943592906061073</v>
      </c>
      <c r="N17" s="0" t="n">
        <f aca="false">B17/B$17</f>
        <v>1</v>
      </c>
      <c r="O17" s="0" t="n">
        <f aca="false">E17/E$14</f>
        <v>1.2208626410445</v>
      </c>
      <c r="P17" s="0" t="n">
        <f aca="false">E17/E$17</f>
        <v>1</v>
      </c>
      <c r="Q17" s="0" t="n">
        <f aca="false">K17/K$14</f>
        <v>0.111230414562147</v>
      </c>
    </row>
    <row r="18" customFormat="false" ht="12.8" hidden="false" customHeight="false" outlineLevel="0" collapsed="false">
      <c r="E18" s="2"/>
      <c r="I18" s="2"/>
      <c r="J18" s="2"/>
      <c r="K18" s="2"/>
    </row>
    <row r="19" customFormat="false" ht="12.8" hidden="false" customHeight="false" outlineLevel="0" collapsed="false">
      <c r="E19" s="2"/>
      <c r="I19" s="2"/>
      <c r="J19" s="2"/>
      <c r="K19" s="2"/>
    </row>
    <row r="20" customFormat="false" ht="12.8" hidden="false" customHeight="false" outlineLevel="0" collapsed="false">
      <c r="B20" s="6" t="s">
        <v>21</v>
      </c>
      <c r="C20" s="6"/>
      <c r="D20" s="6"/>
      <c r="E20" s="6" t="n">
        <f aca="false">C20*$B$53+D20*$C$53</f>
        <v>0</v>
      </c>
      <c r="F20" s="7"/>
      <c r="G20" s="8"/>
      <c r="I20" s="2"/>
      <c r="J20" s="2"/>
      <c r="K20" s="2"/>
    </row>
    <row r="21" customFormat="false" ht="12.8" hidden="false" customHeight="false" outlineLevel="0" collapsed="false">
      <c r="B21" s="1" t="s">
        <v>2</v>
      </c>
      <c r="C21" s="0" t="s">
        <v>3</v>
      </c>
      <c r="D21" s="0" t="s">
        <v>4</v>
      </c>
      <c r="E21" s="2" t="s">
        <v>5</v>
      </c>
      <c r="F21" s="2" t="s">
        <v>6</v>
      </c>
      <c r="G21" s="0" t="s">
        <v>7</v>
      </c>
      <c r="H21" s="0" t="s">
        <v>8</v>
      </c>
      <c r="I21" s="2" t="s">
        <v>9</v>
      </c>
      <c r="J21" s="2"/>
      <c r="K21" s="2"/>
    </row>
    <row r="22" customFormat="false" ht="12.8" hidden="false" customHeight="false" outlineLevel="0" collapsed="false">
      <c r="A22" s="0" t="s">
        <v>16</v>
      </c>
      <c r="B22" s="1" t="n">
        <f aca="false">7266112482500/10462858186</f>
        <v>694.467262513654</v>
      </c>
      <c r="C22" s="0" t="n">
        <f aca="false">15416570+1018037+23887+81</f>
        <v>16458575</v>
      </c>
      <c r="D22" s="0" t="n">
        <f aca="false">24237652+1629611+36164+141</f>
        <v>25903568</v>
      </c>
      <c r="E22" s="2" t="n">
        <f aca="false">C22*$B53+D22*$C53</f>
        <v>138643454.86586</v>
      </c>
      <c r="F22" s="2" t="n">
        <f aca="false">B22*E22</f>
        <v>96283340566.1291</v>
      </c>
      <c r="G22" s="0" t="n">
        <v>17335241</v>
      </c>
      <c r="H22" s="0" t="n">
        <v>30871862</v>
      </c>
      <c r="I22" s="2" t="n">
        <f aca="false">G22/H22*100</f>
        <v>56.1522366224622</v>
      </c>
      <c r="J22" s="5" t="n">
        <v>10462858186</v>
      </c>
      <c r="K22" s="2" t="n">
        <f aca="false">G22/J22*1000</f>
        <v>1.65683608549676</v>
      </c>
      <c r="M22" s="0" t="n">
        <f aca="false">B22/$B$22</f>
        <v>1</v>
      </c>
      <c r="N22" s="0" t="n">
        <f aca="false">B22/B$25</f>
        <v>1.1469619586358</v>
      </c>
      <c r="O22" s="0" t="n">
        <f aca="false">E22/E$22</f>
        <v>1</v>
      </c>
      <c r="P22" s="0" t="n">
        <f aca="false">E22/E$25</f>
        <v>1.15451689264199</v>
      </c>
      <c r="Q22" s="0" t="n">
        <f aca="false">K22/K$22</f>
        <v>1</v>
      </c>
    </row>
    <row r="23" customFormat="false" ht="12.8" hidden="false" customHeight="false" outlineLevel="0" collapsed="false">
      <c r="A23" s="0" t="s">
        <v>17</v>
      </c>
      <c r="B23" s="1" t="n">
        <f aca="false">6545240647000/10372613212</f>
        <v>631.011733805697</v>
      </c>
      <c r="C23" s="0" t="n">
        <f aca="false">11667102+5691258+3315670+1969543</f>
        <v>22643573</v>
      </c>
      <c r="D23" s="0" t="n">
        <f aca="false">9217212+3995703+2395197+1561964</f>
        <v>17170076</v>
      </c>
      <c r="E23" s="2" t="n">
        <f aca="false">C23*$B54+D23*$C54</f>
        <v>123109750.63081</v>
      </c>
      <c r="F23" s="2" t="n">
        <f aca="false">B23*E23</f>
        <v>77683697193.9344</v>
      </c>
      <c r="G23" s="0" t="n">
        <v>8139109</v>
      </c>
      <c r="H23" s="0" t="n">
        <v>28443906</v>
      </c>
      <c r="I23" s="2" t="n">
        <f aca="false">G23/H23*100</f>
        <v>28.6145967434993</v>
      </c>
      <c r="J23" s="5" t="n">
        <v>10372613212</v>
      </c>
      <c r="K23" s="2" t="n">
        <f aca="false">G23/J23*1000</f>
        <v>0.784672949202803</v>
      </c>
      <c r="M23" s="0" t="n">
        <f aca="false">B23/$B$22</f>
        <v>0.908627040995025</v>
      </c>
      <c r="N23" s="0" t="n">
        <f aca="false">B23/B$25</f>
        <v>1.04216065060911</v>
      </c>
      <c r="O23" s="0" t="n">
        <f aca="false">E23/E$22</f>
        <v>0.887959339659567</v>
      </c>
      <c r="P23" s="0" t="n">
        <f aca="false">E23/E$25</f>
        <v>1.0251640576162</v>
      </c>
      <c r="Q23" s="0" t="n">
        <f aca="false">K23/K$22</f>
        <v>0.473597211016525</v>
      </c>
    </row>
    <row r="24" customFormat="false" ht="12.8" hidden="false" customHeight="false" outlineLevel="0" collapsed="false">
      <c r="A24" s="0" t="s">
        <v>18</v>
      </c>
      <c r="B24" s="1" t="n">
        <f aca="false">6266984260000/10321025695</f>
        <v>607.205567081964</v>
      </c>
      <c r="C24" s="0" t="n">
        <f aca="false">7530736+6212267+5858540+5592637</f>
        <v>25194180</v>
      </c>
      <c r="D24" s="0" t="n">
        <f aca="false">3958354+3633308+3521400+2961171</f>
        <v>14074233</v>
      </c>
      <c r="E24" s="2" t="n">
        <f aca="false">C24*$B55+D24*$C55</f>
        <v>116643512.34414</v>
      </c>
      <c r="F24" s="2" t="n">
        <f aca="false">B24*E24</f>
        <v>70826590059.3556</v>
      </c>
      <c r="G24" s="0" t="n">
        <v>5035028</v>
      </c>
      <c r="H24" s="0" t="n">
        <v>27924280</v>
      </c>
      <c r="I24" s="2" t="n">
        <f aca="false">G24/H24*100</f>
        <v>18.0310038432504</v>
      </c>
      <c r="J24" s="5" t="n">
        <v>10321025695</v>
      </c>
      <c r="K24" s="2" t="n">
        <f aca="false">G24/J24*1000</f>
        <v>0.487841823941898</v>
      </c>
      <c r="M24" s="0" t="n">
        <f aca="false">B24/$B$22</f>
        <v>0.874347287277672</v>
      </c>
      <c r="N24" s="0" t="n">
        <f aca="false">B24/B$25</f>
        <v>1.0028430771439</v>
      </c>
      <c r="O24" s="0" t="n">
        <f aca="false">E24/E$22</f>
        <v>0.841320006465467</v>
      </c>
      <c r="P24" s="0" t="n">
        <f aca="false">E24/E$25</f>
        <v>0.971318159582052</v>
      </c>
      <c r="Q24" s="0" t="n">
        <f aca="false">K24/K$22</f>
        <v>0.294441814861626</v>
      </c>
    </row>
    <row r="25" customFormat="false" ht="12.8" hidden="false" customHeight="false" outlineLevel="0" collapsed="false">
      <c r="A25" s="0" t="s">
        <v>19</v>
      </c>
      <c r="B25" s="1" t="n">
        <f aca="false">6274441736000/10362685718</f>
        <v>605.484128993827</v>
      </c>
      <c r="C25" s="0" t="n">
        <f aca="false">7047664+6413136+6183764+6215060</f>
        <v>25859624</v>
      </c>
      <c r="D25" s="0" t="n">
        <f aca="false">3513521+3437252+3398260+3471884</f>
        <v>13820917</v>
      </c>
      <c r="E25" s="2" t="n">
        <f aca="false">C25*$B56+D25*$C56</f>
        <v>120087852.97943</v>
      </c>
      <c r="F25" s="2" t="n">
        <f aca="false">B25*E25</f>
        <v>72711289063.9889</v>
      </c>
      <c r="G25" s="0" t="n">
        <v>4722705</v>
      </c>
      <c r="H25" s="0" t="n">
        <v>28008940</v>
      </c>
      <c r="I25" s="2" t="n">
        <f aca="false">G25/H25*100</f>
        <v>16.8614199609125</v>
      </c>
      <c r="J25" s="5" t="n">
        <v>10362685718</v>
      </c>
      <c r="K25" s="2" t="n">
        <f aca="false">G25/J25*1000</f>
        <v>0.45574140995096</v>
      </c>
      <c r="M25" s="0" t="n">
        <f aca="false">B25/$B$22</f>
        <v>0.871868497878865</v>
      </c>
      <c r="N25" s="0" t="n">
        <f aca="false">B25/B$25</f>
        <v>1</v>
      </c>
      <c r="O25" s="0" t="n">
        <f aca="false">E25/E$22</f>
        <v>0.866163159996389</v>
      </c>
      <c r="P25" s="0" t="n">
        <f aca="false">E25/E$25</f>
        <v>1</v>
      </c>
      <c r="Q25" s="0" t="n">
        <f aca="false">K25/K$22</f>
        <v>0.275067288756158</v>
      </c>
    </row>
    <row r="26" customFormat="false" ht="12.8" hidden="false" customHeight="false" outlineLevel="0" collapsed="false">
      <c r="E26" s="2"/>
      <c r="I26" s="2"/>
      <c r="J26" s="2"/>
      <c r="K26" s="2"/>
    </row>
    <row r="27" customFormat="false" ht="12.8" hidden="false" customHeight="false" outlineLevel="0" collapsed="false">
      <c r="E27" s="2"/>
      <c r="I27" s="2"/>
      <c r="J27" s="2"/>
      <c r="K27" s="2"/>
    </row>
    <row r="28" customFormat="false" ht="12.8" hidden="false" customHeight="false" outlineLevel="0" collapsed="false">
      <c r="B28" s="6" t="s">
        <v>22</v>
      </c>
      <c r="C28" s="6"/>
      <c r="D28" s="6"/>
      <c r="E28" s="6" t="n">
        <f aca="false">C28*$B$53+D28*$C$53</f>
        <v>0</v>
      </c>
      <c r="F28" s="7"/>
      <c r="G28" s="8"/>
      <c r="I28" s="2"/>
      <c r="J28" s="2"/>
      <c r="K28" s="2"/>
    </row>
    <row r="29" customFormat="false" ht="12.8" hidden="false" customHeight="false" outlineLevel="0" collapsed="false">
      <c r="B29" s="1" t="s">
        <v>2</v>
      </c>
      <c r="C29" s="0" t="s">
        <v>3</v>
      </c>
      <c r="D29" s="0" t="s">
        <v>4</v>
      </c>
      <c r="E29" s="2" t="s">
        <v>5</v>
      </c>
      <c r="F29" s="2" t="s">
        <v>6</v>
      </c>
      <c r="G29" s="0" t="s">
        <v>7</v>
      </c>
      <c r="H29" s="0" t="s">
        <v>8</v>
      </c>
      <c r="I29" s="2" t="s">
        <v>9</v>
      </c>
      <c r="J29" s="2"/>
      <c r="K29" s="2"/>
    </row>
    <row r="30" customFormat="false" ht="12.8" hidden="false" customHeight="false" outlineLevel="0" collapsed="false">
      <c r="A30" s="0" t="s">
        <v>16</v>
      </c>
      <c r="B30" s="1" t="n">
        <f aca="false">6229169228000/5487238227</f>
        <v>1135.21027706603</v>
      </c>
      <c r="C30" s="0" t="n">
        <f aca="false">13570313+2540274+4049</f>
        <v>16114636</v>
      </c>
      <c r="D30" s="0" t="n">
        <f aca="false">58411518+9336743+17893</f>
        <v>67766154</v>
      </c>
      <c r="E30" s="2" t="n">
        <f aca="false">C30*$B53+D30*$C53</f>
        <v>334578919.94948</v>
      </c>
      <c r="F30" s="2" t="n">
        <f aca="false">B30*E30</f>
        <v>379817428416.302</v>
      </c>
      <c r="G30" s="0" t="n">
        <v>67602697</v>
      </c>
      <c r="H30" s="0" t="n">
        <v>81385141</v>
      </c>
      <c r="I30" s="2" t="n">
        <f aca="false">G30/H30*100</f>
        <v>83.0651592776622</v>
      </c>
      <c r="J30" s="5" t="n">
        <v>5487238227</v>
      </c>
      <c r="K30" s="2" t="n">
        <f aca="false">G30/J30*1000</f>
        <v>12.3199857931009</v>
      </c>
      <c r="M30" s="0" t="n">
        <f aca="false">B30/$B$30</f>
        <v>1</v>
      </c>
      <c r="N30" s="0" t="n">
        <f aca="false">B30/B$33</f>
        <v>2.2988489248325</v>
      </c>
      <c r="O30" s="0" t="n">
        <f aca="false">E30/E$30</f>
        <v>1</v>
      </c>
      <c r="P30" s="0" t="n">
        <f aca="false">E30/E$33</f>
        <v>3.0691883857532</v>
      </c>
      <c r="Q30" s="0" t="n">
        <f aca="false">K30/K$30</f>
        <v>1</v>
      </c>
    </row>
    <row r="31" customFormat="false" ht="12.8" hidden="false" customHeight="false" outlineLevel="0" collapsed="false">
      <c r="A31" s="0" t="s">
        <v>17</v>
      </c>
      <c r="B31" s="1" t="n">
        <f aca="false">3254250841500/5397008963</f>
        <v>602.97302891472</v>
      </c>
      <c r="C31" s="0" t="n">
        <f aca="false">29551156+26236162+9470243+5645</f>
        <v>65263206</v>
      </c>
      <c r="D31" s="0" t="n">
        <f aca="false">5605844+6491577+3092619+2212</f>
        <v>15192252</v>
      </c>
      <c r="E31" s="2" t="n">
        <f aca="false">C31*$B54+D31*$C54</f>
        <v>156612092.80302</v>
      </c>
      <c r="F31" s="2" t="n">
        <f aca="false">B31*E31</f>
        <v>94432867962.1102</v>
      </c>
      <c r="G31" s="0" t="n">
        <v>14746454</v>
      </c>
      <c r="H31" s="0" t="n">
        <v>79087382</v>
      </c>
      <c r="I31" s="2" t="n">
        <f aca="false">G31/H31*100</f>
        <v>18.6457733548444</v>
      </c>
      <c r="J31" s="5" t="n">
        <v>5397008963</v>
      </c>
      <c r="K31" s="2" t="n">
        <f aca="false">G31/J31*1000</f>
        <v>2.73233824533117</v>
      </c>
      <c r="M31" s="0" t="n">
        <f aca="false">B31/$B$30</f>
        <v>0.53115536486607</v>
      </c>
      <c r="N31" s="0" t="n">
        <f aca="false">B31/B$33</f>
        <v>1.22104593944138</v>
      </c>
      <c r="O31" s="0" t="n">
        <f aca="false">E31/E$30</f>
        <v>0.468087149144566</v>
      </c>
      <c r="P31" s="0" t="n">
        <f aca="false">E31/E$33</f>
        <v>1.43664764167483</v>
      </c>
      <c r="Q31" s="0" t="n">
        <f aca="false">K31/K$30</f>
        <v>0.221780957479778</v>
      </c>
    </row>
    <row r="32" customFormat="false" ht="12.8" hidden="false" customHeight="false" outlineLevel="0" collapsed="false">
      <c r="A32" s="0" t="s">
        <v>18</v>
      </c>
      <c r="B32" s="1" t="n">
        <f aca="false">2654809618500/5313845593</f>
        <v>499.602326043726</v>
      </c>
      <c r="C32" s="0" t="n">
        <f aca="false">30686433+30321873+9874887+4201483</f>
        <v>75084676</v>
      </c>
      <c r="D32" s="0" t="n">
        <f aca="false">770523+671564+464817+3119769</f>
        <v>5026673</v>
      </c>
      <c r="E32" s="2" t="n">
        <f aca="false">C32*$B55+D32*$C55</f>
        <v>111706100.39166</v>
      </c>
      <c r="F32" s="2" t="n">
        <f aca="false">B32*E32</f>
        <v>55808627588.9473</v>
      </c>
      <c r="G32" s="0" t="n">
        <v>4555922</v>
      </c>
      <c r="H32" s="0" t="n">
        <v>78880744</v>
      </c>
      <c r="I32" s="2" t="n">
        <f aca="false">G32/H32*100</f>
        <v>5.77570870781848</v>
      </c>
      <c r="J32" s="5" t="n">
        <v>5313845593</v>
      </c>
      <c r="K32" s="2" t="n">
        <f aca="false">G32/J32*1000</f>
        <v>0.857368156500742</v>
      </c>
      <c r="M32" s="0" t="n">
        <f aca="false">B32/$B$30</f>
        <v>0.440096725810972</v>
      </c>
      <c r="N32" s="0" t="n">
        <f aca="false">B32/B$33</f>
        <v>1.01171588495286</v>
      </c>
      <c r="O32" s="0" t="n">
        <f aca="false">E32/E$30</f>
        <v>0.33387070652427</v>
      </c>
      <c r="P32" s="0" t="n">
        <f aca="false">E32/E$33</f>
        <v>1.0247120948075</v>
      </c>
      <c r="Q32" s="0" t="n">
        <f aca="false">K32/K$30</f>
        <v>0.0695916513946683</v>
      </c>
    </row>
    <row r="33" customFormat="false" ht="12.8" hidden="false" customHeight="false" outlineLevel="0" collapsed="false">
      <c r="A33" s="0" t="s">
        <v>19</v>
      </c>
      <c r="B33" s="1" t="n">
        <f aca="false">2619568898000/5304738044</f>
        <v>493.816824935003</v>
      </c>
      <c r="C33" s="0" t="n">
        <f aca="false">24452709+25878444+14624846+10956476</f>
        <v>75912475</v>
      </c>
      <c r="D33" s="0" t="n">
        <f aca="false">291078+465142+388353+3052976</f>
        <v>4197549</v>
      </c>
      <c r="E33" s="2" t="n">
        <f aca="false">C33*$B56+D33*$C56</f>
        <v>109012181.03866</v>
      </c>
      <c r="F33" s="2" t="n">
        <f aca="false">B33*E33</f>
        <v>53832049119.7508</v>
      </c>
      <c r="G33" s="0" t="n">
        <v>3712531</v>
      </c>
      <c r="H33" s="0" t="n">
        <v>78974445</v>
      </c>
      <c r="I33" s="2" t="n">
        <f aca="false">G33/H33*100</f>
        <v>4.700926989737</v>
      </c>
      <c r="J33" s="5" t="n">
        <v>5304738044</v>
      </c>
      <c r="K33" s="2" t="n">
        <f aca="false">G33/J33*1000</f>
        <v>0.699851900170473</v>
      </c>
      <c r="M33" s="0" t="n">
        <f aca="false">B33/$B$30</f>
        <v>0.435000312198794</v>
      </c>
      <c r="N33" s="0" t="n">
        <f aca="false">B33/B$33</f>
        <v>1</v>
      </c>
      <c r="O33" s="0" t="n">
        <f aca="false">E33/E$30</f>
        <v>0.325819035625796</v>
      </c>
      <c r="P33" s="0" t="n">
        <f aca="false">E33/E$33</f>
        <v>1</v>
      </c>
      <c r="Q33" s="0" t="n">
        <f aca="false">K33/K$30</f>
        <v>0.0568062262346428</v>
      </c>
    </row>
    <row r="34" customFormat="false" ht="12.8" hidden="false" customHeight="false" outlineLevel="0" collapsed="false">
      <c r="E34" s="2"/>
      <c r="I34" s="2"/>
      <c r="J34" s="2"/>
      <c r="K34" s="2"/>
    </row>
    <row r="35" customFormat="false" ht="12.8" hidden="false" customHeight="false" outlineLevel="0" collapsed="false">
      <c r="E35" s="2"/>
      <c r="I35" s="2"/>
      <c r="J35" s="2"/>
      <c r="K35" s="2"/>
    </row>
    <row r="36" customFormat="false" ht="12.8" hidden="false" customHeight="false" outlineLevel="0" collapsed="false">
      <c r="B36" s="6" t="s">
        <v>23</v>
      </c>
      <c r="C36" s="6"/>
      <c r="D36" s="6"/>
      <c r="E36" s="6" t="n">
        <f aca="false">C36*$B$53+D36*$C$53</f>
        <v>0</v>
      </c>
      <c r="F36" s="7"/>
      <c r="G36" s="8"/>
      <c r="I36" s="2"/>
      <c r="J36" s="2"/>
      <c r="K36" s="2"/>
    </row>
    <row r="37" customFormat="false" ht="12.8" hidden="false" customHeight="false" outlineLevel="0" collapsed="false">
      <c r="B37" s="1" t="s">
        <v>2</v>
      </c>
      <c r="C37" s="0" t="s">
        <v>3</v>
      </c>
      <c r="D37" s="0" t="s">
        <v>4</v>
      </c>
      <c r="E37" s="2" t="s">
        <v>5</v>
      </c>
      <c r="F37" s="2" t="s">
        <v>6</v>
      </c>
      <c r="G37" s="0" t="s">
        <v>7</v>
      </c>
      <c r="H37" s="0" t="s">
        <v>8</v>
      </c>
      <c r="I37" s="2" t="s">
        <v>9</v>
      </c>
      <c r="J37" s="2"/>
      <c r="K37" s="2"/>
    </row>
    <row r="38" customFormat="false" ht="12.8" hidden="false" customHeight="false" outlineLevel="0" collapsed="false">
      <c r="A38" s="0" t="s">
        <v>16</v>
      </c>
      <c r="B38" s="1" t="n">
        <f aca="false">2006769555500/2959049300</f>
        <v>678.180507333893</v>
      </c>
      <c r="C38" s="0" t="n">
        <f aca="false">26346430+239815+497</f>
        <v>26586742</v>
      </c>
      <c r="D38" s="0" t="n">
        <f aca="false">11579850+329209+725</f>
        <v>11909784</v>
      </c>
      <c r="E38" s="2" t="n">
        <f aca="false">C38*$B53+D38*$C53</f>
        <v>83599115.34548</v>
      </c>
      <c r="F38" s="2" t="n">
        <f aca="false">B38*E38</f>
        <v>56695290457.6623</v>
      </c>
      <c r="G38" s="0" t="n">
        <v>8635955</v>
      </c>
      <c r="H38" s="0" t="n">
        <v>33845563</v>
      </c>
      <c r="I38" s="2" t="n">
        <f aca="false">G38/H38*100</f>
        <v>25.5157670150146</v>
      </c>
      <c r="J38" s="5" t="n">
        <v>2959049300</v>
      </c>
      <c r="K38" s="2" t="n">
        <f aca="false">G38/J38*1000</f>
        <v>2.91848973249618</v>
      </c>
      <c r="M38" s="0" t="n">
        <f aca="false">B38/$B$38</f>
        <v>1</v>
      </c>
      <c r="N38" s="0" t="n">
        <f aca="false">B38/B$41</f>
        <v>1.32941250319315</v>
      </c>
      <c r="O38" s="0" t="n">
        <f aca="false">E38/E$38</f>
        <v>1</v>
      </c>
      <c r="P38" s="0" t="n">
        <f aca="false">E38/E$41</f>
        <v>1.12647165644151</v>
      </c>
      <c r="Q38" s="0" t="n">
        <f aca="false">K38/K$38</f>
        <v>1</v>
      </c>
    </row>
    <row r="39" customFormat="false" ht="12.8" hidden="false" customHeight="false" outlineLevel="0" collapsed="false">
      <c r="A39" s="0" t="s">
        <v>17</v>
      </c>
      <c r="B39" s="1" t="n">
        <f aca="false">1590371822000/2958250753</f>
        <v>537.605482019123</v>
      </c>
      <c r="C39" s="0" t="n">
        <f aca="false">25376781+2615600+899657+390630</f>
        <v>29282668</v>
      </c>
      <c r="D39" s="0" t="n">
        <f aca="false">4018370+2104751+1053234+447227</f>
        <v>7623582</v>
      </c>
      <c r="E39" s="2" t="n">
        <f aca="false">C39*$B54+D39*$C54</f>
        <v>74933983.5162</v>
      </c>
      <c r="F39" s="2" t="n">
        <f aca="false">B39*E39</f>
        <v>40284920327.8397</v>
      </c>
      <c r="G39" s="0" t="n">
        <v>3663477</v>
      </c>
      <c r="H39" s="0" t="n">
        <v>31925311</v>
      </c>
      <c r="I39" s="2" t="n">
        <f aca="false">G39/H39*100</f>
        <v>11.4751489813208</v>
      </c>
      <c r="J39" s="5" t="n">
        <v>2958250753</v>
      </c>
      <c r="K39" s="2" t="n">
        <f aca="false">G39/J39*1000</f>
        <v>1.23839299163021</v>
      </c>
      <c r="M39" s="0" t="n">
        <f aca="false">B39/$B$38</f>
        <v>0.792717390437234</v>
      </c>
      <c r="N39" s="0" t="n">
        <f aca="false">B39/B$41</f>
        <v>1.05384841034591</v>
      </c>
      <c r="O39" s="0" t="n">
        <f aca="false">E39/E$38</f>
        <v>0.896349000901856</v>
      </c>
      <c r="P39" s="0" t="n">
        <f aca="false">E39/E$41</f>
        <v>1.0097117437956</v>
      </c>
      <c r="Q39" s="0" t="n">
        <f aca="false">K39/K$38</f>
        <v>0.424326656983308</v>
      </c>
    </row>
    <row r="40" customFormat="false" ht="12.8" hidden="false" customHeight="false" outlineLevel="0" collapsed="false">
      <c r="A40" s="0" t="s">
        <v>18</v>
      </c>
      <c r="B40" s="1" t="n">
        <f aca="false">1504795815000/2957825825</f>
        <v>508.750651333569</v>
      </c>
      <c r="C40" s="0" t="n">
        <f aca="false">7719064+7600056+7195972+7916618</f>
        <v>30431710</v>
      </c>
      <c r="D40" s="0" t="n">
        <f aca="false">1608890+1577411+1554073+1630698</f>
        <v>6371072</v>
      </c>
      <c r="E40" s="2" t="n">
        <f aca="false">C40*$B55+D40*$C55</f>
        <v>72968749.15056</v>
      </c>
      <c r="F40" s="2" t="n">
        <f aca="false">B40*E40</f>
        <v>37122898657.3432</v>
      </c>
      <c r="G40" s="0" t="n">
        <v>2440178</v>
      </c>
      <c r="H40" s="0" t="n">
        <v>31322206</v>
      </c>
      <c r="I40" s="2" t="n">
        <f aca="false">G40/H40*100</f>
        <v>7.79056877411508</v>
      </c>
      <c r="J40" s="5" t="n">
        <v>2957825825</v>
      </c>
      <c r="K40" s="2" t="n">
        <f aca="false">G40/J40*1000</f>
        <v>0.824990430259699</v>
      </c>
      <c r="M40" s="0" t="n">
        <f aca="false">B40/$B$38</f>
        <v>0.750169970725939</v>
      </c>
      <c r="N40" s="0" t="n">
        <f aca="false">B40/B$41</f>
        <v>0.997285338603105</v>
      </c>
      <c r="O40" s="0" t="n">
        <f aca="false">E40/E$38</f>
        <v>0.872841164036376</v>
      </c>
      <c r="P40" s="0" t="n">
        <f aca="false">E40/E$41</f>
        <v>0.983230831862388</v>
      </c>
      <c r="Q40" s="0" t="n">
        <f aca="false">K40/K$38</f>
        <v>0.282677174112957</v>
      </c>
    </row>
    <row r="41" customFormat="false" ht="12.8" hidden="false" customHeight="false" outlineLevel="0" collapsed="false">
      <c r="A41" s="0" t="s">
        <v>19</v>
      </c>
      <c r="B41" s="1" t="n">
        <f aca="false">1508976517000/2957991607</f>
        <v>510.13549647303</v>
      </c>
      <c r="C41" s="0" t="n">
        <f aca="false">7560549+7657659+7578911+7243301</f>
        <v>30040420</v>
      </c>
      <c r="D41" s="0" t="n">
        <f aca="false">1561873+1598030+1565486+1577411</f>
        <v>6302800</v>
      </c>
      <c r="E41" s="2" t="n">
        <f aca="false">C41*$B56+D41*$C56</f>
        <v>74213243.509</v>
      </c>
      <c r="F41" s="2" t="n">
        <f aca="false">B41*E41</f>
        <v>37858809822.3376</v>
      </c>
      <c r="G41" s="0" t="n">
        <v>2399420</v>
      </c>
      <c r="H41" s="0" t="n">
        <v>30887600</v>
      </c>
      <c r="I41" s="2" t="n">
        <f aca="false">G41/H41*100</f>
        <v>7.7682306168171</v>
      </c>
      <c r="J41" s="5" t="n">
        <v>2957991607</v>
      </c>
      <c r="K41" s="2" t="n">
        <f aca="false">G41/J41*1000</f>
        <v>0.811165249530067</v>
      </c>
      <c r="M41" s="0" t="n">
        <f aca="false">B41/$B$38</f>
        <v>0.752211971527326</v>
      </c>
      <c r="N41" s="0" t="n">
        <f aca="false">B41/B$41</f>
        <v>1</v>
      </c>
      <c r="O41" s="0" t="n">
        <f aca="false">E41/E$38</f>
        <v>0.887727617718296</v>
      </c>
      <c r="P41" s="0" t="n">
        <f aca="false">E41/E$41</f>
        <v>1</v>
      </c>
      <c r="Q41" s="0" t="n">
        <f aca="false">K41/K$38</f>
        <v>0.277940073078921</v>
      </c>
    </row>
    <row r="42" customFormat="false" ht="12.8" hidden="false" customHeight="false" outlineLevel="0" collapsed="false">
      <c r="E42" s="2"/>
      <c r="I42" s="2"/>
      <c r="J42" s="2"/>
      <c r="K42" s="2"/>
    </row>
    <row r="43" customFormat="false" ht="12.8" hidden="false" customHeight="false" outlineLevel="0" collapsed="false">
      <c r="E43" s="2"/>
      <c r="I43" s="2"/>
      <c r="J43" s="2"/>
      <c r="K43" s="2"/>
    </row>
    <row r="44" customFormat="false" ht="12.8" hidden="false" customHeight="false" outlineLevel="0" collapsed="false">
      <c r="B44" s="6" t="s">
        <v>24</v>
      </c>
      <c r="C44" s="6"/>
      <c r="D44" s="6"/>
      <c r="E44" s="6" t="n">
        <f aca="false">C44*$B$53+D44*$C$53</f>
        <v>0</v>
      </c>
      <c r="F44" s="7"/>
      <c r="G44" s="8"/>
      <c r="I44" s="2"/>
      <c r="J44" s="2"/>
      <c r="K44" s="2"/>
    </row>
    <row r="45" customFormat="false" ht="12.8" hidden="false" customHeight="false" outlineLevel="0" collapsed="false">
      <c r="B45" s="1" t="s">
        <v>2</v>
      </c>
      <c r="C45" s="0" t="s">
        <v>3</v>
      </c>
      <c r="D45" s="0" t="s">
        <v>4</v>
      </c>
      <c r="E45" s="2" t="s">
        <v>5</v>
      </c>
      <c r="F45" s="2" t="s">
        <v>6</v>
      </c>
      <c r="G45" s="0" t="s">
        <v>7</v>
      </c>
      <c r="H45" s="0" t="s">
        <v>8</v>
      </c>
      <c r="I45" s="2" t="s">
        <v>9</v>
      </c>
      <c r="J45" s="2"/>
      <c r="K45" s="2"/>
    </row>
    <row r="46" customFormat="false" ht="12.8" hidden="false" customHeight="false" outlineLevel="0" collapsed="false">
      <c r="A46" s="0" t="s">
        <v>16</v>
      </c>
      <c r="B46" s="1" t="n">
        <f aca="false">2078323050500/4553876414</f>
        <v>456.385475045085</v>
      </c>
      <c r="C46" s="0" t="n">
        <f aca="false">2268873+148430+12190+3764</f>
        <v>2433257</v>
      </c>
      <c r="D46" s="0" t="n">
        <f aca="false">6538254+666581+105149+40529</f>
        <v>7350513</v>
      </c>
      <c r="E46" s="2" t="n">
        <f aca="false">C46*$B53+D46*$C53</f>
        <v>37006779.44956</v>
      </c>
      <c r="F46" s="2" t="n">
        <f aca="false">B46*E46</f>
        <v>16889356618.9761</v>
      </c>
      <c r="G46" s="0" t="n">
        <v>5540863</v>
      </c>
      <c r="H46" s="0" t="n">
        <v>7011083</v>
      </c>
      <c r="I46" s="2" t="n">
        <f aca="false">G46/H46*100</f>
        <v>79.0300585515818</v>
      </c>
      <c r="J46" s="5" t="n">
        <v>4553876414</v>
      </c>
      <c r="K46" s="2" t="n">
        <f aca="false">G46/J46*1000</f>
        <v>1.21673547902304</v>
      </c>
      <c r="M46" s="0" t="n">
        <f aca="false">B46/$B$46</f>
        <v>1</v>
      </c>
      <c r="N46" s="0" t="n">
        <f aca="false">B46/B$49</f>
        <v>1.05924947131248</v>
      </c>
      <c r="O46" s="0" t="n">
        <f aca="false">E46/E$46</f>
        <v>1</v>
      </c>
      <c r="P46" s="0" t="n">
        <f aca="false">E46/E$49</f>
        <v>0.838941315928335</v>
      </c>
      <c r="Q46" s="0" t="n">
        <f aca="false">K46/K$46</f>
        <v>1</v>
      </c>
    </row>
    <row r="47" customFormat="false" ht="12.8" hidden="false" customHeight="false" outlineLevel="0" collapsed="false">
      <c r="A47" s="0" t="s">
        <v>17</v>
      </c>
      <c r="B47" s="1" t="n">
        <f aca="false">2013274081000/4553244886</f>
        <v>442.162486623611</v>
      </c>
      <c r="C47" s="0" t="n">
        <f aca="false">2428600+782267+402381+354209</f>
        <v>3967457</v>
      </c>
      <c r="D47" s="0" t="n">
        <f aca="false">3277535+1446490+990823+910475</f>
        <v>6625323</v>
      </c>
      <c r="E47" s="2" t="n">
        <f aca="false">C47*$B54+D47*$C54</f>
        <v>42474832.06425</v>
      </c>
      <c r="F47" s="2" t="n">
        <f aca="false">B47*E47</f>
        <v>18780777364.4491</v>
      </c>
      <c r="G47" s="0" t="n">
        <v>4397906</v>
      </c>
      <c r="H47" s="0" t="n">
        <v>6646591</v>
      </c>
      <c r="I47" s="2" t="n">
        <f aca="false">G47/H47*100</f>
        <v>66.1678445386515</v>
      </c>
      <c r="J47" s="5" t="n">
        <v>4553244886</v>
      </c>
      <c r="K47" s="2" t="n">
        <f aca="false">G47/J47*1000</f>
        <v>0.965883915781111</v>
      </c>
      <c r="M47" s="0" t="n">
        <f aca="false">B47/$B$46</f>
        <v>0.968835580448591</v>
      </c>
      <c r="N47" s="0" t="n">
        <f aca="false">B47/B$49</f>
        <v>1.02623857637889</v>
      </c>
      <c r="O47" s="0" t="n">
        <f aca="false">E47/E$46</f>
        <v>1.14775813232121</v>
      </c>
      <c r="P47" s="0" t="n">
        <f aca="false">E47/E$49</f>
        <v>0.962901717897006</v>
      </c>
      <c r="Q47" s="0" t="n">
        <f aca="false">K47/K$46</f>
        <v>0.793832293405841</v>
      </c>
    </row>
    <row r="48" customFormat="false" ht="12.8" hidden="false" customHeight="false" outlineLevel="0" collapsed="false">
      <c r="A48" s="0" t="s">
        <v>18</v>
      </c>
      <c r="B48" s="1" t="n">
        <f aca="false">1963088344500/4551934735</f>
        <v>431.264606982552</v>
      </c>
      <c r="C48" s="9" t="n">
        <f aca="false">1240778+1224957+1168307+1119649</f>
        <v>4753691</v>
      </c>
      <c r="D48" s="0" t="n">
        <f aca="false">1499801+1492275+1433211+1466597</f>
        <v>5891884</v>
      </c>
      <c r="E48" s="2" t="n">
        <f aca="false">C48*$B55+D48*$C55</f>
        <v>42689909.84064</v>
      </c>
      <c r="F48" s="2" t="n">
        <f aca="false">B48*E48</f>
        <v>18410647189.5442</v>
      </c>
      <c r="G48" s="0" t="n">
        <v>3617708</v>
      </c>
      <c r="H48" s="0" t="n">
        <v>6554905</v>
      </c>
      <c r="I48" s="2" t="n">
        <f aca="false">G48/H48*100</f>
        <v>55.190853261794</v>
      </c>
      <c r="J48" s="5" t="n">
        <v>4551934735</v>
      </c>
      <c r="K48" s="2" t="n">
        <f aca="false">G48/J48*1000</f>
        <v>0.79476271313455</v>
      </c>
      <c r="M48" s="0" t="n">
        <f aca="false">B48/$B$46</f>
        <v>0.944956907184543</v>
      </c>
      <c r="N48" s="0" t="n">
        <f aca="false">B48/B$49</f>
        <v>1.0009451043483</v>
      </c>
      <c r="O48" s="0" t="n">
        <f aca="false">E48/E$46</f>
        <v>1.15356998030121</v>
      </c>
      <c r="P48" s="0" t="n">
        <f aca="false">E48/E$49</f>
        <v>0.967777517289317</v>
      </c>
      <c r="Q48" s="0" t="n">
        <f aca="false">K48/K$46</f>
        <v>0.653192683896006</v>
      </c>
    </row>
    <row r="49" customFormat="false" ht="12.8" hidden="false" customHeight="false" outlineLevel="0" collapsed="false">
      <c r="A49" s="0" t="s">
        <v>19</v>
      </c>
      <c r="B49" s="1" t="n">
        <f aca="false">1961724470000/4553071299</f>
        <v>430.857401778632</v>
      </c>
      <c r="C49" s="0" t="n">
        <f aca="false">1215079+1222000+1203966+1185280</f>
        <v>4826325</v>
      </c>
      <c r="D49" s="0" t="n">
        <f aca="false">1455637+1453189+1459558+1452308</f>
        <v>5820692</v>
      </c>
      <c r="E49" s="2" t="n">
        <f aca="false">C49*$B56+D49*$C56</f>
        <v>44111284.95753</v>
      </c>
      <c r="F49" s="2" t="n">
        <f aca="false">B49*E49</f>
        <v>19005673625.9182</v>
      </c>
      <c r="G49" s="0" t="n">
        <v>3538156</v>
      </c>
      <c r="H49" s="0" t="n">
        <v>6531710</v>
      </c>
      <c r="I49" s="2" t="n">
        <f aca="false">G49/H49*100</f>
        <v>54.1689082950713</v>
      </c>
      <c r="J49" s="5" t="n">
        <v>4553071299</v>
      </c>
      <c r="K49" s="2" t="n">
        <f aca="false">G49/J49*1000</f>
        <v>0.777092157721556</v>
      </c>
      <c r="M49" s="0" t="n">
        <f aca="false">B49/$B$46</f>
        <v>0.94406466756215</v>
      </c>
      <c r="N49" s="0" t="n">
        <f aca="false">B49/B$49</f>
        <v>1</v>
      </c>
      <c r="O49" s="0" t="n">
        <f aca="false">E49/E$46</f>
        <v>1.19197848647309</v>
      </c>
      <c r="P49" s="0" t="n">
        <f aca="false">E49/E$49</f>
        <v>1</v>
      </c>
      <c r="Q49" s="0" t="n">
        <f aca="false">K49/K$46</f>
        <v>0.638669761109878</v>
      </c>
    </row>
    <row r="52" customFormat="false" ht="12.8" hidden="false" customHeight="false" outlineLevel="0" collapsed="false">
      <c r="B52" s="1" t="s">
        <v>25</v>
      </c>
      <c r="C52" s="0" t="s">
        <v>26</v>
      </c>
      <c r="K52" s="0" t="s">
        <v>27</v>
      </c>
      <c r="Q52" s="0" t="s">
        <v>28</v>
      </c>
      <c r="R52" s="0" t="s">
        <v>29</v>
      </c>
    </row>
    <row r="53" customFormat="false" ht="12.8" hidden="false" customHeight="false" outlineLevel="0" collapsed="false">
      <c r="A53" s="0" t="s">
        <v>16</v>
      </c>
      <c r="B53" s="1" t="n">
        <v>1.0439</v>
      </c>
      <c r="C53" s="0" t="n">
        <v>4.68902</v>
      </c>
      <c r="L53" s="0" t="s">
        <v>16</v>
      </c>
      <c r="M53" s="2" t="n">
        <f aca="false">AVERAGE(M6,M14,M22,M30,M38,M46)</f>
        <v>1</v>
      </c>
      <c r="N53" s="2" t="n">
        <f aca="false">AVERAGE(N6,N14,N22,N30,N38,N46)</f>
        <v>1.35535006157793</v>
      </c>
      <c r="O53" s="2" t="n">
        <f aca="false">AVERAGE(O6,O14,O22,O30,O38,O46)</f>
        <v>1</v>
      </c>
      <c r="P53" s="2" t="n">
        <f aca="false">AVERAGE(P6,P14,P22,P30,P38,P46)</f>
        <v>1.31840481973531</v>
      </c>
      <c r="Q53" s="2" t="n">
        <f aca="false">AVERAGE(Q6,Q14,Q22,Q30,Q38,Q46)</f>
        <v>1</v>
      </c>
    </row>
    <row r="54" customFormat="false" ht="12.8" hidden="false" customHeight="false" outlineLevel="0" collapsed="false">
      <c r="A54" s="0" t="s">
        <v>17</v>
      </c>
      <c r="B54" s="1" t="n">
        <v>1.05429</v>
      </c>
      <c r="C54" s="0" t="n">
        <v>5.77964</v>
      </c>
      <c r="L54" s="0" t="s">
        <v>17</v>
      </c>
      <c r="M54" s="2" t="n">
        <f aca="false">AVERAGE(M7,M15,M23,M31,M39,M47)</f>
        <v>0.830118346326692</v>
      </c>
      <c r="N54" s="2" t="n">
        <f aca="false">AVERAGE(N7,N15,N23,N31,N39,N47)</f>
        <v>1.06295826714083</v>
      </c>
      <c r="O54" s="2" t="n">
        <f aca="false">AVERAGE(O7,O15,O23,O31,O39,O47)</f>
        <v>0.914054605945523</v>
      </c>
      <c r="P54" s="2" t="n">
        <f aca="false">AVERAGE(P7,P15,P23,P31,P39,P47)</f>
        <v>1.03769944313572</v>
      </c>
      <c r="Q54" s="2" t="n">
        <f aca="false">AVERAGE(Q7,Q15,Q23,Q31,Q39,Q47)</f>
        <v>0.398597626082978</v>
      </c>
    </row>
    <row r="55" customFormat="false" ht="12.8" hidden="false" customHeight="false" outlineLevel="0" collapsed="false">
      <c r="A55" s="0" t="s">
        <v>18</v>
      </c>
      <c r="B55" s="1" t="n">
        <v>1.05992</v>
      </c>
      <c r="C55" s="0" t="n">
        <v>6.39038</v>
      </c>
      <c r="L55" s="0" t="s">
        <v>18</v>
      </c>
      <c r="M55" s="2" t="n">
        <f aca="false">AVERAGE(M8,M16,M24,M32,M40,M48)</f>
        <v>0.794410164785762</v>
      </c>
      <c r="N55" s="2" t="n">
        <f aca="false">AVERAGE(N8,N16,N24,N32,N40,N48)</f>
        <v>1.00338383239311</v>
      </c>
      <c r="O55" s="2" t="n">
        <f aca="false">AVERAGE(O8,O16,O24,O32,O40,O48)</f>
        <v>0.919858329110623</v>
      </c>
      <c r="P55" s="2" t="n">
        <f aca="false">AVERAGE(P8,P16,P24,P32,P40,P48)</f>
        <v>0.9899207876555</v>
      </c>
      <c r="Q55" s="2" t="n">
        <f aca="false">AVERAGE(Q8,Q16,Q24,Q32,Q40,Q48)</f>
        <v>0.269486689036388</v>
      </c>
    </row>
    <row r="56" customFormat="false" ht="12.8" hidden="false" customHeight="false" outlineLevel="0" collapsed="false">
      <c r="A56" s="0" t="s">
        <v>19</v>
      </c>
      <c r="B56" s="1" t="n">
        <v>1.06585</v>
      </c>
      <c r="C56" s="0" t="n">
        <v>6.69459</v>
      </c>
      <c r="L56" s="0" t="s">
        <v>19</v>
      </c>
      <c r="M56" s="2" t="n">
        <f aca="false">AVERAGE(M9,M17,M25,M33,M41,M49)</f>
        <v>0.792431948056429</v>
      </c>
      <c r="N56" s="2" t="n">
        <f aca="false">AVERAGE(N9,N17,N25,N33,N41,N49)</f>
        <v>1</v>
      </c>
      <c r="O56" s="2" t="n">
        <f aca="false">AVERAGE(O9,O17,O25,O33,O41,O49)</f>
        <v>0.933488479479752</v>
      </c>
      <c r="P56" s="2" t="n">
        <f aca="false">AVERAGE(P9,P17,P25,P33,P41,P49)</f>
        <v>1</v>
      </c>
      <c r="Q56" s="2" t="n">
        <f aca="false">AVERAGE(Q9,Q17,Q25,Q33,Q41,Q49)</f>
        <v>0.25375742648194</v>
      </c>
    </row>
  </sheetData>
  <mergeCells count="7">
    <mergeCell ref="B1:E1"/>
    <mergeCell ref="B4:E4"/>
    <mergeCell ref="B12:E12"/>
    <mergeCell ref="B20:E20"/>
    <mergeCell ref="B28:E28"/>
    <mergeCell ref="B36:E36"/>
    <mergeCell ref="B44:E4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2020-07-23T22:56:12Z</dcterms:created>
  <dc:creator/>
  <dc:description/>
  <dc:language>en-IN</dc:language>
  <cp:lastModifiedBy/>
  <dcterms:modified xsi:type="dcterms:W3CDTF">2020-07-26T19:56:45Z</dcterms:modified>
  <cp:revision>10</cp:revision>
  <dc:subject/>
  <dc:title/>
</cp:coreProperties>
</file>