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lectrical Components" sheetId="2" r:id="rId5"/>
    <sheet state="visible" name="Mechanical Components" sheetId="3" r:id="rId6"/>
    <sheet state="visible" name="PCBs" sheetId="4" r:id="rId7"/>
    <sheet state="visible" name="3D Printing" sheetId="5" r:id="rId8"/>
  </sheets>
  <definedNames/>
  <calcPr/>
</workbook>
</file>

<file path=xl/sharedStrings.xml><?xml version="1.0" encoding="utf-8"?>
<sst xmlns="http://schemas.openxmlformats.org/spreadsheetml/2006/main" count="253" uniqueCount="216">
  <si>
    <t>Optron Electrical Components Bill of Materials</t>
  </si>
  <si>
    <t>Optron Mechanical Components Bill of Materials</t>
  </si>
  <si>
    <t>Optron Bill of Materials</t>
  </si>
  <si>
    <t>Document Created by: Chet Udell</t>
  </si>
  <si>
    <t>Document Created on: 10/10/2019</t>
  </si>
  <si>
    <t>Per 1 Optron:</t>
  </si>
  <si>
    <t>Section of Optron</t>
  </si>
  <si>
    <t>Part Number</t>
  </si>
  <si>
    <t xml:space="preserve">Item Description </t>
  </si>
  <si>
    <t>Optron ID number</t>
  </si>
  <si>
    <t>Distributor part number</t>
  </si>
  <si>
    <t>Item</t>
  </si>
  <si>
    <t>MFG part number</t>
  </si>
  <si>
    <t>Qty per 1 Optron</t>
  </si>
  <si>
    <t>Cost per 1 pcs</t>
  </si>
  <si>
    <t>Cost per 1 Optron</t>
  </si>
  <si>
    <t>Required Purchasing quantity</t>
  </si>
  <si>
    <t>Cost for Required quantity</t>
  </si>
  <si>
    <t>Product/site info</t>
  </si>
  <si>
    <t>Notes</t>
  </si>
  <si>
    <t>Core</t>
  </si>
  <si>
    <t>Mechanical Components Total:</t>
  </si>
  <si>
    <t>M-0</t>
  </si>
  <si>
    <t>Datasheet/Guide</t>
  </si>
  <si>
    <t>Al Extrusion Track 20x20 x 1220 mm</t>
  </si>
  <si>
    <t>HFS3-1515-1220</t>
  </si>
  <si>
    <t>HFS5-2020-1220</t>
  </si>
  <si>
    <t>Microcontroller Assembly</t>
  </si>
  <si>
    <t>E-28</t>
  </si>
  <si>
    <t>Electrical Components Total:</t>
  </si>
  <si>
    <t>ItsyBitsy</t>
  </si>
  <si>
    <t>ID:3800</t>
  </si>
  <si>
    <t>PCBs Total:</t>
  </si>
  <si>
    <t>3D Printing Total:</t>
  </si>
  <si>
    <t>Labor:</t>
  </si>
  <si>
    <t>You will need to put the specs in yourself: HFS5, 2020, 1220mm len</t>
  </si>
  <si>
    <t>Overall Cost:</t>
  </si>
  <si>
    <t>Main Microprocessor</t>
  </si>
  <si>
    <t>M-1</t>
  </si>
  <si>
    <t>Muzata LED Channel</t>
  </si>
  <si>
    <t>U103</t>
  </si>
  <si>
    <t>E-29</t>
  </si>
  <si>
    <t>i2c Logic Level Shifter</t>
  </si>
  <si>
    <t>BOB-12009</t>
  </si>
  <si>
    <t>This is a pack of 6 3.3ft diffusers which will be cut to length</t>
  </si>
  <si>
    <t>for shifting 3V i2c logic to 5V ZX sensor logic</t>
  </si>
  <si>
    <t>E-30</t>
  </si>
  <si>
    <t>Quad Level Shifter</t>
  </si>
  <si>
    <t>74AHCT125</t>
  </si>
  <si>
    <t>Fretboard</t>
  </si>
  <si>
    <t>M-2</t>
  </si>
  <si>
    <t>Teflon PFTE Film, 24" wide, 0.01" thick, 1ft length</t>
  </si>
  <si>
    <t>8569K63</t>
  </si>
  <si>
    <t>Will Need to laser cut frets</t>
  </si>
  <si>
    <t>For shifting 3V M4 SPI MO SCK logic to 5V Dotstar Logic</t>
  </si>
  <si>
    <t>M-3</t>
  </si>
  <si>
    <t>Silicone Rubber Strip, Grey, High-temp, Adhesive back, 3/4" wide, 1/32" thick</t>
  </si>
  <si>
    <t>8622k52</t>
  </si>
  <si>
    <t>E-31</t>
  </si>
  <si>
    <t>i2c Multiplexer 8ch</t>
  </si>
  <si>
    <t>Cut to Length</t>
  </si>
  <si>
    <t>Securing, Fasteners</t>
  </si>
  <si>
    <t>TCA9548A</t>
  </si>
  <si>
    <t>H-4</t>
  </si>
  <si>
    <t>M3 Slide in T Nut for 2020 Sereis Aluminum Extrusion Profile Slot 6mm</t>
  </si>
  <si>
    <t>BR-TN-0015</t>
  </si>
  <si>
    <t>n/a</t>
  </si>
  <si>
    <t>Name</t>
  </si>
  <si>
    <t>Quantity</t>
  </si>
  <si>
    <t>Grams</t>
  </si>
  <si>
    <t xml:space="preserve">Enables using 8 ZX sensors </t>
  </si>
  <si>
    <t>Total Grams</t>
  </si>
  <si>
    <t>Infill</t>
  </si>
  <si>
    <t>Layer Height</t>
  </si>
  <si>
    <t>Generate Support</t>
  </si>
  <si>
    <t>STL</t>
  </si>
  <si>
    <t>gcode</t>
  </si>
  <si>
    <t>For mounting LED channel and other parts</t>
  </si>
  <si>
    <t>M-17</t>
  </si>
  <si>
    <t>Sensors</t>
  </si>
  <si>
    <t>E-32</t>
  </si>
  <si>
    <t>H-5</t>
  </si>
  <si>
    <t>M3 x 0.5 mm Thread Steel Phillips Flat Head Screws, 8 mm Long</t>
  </si>
  <si>
    <t>FretBoard2.1</t>
  </si>
  <si>
    <t>6dof IMU breakout</t>
  </si>
  <si>
    <t>MPU6050</t>
  </si>
  <si>
    <t>91420A118</t>
  </si>
  <si>
    <t>No</t>
  </si>
  <si>
    <t>H-6</t>
  </si>
  <si>
    <t>M3 x 0.5 mm Thread Stainless Steel Hex Nut</t>
  </si>
  <si>
    <t>91828A211</t>
  </si>
  <si>
    <t>M-18</t>
  </si>
  <si>
    <t>FretBoardBottom2.1</t>
  </si>
  <si>
    <t>Yes</t>
  </si>
  <si>
    <t>For mounting LED channel, IR sensors, PCB, and other parts</t>
  </si>
  <si>
    <t>H-7</t>
  </si>
  <si>
    <t>M3 Stainless Steel Split Lock Washer</t>
  </si>
  <si>
    <t>92148A150</t>
  </si>
  <si>
    <t>3-axis gyroscope, 3-axis accelerometer, and a Digital Motion Processor™ (DMP)</t>
  </si>
  <si>
    <t>M-19</t>
  </si>
  <si>
    <t>E-33</t>
  </si>
  <si>
    <t>FSR Long</t>
  </si>
  <si>
    <t>FretBoardTop2.1</t>
  </si>
  <si>
    <t>Interlink408</t>
  </si>
  <si>
    <t>H-45</t>
  </si>
  <si>
    <t>M3 x 0.5 mm Thread Steel Phillips Flat Head Screws, 12 mm Long</t>
  </si>
  <si>
    <t>91420A122</t>
  </si>
  <si>
    <t>Pressure sensor for Guitar Neck</t>
  </si>
  <si>
    <t>E-34</t>
  </si>
  <si>
    <t>Long Linear Pot</t>
  </si>
  <si>
    <t>SEN-08681</t>
  </si>
  <si>
    <t>SP-L-0500-103-MP</t>
  </si>
  <si>
    <t>H-44</t>
  </si>
  <si>
    <t>M-22</t>
  </si>
  <si>
    <t>M3 x 0.5 mm Thread Nylon Slotted Flat Head Screws, 16 mm Long</t>
  </si>
  <si>
    <t>SlidingWireManger2.1</t>
  </si>
  <si>
    <t>92929A246</t>
  </si>
  <si>
    <t>Position sensor for Guitar Neck</t>
  </si>
  <si>
    <t>E-35</t>
  </si>
  <si>
    <t>ZX Gesture</t>
  </si>
  <si>
    <t>For mounting IR sensor and PCB</t>
  </si>
  <si>
    <t>H-8</t>
  </si>
  <si>
    <t>M3 Nylon Plastic Washer</t>
  </si>
  <si>
    <t>95610A530</t>
  </si>
  <si>
    <t>M-23</t>
  </si>
  <si>
    <t>SlidingWireMangerSimple2.1</t>
  </si>
  <si>
    <t>IR hand position tracking</t>
  </si>
  <si>
    <t>E-36</t>
  </si>
  <si>
    <t>Bend Sensor, 1in bidirectional male connector, polyester overlay</t>
  </si>
  <si>
    <t>1in bi directional male tabs</t>
  </si>
  <si>
    <t>H-9</t>
  </si>
  <si>
    <t>M3 x 0.5 mm Thread Nylon Slotted Flat Head Screws, 8 mm Long</t>
  </si>
  <si>
    <t>92929A252</t>
  </si>
  <si>
    <t>ePick</t>
  </si>
  <si>
    <t>LEDs</t>
  </si>
  <si>
    <t>M-48</t>
  </si>
  <si>
    <t>PCBMountBottom2.1.2</t>
  </si>
  <si>
    <t>E-37</t>
  </si>
  <si>
    <t>Adafruit Dotstars 144led/m white, 1m</t>
  </si>
  <si>
    <t>M-47</t>
  </si>
  <si>
    <t>PCBMountTop2.1.2</t>
  </si>
  <si>
    <t>M-26</t>
  </si>
  <si>
    <t>ZXGestureSensorMount2.1</t>
  </si>
  <si>
    <t>M-27</t>
  </si>
  <si>
    <t>ZXGestureSensorMountSimple2.1</t>
  </si>
  <si>
    <t>E-38</t>
  </si>
  <si>
    <t>Adafruit Dotstars 144led/m white 0.5m</t>
  </si>
  <si>
    <t>Pinout Cabling</t>
  </si>
  <si>
    <t>H-10</t>
  </si>
  <si>
    <t xml:space="preserve">4 pin JST-XH Male thru-hole. </t>
  </si>
  <si>
    <t>M-46</t>
  </si>
  <si>
    <t>SlidingWireManagerSimpleStrapmountMPU6050Mount2.1</t>
  </si>
  <si>
    <t>M-49</t>
  </si>
  <si>
    <t>EPickWireManager2.1</t>
  </si>
  <si>
    <t>Used with IR sensors.</t>
  </si>
  <si>
    <t>Misc</t>
  </si>
  <si>
    <t>E-39</t>
  </si>
  <si>
    <t>Alitove 5V AC to DC</t>
  </si>
  <si>
    <t>H-11</t>
  </si>
  <si>
    <t xml:space="preserve">4 pin JST-XH Female thru-hole. </t>
  </si>
  <si>
    <t>M-50</t>
  </si>
  <si>
    <t>FretBoardWireManager2.1.2</t>
  </si>
  <si>
    <t>Power supply</t>
  </si>
  <si>
    <t>E-40</t>
  </si>
  <si>
    <t>M-24</t>
  </si>
  <si>
    <t>SlidingWireManagerSimpleStrapmount2.1</t>
  </si>
  <si>
    <t>2.1mm DC Barrel Jack (for breadboard)</t>
  </si>
  <si>
    <t>H-12</t>
  </si>
  <si>
    <t xml:space="preserve">3 pin JST-XH Male thru hole. </t>
  </si>
  <si>
    <t>M-25</t>
  </si>
  <si>
    <t>SlidingWireManagerStrapmount2.1</t>
  </si>
  <si>
    <t>Used with Position/Flex sensor</t>
  </si>
  <si>
    <t>Power supply jack</t>
  </si>
  <si>
    <t>H-13</t>
  </si>
  <si>
    <t xml:space="preserve">3 pin JST-XH Female thru hole. </t>
  </si>
  <si>
    <t>E-41</t>
  </si>
  <si>
    <t>2.1mm DC Barrel Jack (for PCB)</t>
  </si>
  <si>
    <t>M-21</t>
  </si>
  <si>
    <t>PCBMount2.1</t>
  </si>
  <si>
    <t>H-14</t>
  </si>
  <si>
    <t xml:space="preserve">2 pin JST-XH Male thru hole. </t>
  </si>
  <si>
    <t>E-42</t>
  </si>
  <si>
    <t>Haptic Motor Driver</t>
  </si>
  <si>
    <t>Used with Pressure sensor</t>
  </si>
  <si>
    <t>H-15</t>
  </si>
  <si>
    <t xml:space="preserve">2 pin JST-XH Female thru hole. </t>
  </si>
  <si>
    <t>M-20</t>
  </si>
  <si>
    <t>FretBoardWireManager2.1</t>
  </si>
  <si>
    <t>Future Components</t>
  </si>
  <si>
    <t>H-16</t>
  </si>
  <si>
    <t>XH JST Contact</t>
  </si>
  <si>
    <t>E-43</t>
  </si>
  <si>
    <t>LRA Motor</t>
  </si>
  <si>
    <t>Cost Per Gram:</t>
  </si>
  <si>
    <t>These are the sockets for JST connectors</t>
  </si>
  <si>
    <t>Total Cost:</t>
  </si>
  <si>
    <t>Headers, Jumpers</t>
  </si>
  <si>
    <t>R1 2.2k</t>
  </si>
  <si>
    <t>R2 10k</t>
  </si>
  <si>
    <t>R3, R4 47k</t>
  </si>
  <si>
    <t>C1, 1kuF</t>
  </si>
  <si>
    <t>M4.1, M4.2</t>
  </si>
  <si>
    <t>M4.3</t>
  </si>
  <si>
    <t>J5VDC, J5VDC2</t>
  </si>
  <si>
    <t>J.MPU</t>
  </si>
  <si>
    <t>J. 74A1, 74A2</t>
  </si>
  <si>
    <t>B1</t>
  </si>
  <si>
    <t>J.FSR</t>
  </si>
  <si>
    <t>J.C1, for 1000µFCap</t>
  </si>
  <si>
    <t>1000µF cap needed close to the strip for power consideration</t>
  </si>
  <si>
    <t>J.DS</t>
  </si>
  <si>
    <t>J.PIC</t>
  </si>
  <si>
    <t>J.LN</t>
  </si>
  <si>
    <t>i2c1.1, i2c2.1</t>
  </si>
  <si>
    <t>i2c.1.2, i2c.2.2</t>
  </si>
  <si>
    <t>J. TCA.1, TCA.2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</si>
</sst>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8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color rgb="FF000000"/>
      <name val="Roboto"/>
    </font>
    <font>
      <b/>
      <color theme="1"/>
      <name val="Arial"/>
    </font>
    <font>
      <b/>
      <color rgb="FF000000"/>
      <name val="Arial"/>
    </font>
    <font>
      <sz val="9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111111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/>
    <font>
      <color rgb="FF222222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sz val="11.0"/>
      <color rgb="FF000000"/>
      <name val="Inconsolata"/>
    </font>
    <font>
      <b/>
    </font>
    <font>
      <sz val="11.0"/>
      <color rgb="FF008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right/>
    </border>
    <border>
      <righ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thin">
        <color rgb="FF000000"/>
      </right>
    </border>
    <border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1" numFmtId="0" xfId="0" applyAlignment="1" applyBorder="1" applyFill="1" applyFont="1">
      <alignment vertical="bottom"/>
    </xf>
    <xf borderId="0" fillId="2" fontId="3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3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4" fillId="2" fontId="5" numFmtId="0" xfId="0" applyAlignment="1" applyBorder="1" applyFont="1">
      <alignment readingOrder="0" vertical="bottom"/>
    </xf>
    <xf borderId="7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8" fillId="0" fontId="5" numFmtId="0" xfId="0" applyAlignment="1" applyBorder="1" applyFont="1">
      <alignment readingOrder="0" vertical="bottom"/>
    </xf>
    <xf borderId="4" fillId="2" fontId="5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8" fillId="2" fontId="5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8" fillId="0" fontId="4" numFmtId="0" xfId="0" applyAlignment="1" applyBorder="1" applyFont="1">
      <alignment readingOrder="0" vertical="bottom"/>
    </xf>
    <xf borderId="9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11" fillId="0" fontId="4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12" fillId="0" fontId="4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13" fillId="0" fontId="4" numFmtId="0" xfId="0" applyAlignment="1" applyBorder="1" applyFont="1">
      <alignment vertical="bottom"/>
    </xf>
    <xf borderId="0" fillId="2" fontId="1" numFmtId="164" xfId="0" applyAlignment="1" applyFont="1" applyNumberFormat="1">
      <alignment horizontal="right" vertical="bottom"/>
    </xf>
    <xf borderId="14" fillId="0" fontId="1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right" readingOrder="0" vertical="bottom"/>
    </xf>
    <xf borderId="14" fillId="0" fontId="1" numFmtId="0" xfId="0" applyAlignment="1" applyBorder="1" applyFont="1">
      <alignment readingOrder="0" vertical="bottom"/>
    </xf>
    <xf borderId="15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14" fillId="0" fontId="6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4" fillId="0" fontId="1" numFmtId="164" xfId="0" applyAlignment="1" applyBorder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4" fillId="0" fontId="1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5" fillId="0" fontId="1" numFmtId="0" xfId="0" applyAlignment="1" applyBorder="1" applyFont="1">
      <alignment readingOrder="0" vertical="bottom"/>
    </xf>
    <xf borderId="14" fillId="0" fontId="8" numFmtId="0" xfId="0" applyAlignment="1" applyBorder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14" fillId="0" fontId="9" numFmtId="0" xfId="0" applyAlignment="1" applyBorder="1" applyFont="1">
      <alignment readingOrder="0"/>
    </xf>
    <xf borderId="9" fillId="2" fontId="10" numFmtId="0" xfId="0" applyAlignment="1" applyBorder="1" applyFont="1">
      <alignment readingOrder="0" vertical="bottom"/>
    </xf>
    <xf borderId="16" fillId="0" fontId="1" numFmtId="0" xfId="0" applyAlignment="1" applyBorder="1" applyFont="1">
      <alignment readingOrder="0" vertical="bottom"/>
    </xf>
    <xf borderId="17" fillId="0" fontId="1" numFmtId="0" xfId="0" applyAlignment="1" applyBorder="1" applyFont="1">
      <alignment vertical="bottom"/>
    </xf>
    <xf borderId="0" fillId="0" fontId="11" numFmtId="0" xfId="0" applyAlignment="1" applyFont="1">
      <alignment readingOrder="0"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horizontal="center" readingOrder="0" vertical="bottom"/>
    </xf>
    <xf borderId="0" fillId="0" fontId="12" numFmtId="0" xfId="0" applyAlignment="1" applyFont="1">
      <alignment readingOrder="0"/>
    </xf>
    <xf borderId="19" fillId="0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right" vertical="bottom"/>
    </xf>
    <xf borderId="20" fillId="0" fontId="1" numFmtId="0" xfId="0" applyAlignment="1" applyBorder="1" applyFont="1">
      <alignment vertical="bottom"/>
    </xf>
    <xf borderId="19" fillId="0" fontId="1" numFmtId="164" xfId="0" applyAlignment="1" applyBorder="1" applyFont="1" applyNumberFormat="1">
      <alignment horizontal="right" vertical="bottom"/>
    </xf>
    <xf borderId="20" fillId="0" fontId="1" numFmtId="0" xfId="0" applyAlignment="1" applyBorder="1" applyFont="1">
      <alignment horizontal="center" readingOrder="0" vertical="bottom"/>
    </xf>
    <xf borderId="19" fillId="0" fontId="13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21" fillId="0" fontId="1" numFmtId="0" xfId="0" applyAlignment="1" applyBorder="1" applyFont="1">
      <alignment vertical="bottom"/>
    </xf>
    <xf borderId="9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vertical="bottom"/>
    </xf>
    <xf borderId="22" fillId="0" fontId="1" numFmtId="0" xfId="0" applyBorder="1" applyFont="1"/>
    <xf borderId="22" fillId="0" fontId="1" numFmtId="0" xfId="0" applyAlignment="1" applyBorder="1" applyFont="1">
      <alignment horizontal="center" readingOrder="0" vertical="bottom"/>
    </xf>
    <xf borderId="19" fillId="0" fontId="1" numFmtId="0" xfId="0" applyAlignment="1" applyBorder="1" applyFont="1">
      <alignment readingOrder="0"/>
    </xf>
    <xf borderId="19" fillId="0" fontId="1" numFmtId="0" xfId="0" applyAlignment="1" applyBorder="1" applyFont="1">
      <alignment horizontal="left" readingOrder="0"/>
    </xf>
    <xf borderId="16" fillId="0" fontId="4" numFmtId="0" xfId="0" applyAlignment="1" applyBorder="1" applyFont="1">
      <alignment readingOrder="0" vertical="bottom"/>
    </xf>
    <xf borderId="19" fillId="0" fontId="1" numFmtId="164" xfId="0" applyAlignment="1" applyBorder="1" applyFont="1" applyNumberFormat="1">
      <alignment readingOrder="0"/>
    </xf>
    <xf borderId="14" fillId="2" fontId="14" numFmtId="0" xfId="0" applyAlignment="1" applyBorder="1" applyFont="1">
      <alignment readingOrder="0"/>
    </xf>
    <xf borderId="14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right" readingOrder="0" vertical="bottom"/>
    </xf>
    <xf borderId="19" fillId="0" fontId="15" numFmtId="0" xfId="0" applyAlignment="1" applyBorder="1" applyFont="1">
      <alignment readingOrder="0"/>
    </xf>
    <xf borderId="14" fillId="0" fontId="1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23" fillId="0" fontId="4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3" fillId="0" fontId="1" numFmtId="0" xfId="0" applyAlignment="1" applyBorder="1" applyFont="1">
      <alignment horizontal="center" readingOrder="0" vertical="bottom"/>
    </xf>
    <xf borderId="0" fillId="2" fontId="14" numFmtId="0" xfId="0" applyAlignment="1" applyFont="1">
      <alignment readingOrder="0"/>
    </xf>
    <xf borderId="14" fillId="2" fontId="1" numFmtId="0" xfId="0" applyAlignment="1" applyBorder="1" applyFont="1">
      <alignment horizontal="left" readingOrder="0" vertical="bottom"/>
    </xf>
    <xf borderId="0" fillId="0" fontId="1" numFmtId="0" xfId="0" applyFont="1"/>
    <xf borderId="14" fillId="2" fontId="10" numFmtId="0" xfId="0" applyAlignment="1" applyBorder="1" applyFont="1">
      <alignment horizontal="left" readingOrder="0" vertical="bottom"/>
    </xf>
    <xf borderId="14" fillId="0" fontId="1" numFmtId="0" xfId="0" applyAlignment="1" applyBorder="1" applyFont="1">
      <alignment horizontal="right" vertical="bottom"/>
    </xf>
    <xf borderId="9" fillId="0" fontId="1" numFmtId="0" xfId="0" applyBorder="1" applyFont="1"/>
    <xf borderId="0" fillId="0" fontId="16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7" numFmtId="0" xfId="0" applyAlignment="1" applyFont="1">
      <alignment readingOrder="0" vertical="bottom"/>
    </xf>
    <xf borderId="0" fillId="0" fontId="18" numFmtId="0" xfId="0" applyFont="1"/>
    <xf borderId="0" fillId="0" fontId="1" numFmtId="0" xfId="0" applyAlignment="1" applyFont="1">
      <alignment horizontal="left" readingOrder="0" vertical="bottom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9" fillId="2" fontId="14" numFmtId="0" xfId="0" applyAlignment="1" applyBorder="1" applyFont="1">
      <alignment readingOrder="0"/>
    </xf>
    <xf borderId="19" fillId="0" fontId="1" numFmtId="0" xfId="0" applyAlignment="1" applyBorder="1" applyFont="1">
      <alignment readingOrder="0" vertical="bottom"/>
    </xf>
    <xf borderId="13" fillId="0" fontId="4" numFmtId="0" xfId="0" applyAlignment="1" applyBorder="1" applyFont="1">
      <alignment readingOrder="0" vertical="bottom"/>
    </xf>
    <xf borderId="19" fillId="0" fontId="1" numFmtId="0" xfId="0" applyAlignment="1" applyBorder="1" applyFont="1">
      <alignment horizontal="right" readingOrder="0" vertical="bottom"/>
    </xf>
    <xf borderId="19" fillId="0" fontId="1" numFmtId="164" xfId="0" applyAlignment="1" applyBorder="1" applyFont="1" applyNumberFormat="1">
      <alignment horizontal="right" vertical="bottom"/>
    </xf>
    <xf borderId="0" fillId="2" fontId="20" numFmtId="0" xfId="0" applyAlignment="1" applyFont="1">
      <alignment readingOrder="0"/>
    </xf>
    <xf borderId="19" fillId="0" fontId="1" numFmtId="164" xfId="0" applyAlignment="1" applyBorder="1" applyFont="1" applyNumberFormat="1">
      <alignment horizontal="right" readingOrder="0" vertical="bottom"/>
    </xf>
    <xf borderId="14" fillId="0" fontId="21" numFmtId="0" xfId="0" applyAlignment="1" applyBorder="1" applyFont="1">
      <alignment readingOrder="0" vertical="bottom"/>
    </xf>
    <xf borderId="19" fillId="0" fontId="22" numFmtId="0" xfId="0" applyAlignment="1" applyBorder="1" applyFont="1">
      <alignment readingOrder="0" vertical="bottom"/>
    </xf>
    <xf borderId="18" fillId="0" fontId="1" numFmtId="0" xfId="0" applyAlignment="1" applyBorder="1" applyFont="1">
      <alignment readingOrder="0" vertical="bottom"/>
    </xf>
    <xf borderId="14" fillId="0" fontId="23" numFmtId="0" xfId="0" applyAlignment="1" applyBorder="1" applyFont="1">
      <alignment readingOrder="0"/>
    </xf>
    <xf borderId="19" fillId="0" fontId="1" numFmtId="0" xfId="0" applyBorder="1" applyFont="1"/>
    <xf borderId="17" fillId="2" fontId="24" numFmtId="164" xfId="0" applyAlignment="1" applyBorder="1" applyFont="1" applyNumberFormat="1">
      <alignment horizontal="right" vertical="bottom"/>
    </xf>
    <xf borderId="19" fillId="0" fontId="1" numFmtId="0" xfId="0" applyAlignment="1" applyBorder="1" applyFont="1">
      <alignment horizontal="center" vertical="bottom"/>
    </xf>
    <xf borderId="0" fillId="2" fontId="10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20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24" fillId="2" fontId="24" numFmtId="164" xfId="0" applyAlignment="1" applyBorder="1" applyFont="1" applyNumberFormat="1">
      <alignment horizontal="right" vertical="bottom"/>
    </xf>
    <xf borderId="0" fillId="0" fontId="25" numFmtId="0" xfId="0" applyAlignment="1" applyFont="1">
      <alignment readingOrder="0"/>
    </xf>
    <xf borderId="19" fillId="2" fontId="1" numFmtId="0" xfId="0" applyAlignment="1" applyBorder="1" applyFont="1">
      <alignment vertical="bottom"/>
    </xf>
    <xf borderId="0" fillId="0" fontId="19" numFmtId="164" xfId="0" applyAlignment="1" applyFont="1" applyNumberFormat="1">
      <alignment readingOrder="0"/>
    </xf>
    <xf borderId="19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2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0" fillId="2" fontId="26" numFmtId="0" xfId="0" applyAlignment="1" applyFont="1">
      <alignment readingOrder="0"/>
    </xf>
    <xf borderId="16" fillId="0" fontId="1" numFmtId="0" xfId="0" applyBorder="1" applyFont="1"/>
    <xf borderId="20" fillId="0" fontId="1" numFmtId="0" xfId="0" applyBorder="1" applyFont="1"/>
    <xf borderId="20" fillId="0" fontId="1" numFmtId="0" xfId="0" applyAlignment="1" applyBorder="1" applyFont="1">
      <alignment readingOrder="0"/>
    </xf>
    <xf borderId="0" fillId="0" fontId="27" numFmtId="0" xfId="0" applyFont="1"/>
    <xf borderId="1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0.86"/>
  </cols>
  <sheetData>
    <row r="1">
      <c r="A1" s="1"/>
      <c r="B1" s="1"/>
      <c r="C1" s="1"/>
      <c r="D1" s="1"/>
    </row>
    <row r="2">
      <c r="A2" s="1"/>
      <c r="B2" s="3" t="s">
        <v>2</v>
      </c>
      <c r="C2" s="1"/>
      <c r="D2" s="1"/>
    </row>
    <row r="3">
      <c r="A3" s="1"/>
      <c r="B3" s="5" t="s">
        <v>3</v>
      </c>
      <c r="C3" s="1"/>
      <c r="D3" s="1"/>
    </row>
    <row r="4">
      <c r="A4" s="1"/>
      <c r="B4" s="5" t="s">
        <v>4</v>
      </c>
      <c r="C4" s="1"/>
      <c r="D4" s="1"/>
    </row>
    <row r="5">
      <c r="A5" s="1"/>
      <c r="B5" s="7"/>
      <c r="C5" s="1"/>
      <c r="D5" s="1"/>
    </row>
    <row r="6">
      <c r="A6" s="1"/>
      <c r="B6" s="9"/>
      <c r="C6" s="1"/>
      <c r="D6" s="1"/>
    </row>
    <row r="7">
      <c r="A7" s="1"/>
      <c r="B7" s="1"/>
      <c r="C7" s="1"/>
      <c r="D7" s="1"/>
    </row>
    <row r="8">
      <c r="A8" s="1"/>
      <c r="B8" s="23" t="s">
        <v>5</v>
      </c>
      <c r="C8" s="1"/>
      <c r="D8" s="1"/>
    </row>
    <row r="9">
      <c r="A9" s="1"/>
      <c r="B9" s="1" t="s">
        <v>21</v>
      </c>
      <c r="C9" s="33">
        <f>SUM('Mechanical Components'!H3:H21)</f>
        <v>71.1286</v>
      </c>
      <c r="D9" s="1"/>
    </row>
    <row r="10">
      <c r="A10" s="1"/>
      <c r="B10" s="1" t="s">
        <v>29</v>
      </c>
      <c r="C10" s="42">
        <f>'Electrical Components'!H3+'Electrical Components'!H4+'Electrical Components'!H5+'Electrical Components'!H6+'Electrical Components'!H7+'Electrical Components'!H8+'Electrical Components'!H9+'Electrical Components'!H10+'Electrical Components'!H12+'Electrical Components'!H13+'Electrical Components'!H11</f>
        <v>238.02</v>
      </c>
      <c r="D10" s="1"/>
    </row>
    <row r="11">
      <c r="A11" s="1"/>
      <c r="B11" s="1" t="s">
        <v>32</v>
      </c>
      <c r="C11" s="42" t="str">
        <f>PCBs!L2</f>
        <v/>
      </c>
      <c r="D11" s="42"/>
    </row>
    <row r="12">
      <c r="A12" s="1"/>
      <c r="B12" s="9" t="s">
        <v>33</v>
      </c>
      <c r="C12" s="42">
        <f>'3D Printing'!B22</f>
        <v>164.68</v>
      </c>
      <c r="D12" s="42"/>
    </row>
    <row r="13">
      <c r="A13" s="1"/>
      <c r="B13" s="1" t="s">
        <v>34</v>
      </c>
      <c r="C13" s="42"/>
      <c r="D13" s="42"/>
    </row>
    <row r="14">
      <c r="A14" s="1"/>
      <c r="B14" s="1" t="s">
        <v>36</v>
      </c>
      <c r="C14" s="47">
        <f>SUM(C9:C13)</f>
        <v>473.8286</v>
      </c>
      <c r="D14" s="1"/>
    </row>
    <row r="15">
      <c r="A15" s="1"/>
      <c r="B15" s="1"/>
      <c r="C15" s="1"/>
      <c r="D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24.14"/>
    <col customWidth="1" min="2" max="2" width="18.43"/>
    <col customWidth="1" min="3" max="3" width="35.0"/>
    <col customWidth="1" min="4" max="4" width="22.43"/>
    <col customWidth="1" min="5" max="5" width="20.0"/>
    <col customWidth="1" min="6" max="6" width="22.29"/>
    <col customWidth="1" min="8" max="8" width="17.0"/>
    <col customWidth="1" min="9" max="9" width="18.29"/>
    <col customWidth="1" min="10" max="10" width="16.71"/>
    <col customWidth="1" min="11" max="11" width="16.14"/>
  </cols>
  <sheetData>
    <row r="1">
      <c r="A1" s="2" t="s">
        <v>0</v>
      </c>
      <c r="B1" s="11"/>
      <c r="C1" s="1"/>
      <c r="D1" s="1"/>
      <c r="E1" s="1"/>
      <c r="F1" s="1"/>
      <c r="G1" s="1"/>
      <c r="H1" s="1"/>
      <c r="I1" s="1"/>
      <c r="J1" s="13"/>
    </row>
    <row r="2">
      <c r="A2" s="16" t="s">
        <v>6</v>
      </c>
      <c r="B2" s="18" t="s">
        <v>9</v>
      </c>
      <c r="C2" s="20" t="s">
        <v>11</v>
      </c>
      <c r="D2" s="22" t="s">
        <v>10</v>
      </c>
      <c r="E2" s="20" t="s">
        <v>12</v>
      </c>
      <c r="F2" s="24" t="s">
        <v>13</v>
      </c>
      <c r="G2" s="20" t="s">
        <v>14</v>
      </c>
      <c r="H2" s="24" t="s">
        <v>15</v>
      </c>
      <c r="I2" s="26" t="s">
        <v>18</v>
      </c>
      <c r="J2" s="28" t="s">
        <v>23</v>
      </c>
      <c r="K2" s="30" t="s">
        <v>19</v>
      </c>
    </row>
    <row r="3">
      <c r="A3" s="32" t="s">
        <v>27</v>
      </c>
      <c r="B3" s="34" t="s">
        <v>28</v>
      </c>
      <c r="C3" s="36" t="s">
        <v>30</v>
      </c>
      <c r="D3" s="37" t="s">
        <v>31</v>
      </c>
      <c r="E3" s="37" t="s">
        <v>31</v>
      </c>
      <c r="F3" s="39">
        <v>1.0</v>
      </c>
      <c r="G3" s="41">
        <v>14.95</v>
      </c>
      <c r="H3" s="43">
        <f t="shared" ref="H3:H11" si="1">F3*G3</f>
        <v>14.95</v>
      </c>
      <c r="I3" s="46" t="str">
        <f>HYPERLINK("https://www.adafruit.com/product/3800","Adafruit")</f>
        <v>Adafruit</v>
      </c>
      <c r="J3" s="48" t="str">
        <f>HYPERLINK("http://ww1.microchip.com/downloads/en/DeviceDoc/60001507E.pdf","Datasheet")</f>
        <v>Datasheet</v>
      </c>
      <c r="K3" s="50" t="s">
        <v>37</v>
      </c>
    </row>
    <row r="4">
      <c r="A4" s="51"/>
      <c r="B4" s="27" t="s">
        <v>41</v>
      </c>
      <c r="C4" s="29" t="s">
        <v>42</v>
      </c>
      <c r="D4" s="29" t="s">
        <v>43</v>
      </c>
      <c r="E4" s="29" t="s">
        <v>43</v>
      </c>
      <c r="F4" s="31">
        <v>1.0</v>
      </c>
      <c r="G4" s="35">
        <v>2.95</v>
      </c>
      <c r="H4" s="38">
        <f t="shared" si="1"/>
        <v>2.95</v>
      </c>
      <c r="I4" s="52" t="str">
        <f>HYPERLINK("https://www.sparkfun.com/products/12009","Sparkfun")</f>
        <v>Sparkfun</v>
      </c>
      <c r="J4" s="55" t="str">
        <f>HYPERLINK("https://cdn.sparkfun.com/datasheets/BreakoutBoards/BSS138.pdf","Datasheet")</f>
        <v>Datasheet</v>
      </c>
      <c r="K4" s="57" t="s">
        <v>45</v>
      </c>
    </row>
    <row r="5">
      <c r="A5" s="59"/>
      <c r="B5" s="61" t="s">
        <v>46</v>
      </c>
      <c r="C5" s="29" t="s">
        <v>47</v>
      </c>
      <c r="D5" s="63">
        <v>1787.0</v>
      </c>
      <c r="E5" s="29" t="s">
        <v>48</v>
      </c>
      <c r="F5" s="40">
        <v>1.0</v>
      </c>
      <c r="G5" s="35">
        <v>1.5</v>
      </c>
      <c r="H5" s="38">
        <f t="shared" si="1"/>
        <v>1.5</v>
      </c>
      <c r="I5" s="52" t="str">
        <f> HYPERLINK("https://www.adafruit.com/product/1787","Adafruit")</f>
        <v>Adafruit</v>
      </c>
      <c r="J5" s="55" t="str">
        <f>HYPERLINK("https://cdn-shop.adafruit.com/product-files/1787/1787AHC125.pdf","
Datasheet")</f>
        <v>
Datasheet</v>
      </c>
      <c r="K5" s="65" t="s">
        <v>54</v>
      </c>
    </row>
    <row r="6">
      <c r="A6" s="67"/>
      <c r="B6" s="68" t="s">
        <v>58</v>
      </c>
      <c r="C6" s="69" t="s">
        <v>59</v>
      </c>
      <c r="D6" s="70">
        <v>2717.0</v>
      </c>
      <c r="E6" s="70" t="s">
        <v>62</v>
      </c>
      <c r="F6" s="69">
        <v>1.0</v>
      </c>
      <c r="G6" s="72">
        <v>6.95</v>
      </c>
      <c r="H6" s="60">
        <f t="shared" si="1"/>
        <v>6.95</v>
      </c>
      <c r="I6" s="76" t="str">
        <f>HYPERLINK("https://www.adafruit.com/product/2717","Adafruit")</f>
        <v>Adafruit</v>
      </c>
      <c r="J6" s="76" t="str">
        <f>HYPERLINK("https://cdn-shop.adafruit.com/datasheets/tca9548a.pdf","Datasheet")</f>
        <v>Datasheet</v>
      </c>
      <c r="K6" s="79" t="s">
        <v>70</v>
      </c>
    </row>
    <row r="7">
      <c r="A7" s="81" t="s">
        <v>79</v>
      </c>
      <c r="B7" s="83" t="s">
        <v>80</v>
      </c>
      <c r="C7" s="36" t="s">
        <v>84</v>
      </c>
      <c r="D7" s="85" t="s">
        <v>85</v>
      </c>
      <c r="E7" s="87" t="s">
        <v>85</v>
      </c>
      <c r="F7" s="88">
        <v>1.0</v>
      </c>
      <c r="G7" s="41">
        <v>5.84</v>
      </c>
      <c r="H7" s="43">
        <f t="shared" si="1"/>
        <v>5.84</v>
      </c>
      <c r="I7" s="46" t="str">
        <f>HYPERLINK("https://www.amazon.com/GY-521-MPU-6050-Module-Sensors-Accelerometer/dp/B08184X254/ref=asc_df_B08184X254/?tag=hyprod-20&amp;linkCode=df0&amp;hvadid=385372410444&amp;hvpos=1o1&amp;hvnetw=g&amp;hvrand=4008504023036876345&amp;hvpone=&amp;hvptwo=&amp;hvqmt=&amp;hvdev=c&amp;hvdvcmdl=&amp;hvlocint=&amp;hvlocp"&amp;"hy=1024429&amp;hvtargid=aud-829758849484:pla-852522447585&amp;psc=1&amp;tag=&amp;ref=&amp;adgrpid=76732770457&amp;hvpone=&amp;hvptwo=&amp;hvadid=385372410444&amp;hvpos=1o1&amp;hvnetw=g&amp;hvrand=4008504023036876345&amp;hvqmt=&amp;hvdev=c&amp;hvdvcmdl=&amp;hvlocint=&amp;hvlocphy=1024429&amp;hvtargid=aud-829758849484:pla-8"&amp;"52522447585","Amazon")</f>
        <v>Amazon</v>
      </c>
      <c r="J7" s="92" t="str">
        <f>HYPERLINK("https://www.invensense.com/wp-content/uploads/2015/02/MPU-6000-Datasheet1.pdf","DataSheet")</f>
        <v>DataSheet</v>
      </c>
      <c r="K7" s="93" t="str">
        <f>HYPERLINK("https://www.invensense.com/wp-content/uploads/2015/02/MPU-6000-Register-Map1.pdf","RegisterMap")</f>
        <v>RegisterMap</v>
      </c>
      <c r="L7" s="29" t="s">
        <v>98</v>
      </c>
    </row>
    <row r="8">
      <c r="A8" s="51"/>
      <c r="B8" s="27" t="s">
        <v>100</v>
      </c>
      <c r="C8" s="9" t="s">
        <v>101</v>
      </c>
      <c r="D8" s="94">
        <v>1071.0</v>
      </c>
      <c r="E8" s="94" t="s">
        <v>103</v>
      </c>
      <c r="F8" s="40">
        <v>1.0</v>
      </c>
      <c r="G8" s="35">
        <v>19.95</v>
      </c>
      <c r="H8" s="38">
        <f t="shared" si="1"/>
        <v>19.95</v>
      </c>
      <c r="I8" s="52" t="str">
        <f>HYPERLINK("https://www.adafruit.com/product/1071","Adafruit")</f>
        <v>Adafruit</v>
      </c>
      <c r="J8" s="92" t="str">
        <f>HYPERLINK("https://cdn-shop.adafruit.com/datasheets/FSR400Series_PD.pdf","DataSheet")</f>
        <v>DataSheet</v>
      </c>
      <c r="K8" s="29" t="s">
        <v>107</v>
      </c>
    </row>
    <row r="9">
      <c r="A9" s="51"/>
      <c r="B9" s="27" t="s">
        <v>108</v>
      </c>
      <c r="C9" s="9" t="s">
        <v>109</v>
      </c>
      <c r="D9" s="29" t="s">
        <v>110</v>
      </c>
      <c r="E9" s="29" t="s">
        <v>111</v>
      </c>
      <c r="F9" s="31">
        <v>1.0</v>
      </c>
      <c r="G9" s="35">
        <v>23.95</v>
      </c>
      <c r="H9" s="38">
        <f t="shared" si="1"/>
        <v>23.95</v>
      </c>
      <c r="I9" s="52" t="str">
        <f>HYPERLINK("https://www.sparkfun.com/products/8681","Sparkfun")</f>
        <v>Sparkfun</v>
      </c>
      <c r="J9" s="92" t="str">
        <f>HYPERLINK("https://www.sparkfun.com/datasheets/Sensors/Flex/SoftPot-Datasheet.pdf","DataSheet")</f>
        <v>DataSheet</v>
      </c>
      <c r="K9" s="29" t="s">
        <v>117</v>
      </c>
    </row>
    <row r="10">
      <c r="A10" s="66"/>
      <c r="B10" s="27" t="s">
        <v>118</v>
      </c>
      <c r="C10" s="9" t="s">
        <v>119</v>
      </c>
      <c r="D10" s="1"/>
      <c r="E10" s="1"/>
      <c r="F10" s="31">
        <v>8.0</v>
      </c>
      <c r="G10" s="38">
        <v>9.9</v>
      </c>
      <c r="H10" s="38">
        <f t="shared" si="1"/>
        <v>79.2</v>
      </c>
      <c r="I10" s="52" t="str">
        <f>HYPERLINK("https://www.sparkfun.com/products/13162","Sparkfun")</f>
        <v>Sparkfun</v>
      </c>
      <c r="J10" s="92" t="str">
        <f>HYPERLINK("https://cdn.sparkfun.com/assets/learn_tutorials/3/4/5/XYZ_Interactive_Technologies_-_ZX_SparkFun_Sensor_Datasheet.pdf","DataSheet")</f>
        <v>DataSheet</v>
      </c>
      <c r="K10" s="29" t="s">
        <v>126</v>
      </c>
    </row>
    <row r="11">
      <c r="A11" s="66"/>
      <c r="B11" s="27" t="s">
        <v>127</v>
      </c>
      <c r="C11" s="9" t="s">
        <v>128</v>
      </c>
      <c r="D11" s="97" t="s">
        <v>129</v>
      </c>
      <c r="E11" s="98"/>
      <c r="F11" s="40">
        <v>1.0</v>
      </c>
      <c r="G11" s="35">
        <v>7.83</v>
      </c>
      <c r="H11" s="38">
        <f t="shared" si="1"/>
        <v>7.83</v>
      </c>
      <c r="I11" s="52" t="str">
        <f>HYPERLINK("https://shop.flexpoint.com/products/the-bend-sensor%C2%AE?variant=17047449141294","Flexpoint")</f>
        <v>Flexpoint</v>
      </c>
      <c r="J11" s="92" t="str">
        <f>HYPERLINK("https://docs.wixstatic.com/ugd/5ec652_fc693c57e9374146bdcbbaa52bceb2d3.pdf","DataSheet")</f>
        <v>DataSheet</v>
      </c>
      <c r="K11" s="29" t="s">
        <v>133</v>
      </c>
    </row>
    <row r="12">
      <c r="A12" s="101" t="s">
        <v>134</v>
      </c>
      <c r="B12" s="34" t="s">
        <v>137</v>
      </c>
      <c r="C12" s="36" t="s">
        <v>138</v>
      </c>
      <c r="D12" s="36">
        <v>2242.0</v>
      </c>
      <c r="E12" s="74"/>
      <c r="F12" s="75">
        <v>1.0</v>
      </c>
      <c r="G12" s="41">
        <v>49.95</v>
      </c>
      <c r="H12" s="43">
        <f t="shared" ref="H12:H13" si="2">G12*F12</f>
        <v>49.95</v>
      </c>
      <c r="I12" s="46" t="str">
        <f>HYPERLINK("https://www.adafruit.com/product/2242","Adafruit")</f>
        <v>Adafruit</v>
      </c>
      <c r="J12" s="106" t="str">
        <f t="shared" ref="J12:J13" si="3">HYPERLINK("https://learn.adafruit.com/adafruit-dotstar-leds","Tutorial")</f>
        <v>Tutorial</v>
      </c>
      <c r="K12" s="48" t="str">
        <f>HYPERLINK("http://fastled.io/","FastLED.io")</f>
        <v>FastLED.io</v>
      </c>
      <c r="L12" s="109" t="str">
        <f>HYPERLINK("https://cdn-shop.adafruit.com/product-files/2242/SK9822SHIJI.pdf", "1 DotStar")</f>
        <v>1 DotStar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>
      <c r="A13" s="111"/>
      <c r="B13" s="27" t="s">
        <v>145</v>
      </c>
      <c r="C13" s="9" t="s">
        <v>146</v>
      </c>
      <c r="D13" s="9">
        <v>2329.0</v>
      </c>
      <c r="E13" s="40"/>
      <c r="F13" s="31">
        <v>1.0</v>
      </c>
      <c r="G13" s="35">
        <v>24.95</v>
      </c>
      <c r="H13" s="38">
        <f t="shared" si="2"/>
        <v>24.95</v>
      </c>
      <c r="I13" s="52" t="str">
        <f>HYPERLINK("https://www.adafruit.com/product/2329","Adafruit")</f>
        <v>Adafruit</v>
      </c>
      <c r="J13" s="92" t="str">
        <f t="shared" si="3"/>
        <v>Tutorial</v>
      </c>
    </row>
    <row r="14">
      <c r="A14" s="51"/>
      <c r="B14" s="112"/>
      <c r="C14" s="56"/>
      <c r="D14" s="56"/>
      <c r="E14" s="58"/>
      <c r="F14" s="58"/>
      <c r="G14" s="60"/>
      <c r="H14" s="60"/>
      <c r="I14" s="62"/>
      <c r="J14" s="1"/>
    </row>
    <row r="15">
      <c r="A15" s="71" t="s">
        <v>155</v>
      </c>
      <c r="B15" s="27" t="s">
        <v>156</v>
      </c>
      <c r="C15" s="9" t="s">
        <v>157</v>
      </c>
      <c r="D15" s="1"/>
      <c r="E15" s="1"/>
      <c r="F15" s="31">
        <v>1.0</v>
      </c>
      <c r="G15" s="35">
        <v>25.99</v>
      </c>
      <c r="H15" s="38">
        <f t="shared" ref="H15:H17" si="4">G15*F15</f>
        <v>25.99</v>
      </c>
      <c r="I15" s="52" t="str">
        <f>HYPERLINK("https://www.amazon.com/ALITOVE-Transformer-Converter-5-5x2-1mm-100V-240V/dp/B01LXN7MN3?th=1","Amazon")</f>
        <v>Amazon</v>
      </c>
      <c r="J15" s="90" t="str">
        <f>HYPERLINK("http://www.alitove.net/product/5v-15a-bk/","Manufacturer Info")</f>
        <v>Manufacturer Info</v>
      </c>
      <c r="K15" s="29" t="s">
        <v>162</v>
      </c>
    </row>
    <row r="16">
      <c r="B16" s="115" t="s">
        <v>163</v>
      </c>
      <c r="C16" s="116" t="s">
        <v>166</v>
      </c>
      <c r="D16" s="116"/>
      <c r="E16" s="116"/>
      <c r="F16" s="117">
        <v>1.0</v>
      </c>
      <c r="G16" s="118">
        <v>8.99</v>
      </c>
      <c r="H16" s="38">
        <f t="shared" si="4"/>
        <v>8.99</v>
      </c>
      <c r="I16" s="52" t="str">
        <f>HYPERLINK("https://www.amazon.com/DIKAVS-Breadboard-friendly-2-1mm-Barrel-Jack/dp/B074LK7G86/","Amazon")</f>
        <v>Amazon</v>
      </c>
      <c r="J16" s="116"/>
      <c r="K16" s="117" t="s">
        <v>172</v>
      </c>
      <c r="L16" s="119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</row>
    <row r="17">
      <c r="B17" s="61" t="s">
        <v>175</v>
      </c>
      <c r="C17" s="117" t="s">
        <v>176</v>
      </c>
      <c r="D17" s="120"/>
      <c r="E17" s="120"/>
      <c r="F17" s="9">
        <v>1.0</v>
      </c>
      <c r="G17" s="121">
        <v>5.99</v>
      </c>
      <c r="H17" s="38">
        <f t="shared" si="4"/>
        <v>5.99</v>
      </c>
      <c r="I17" s="52" t="str">
        <f>HYPERLINK("https://www.amazon.com/Uxcell-a15012900ux0190-5-5x2-1-Female-Connector/dp/B011HFLKI2/","Amazon")</f>
        <v>Amazon</v>
      </c>
      <c r="J17" s="1"/>
      <c r="K17" s="9"/>
    </row>
    <row r="18">
      <c r="B18" s="61" t="s">
        <v>181</v>
      </c>
      <c r="C18" s="9" t="s">
        <v>182</v>
      </c>
      <c r="D18" s="120"/>
      <c r="E18" s="120"/>
      <c r="F18" s="9">
        <v>1.0</v>
      </c>
      <c r="G18" s="121">
        <v>7.95</v>
      </c>
      <c r="H18" s="121">
        <v>7.95</v>
      </c>
      <c r="I18" s="55" t="str">
        <f>HYPERLINK("https://www.digikey.com/product-detail/en/sparkfun-electronics/ROB-14538/1568-1862-ND/9093800?WT.srch=1&amp;gclid=CjwKCAiA0svwBRBhEiwAHqKjFtIDVjmjv5Ia0GIMnjgajFFN9gaWsMuQFBMwgjDHmuaAYOZESQpuzRoC_lUQAvD_BwE&amp;pdv=c&amp;pcrid=76212769875&amp;productid=9093800&amp;mkwid=sAnP8"&amp;"wqxx&amp;pmt=&amp;pkw=","Digikey")</f>
        <v>Digikey</v>
      </c>
      <c r="J18" s="29"/>
      <c r="K18" s="9" t="s">
        <v>188</v>
      </c>
    </row>
    <row r="19">
      <c r="A19" s="122"/>
      <c r="B19" s="54" t="s">
        <v>191</v>
      </c>
      <c r="C19" s="100" t="s">
        <v>192</v>
      </c>
      <c r="D19" s="124"/>
      <c r="E19" s="124"/>
      <c r="F19" s="100">
        <v>1.0</v>
      </c>
      <c r="G19" s="126">
        <v>3.61</v>
      </c>
      <c r="H19" s="126">
        <v>3.61</v>
      </c>
      <c r="I19" s="55" t="str">
        <f>HYPERLINK("https://www.digikey.com/product-detail/en/jinlong-machinery-electronics-inc/G1036002D/1670-1068-ND/9974281","Digikey")</f>
        <v>Digikey</v>
      </c>
      <c r="J19" s="55" t="str">
        <f>HYPERLINK("http://www.vibration-motor.com/wp-content/themes/vibration-motors/dk-pdf/products/download/G1036002D.pdf","DataSheet")</f>
        <v>DataSheet</v>
      </c>
    </row>
    <row r="20">
      <c r="A20" s="81" t="s">
        <v>196</v>
      </c>
      <c r="B20" s="129"/>
      <c r="C20" s="130" t="s">
        <v>197</v>
      </c>
      <c r="D20" s="80"/>
      <c r="E20" s="80"/>
      <c r="F20" s="80"/>
      <c r="G20" s="80"/>
      <c r="H20" s="131"/>
      <c r="I20" s="80"/>
      <c r="J20" s="80"/>
      <c r="K20" s="132"/>
    </row>
    <row r="21">
      <c r="A21" s="133"/>
      <c r="B21" s="134"/>
      <c r="C21" s="29" t="s">
        <v>198</v>
      </c>
      <c r="K21" s="89"/>
    </row>
    <row r="22">
      <c r="A22" s="133"/>
      <c r="B22" s="133"/>
      <c r="C22" s="29" t="s">
        <v>199</v>
      </c>
      <c r="K22" s="89"/>
    </row>
    <row r="23">
      <c r="A23" s="133"/>
      <c r="B23" s="133"/>
      <c r="C23" s="29" t="s">
        <v>200</v>
      </c>
      <c r="K23" s="89"/>
    </row>
    <row r="24">
      <c r="A24" s="133"/>
      <c r="B24" s="133"/>
      <c r="C24" s="29" t="s">
        <v>201</v>
      </c>
      <c r="K24" s="89"/>
    </row>
    <row r="25">
      <c r="A25" s="133"/>
      <c r="B25" s="133"/>
      <c r="C25" s="29" t="s">
        <v>202</v>
      </c>
      <c r="K25" s="89"/>
    </row>
    <row r="26">
      <c r="A26" s="133"/>
      <c r="B26" s="133"/>
      <c r="C26" s="29" t="s">
        <v>203</v>
      </c>
      <c r="K26" s="89"/>
    </row>
    <row r="27">
      <c r="A27" s="133"/>
      <c r="B27" s="133"/>
      <c r="C27" s="29" t="s">
        <v>204</v>
      </c>
      <c r="K27" s="89"/>
    </row>
    <row r="28">
      <c r="A28" s="133"/>
      <c r="B28" s="133"/>
      <c r="C28" s="29" t="s">
        <v>205</v>
      </c>
      <c r="K28" s="89"/>
    </row>
    <row r="29">
      <c r="A29" s="133"/>
      <c r="B29" s="133"/>
      <c r="C29" s="29" t="s">
        <v>206</v>
      </c>
      <c r="K29" s="89"/>
    </row>
    <row r="30">
      <c r="A30" s="133"/>
      <c r="B30" s="133"/>
      <c r="C30" s="29" t="s">
        <v>207</v>
      </c>
      <c r="K30" s="89"/>
    </row>
    <row r="31">
      <c r="A31" s="133"/>
      <c r="B31" s="133"/>
      <c r="C31" s="29" t="s">
        <v>208</v>
      </c>
      <c r="J31" s="135" t="str">
        <f>HYPERLINK("https://learn.adafruit.com/adafruit-dotstar-leds/power-and-connections","Cap reference")</f>
        <v>Cap reference</v>
      </c>
      <c r="K31" s="29" t="s">
        <v>209</v>
      </c>
    </row>
    <row r="32">
      <c r="A32" s="133"/>
      <c r="B32" s="133"/>
      <c r="C32" s="29" t="s">
        <v>210</v>
      </c>
      <c r="K32" s="89"/>
    </row>
    <row r="33">
      <c r="A33" s="133"/>
      <c r="B33" s="133"/>
      <c r="C33" s="29" t="s">
        <v>211</v>
      </c>
      <c r="K33" s="89"/>
    </row>
    <row r="34">
      <c r="A34" s="133"/>
      <c r="B34" s="133"/>
      <c r="C34" s="29" t="s">
        <v>212</v>
      </c>
      <c r="K34" s="89"/>
    </row>
    <row r="35">
      <c r="A35" s="133"/>
      <c r="B35" s="133"/>
      <c r="C35" s="29" t="s">
        <v>213</v>
      </c>
      <c r="K35" s="89"/>
    </row>
    <row r="36">
      <c r="A36" s="133"/>
      <c r="B36" s="133"/>
      <c r="C36" s="29" t="s">
        <v>214</v>
      </c>
      <c r="K36" s="89"/>
    </row>
    <row r="37">
      <c r="A37" s="67"/>
      <c r="B37" s="67"/>
      <c r="C37" s="69" t="s">
        <v>215</v>
      </c>
      <c r="D37" s="110"/>
      <c r="E37" s="110"/>
      <c r="F37" s="110"/>
      <c r="G37" s="110"/>
      <c r="H37" s="110"/>
      <c r="I37" s="110"/>
      <c r="J37" s="110"/>
      <c r="K37" s="1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21.0"/>
    <col customWidth="1" min="2" max="2" width="19.43"/>
    <col customWidth="1" min="3" max="3" width="65.29"/>
    <col customWidth="1" min="4" max="4" width="16.0"/>
    <col customWidth="1" min="5" max="5" width="7.43"/>
    <col customWidth="1" min="6" max="6" width="12.71"/>
    <col customWidth="1" min="7" max="7" width="10.71"/>
    <col customWidth="1" min="8" max="8" width="10.43"/>
    <col customWidth="1" min="9" max="9" width="11.71"/>
    <col customWidth="1" min="10" max="10" width="11.14"/>
    <col customWidth="1" min="11" max="11" width="18.43"/>
    <col customWidth="1" min="12" max="12" width="69.86"/>
  </cols>
  <sheetData>
    <row r="1">
      <c r="A1" s="4" t="s">
        <v>1</v>
      </c>
      <c r="B1" s="6"/>
      <c r="C1" s="8"/>
      <c r="D1" s="10"/>
      <c r="E1" s="8"/>
      <c r="F1" s="8"/>
      <c r="G1" s="8"/>
      <c r="H1" s="8"/>
      <c r="I1" s="8"/>
      <c r="J1" s="8"/>
      <c r="K1" s="8"/>
      <c r="L1" s="12"/>
    </row>
    <row r="2">
      <c r="A2" s="14" t="s">
        <v>6</v>
      </c>
      <c r="B2" s="15" t="s">
        <v>7</v>
      </c>
      <c r="C2" s="17" t="s">
        <v>8</v>
      </c>
      <c r="D2" s="19" t="s">
        <v>10</v>
      </c>
      <c r="E2" s="17" t="s">
        <v>12</v>
      </c>
      <c r="F2" s="21" t="s">
        <v>13</v>
      </c>
      <c r="G2" s="17" t="s">
        <v>14</v>
      </c>
      <c r="H2" s="21" t="s">
        <v>15</v>
      </c>
      <c r="I2" s="17" t="s">
        <v>16</v>
      </c>
      <c r="J2" s="17" t="s">
        <v>17</v>
      </c>
      <c r="K2" s="17" t="s">
        <v>18</v>
      </c>
      <c r="L2" s="17" t="s">
        <v>19</v>
      </c>
    </row>
    <row r="3">
      <c r="A3" s="25" t="s">
        <v>20</v>
      </c>
      <c r="B3" s="27" t="s">
        <v>22</v>
      </c>
      <c r="C3" s="9" t="s">
        <v>24</v>
      </c>
      <c r="D3" s="29" t="s">
        <v>25</v>
      </c>
      <c r="E3" s="29" t="s">
        <v>26</v>
      </c>
      <c r="F3" s="31">
        <v>1.0</v>
      </c>
      <c r="G3" s="35">
        <f t="shared" ref="G3:G4" si="1">I3*J3</f>
        <v>7.68</v>
      </c>
      <c r="H3" s="38">
        <f>I3*J3</f>
        <v>7.68</v>
      </c>
      <c r="I3" s="40">
        <v>1.0</v>
      </c>
      <c r="J3" s="35">
        <v>7.68</v>
      </c>
      <c r="K3" s="44" t="str">
        <f>HYPERLINK("https://us.misumi-ec.com/vona2/detail/110302683830/?curSearch=%7b%22field%22%3a%22%40search%22%2c%22seriesCode%22%3a%22110302683830%22%2c%22innerCode%22%3a%22%22%2c%22sort%22%3a1%2c%22specSortFlag%22%3a0%2c%22allSpecFlag%22%3a0%2c%22page%22%3a1%2c%22pageS"&amp;"ize%22%3a%2260%22%2c%2200000042737%22%3a%22a%22%2c%2200000332694%22%3a%221220%22%2c%22fixedInfo%22%3a%22MDM00001300718110302683830-1897579906-1255582774045885826%7c42%22%7d&amp;Tab=wysiwyg_area_0","Misumi")</f>
        <v>Misumi</v>
      </c>
      <c r="L3" s="45" t="s">
        <v>35</v>
      </c>
    </row>
    <row r="4">
      <c r="A4" s="49"/>
      <c r="B4" s="27" t="s">
        <v>38</v>
      </c>
      <c r="C4" s="9" t="s">
        <v>39</v>
      </c>
      <c r="D4" s="9" t="s">
        <v>40</v>
      </c>
      <c r="E4" s="9" t="s">
        <v>40</v>
      </c>
      <c r="F4" s="31">
        <v>1.0</v>
      </c>
      <c r="G4" s="35">
        <f t="shared" si="1"/>
        <v>32.99</v>
      </c>
      <c r="H4" s="38">
        <f>F4*G4</f>
        <v>32.99</v>
      </c>
      <c r="I4" s="31">
        <v>1.0</v>
      </c>
      <c r="J4" s="35">
        <v>32.99</v>
      </c>
      <c r="K4" s="52" t="str">
        <f>HYPERLINK("https://www.amazon.com/gp/product/B07R7ZRZB1/ref=ppx_yo_dt_b_asin_title_o00_s00?ie=UTF8&amp;psc=1","Amazon")</f>
        <v>Amazon</v>
      </c>
      <c r="L4" s="45" t="s">
        <v>44</v>
      </c>
    </row>
    <row r="5">
      <c r="A5" s="53"/>
      <c r="B5" s="54"/>
      <c r="C5" s="56"/>
      <c r="D5" s="56"/>
      <c r="E5" s="56"/>
      <c r="F5" s="58"/>
      <c r="G5" s="60"/>
      <c r="H5" s="60"/>
      <c r="I5" s="58"/>
      <c r="J5" s="60"/>
      <c r="K5" s="62"/>
      <c r="L5" s="64"/>
    </row>
    <row r="6">
      <c r="A6" s="25" t="s">
        <v>49</v>
      </c>
      <c r="B6" s="27" t="s">
        <v>50</v>
      </c>
      <c r="C6" s="9" t="s">
        <v>51</v>
      </c>
      <c r="D6" s="9" t="s">
        <v>52</v>
      </c>
      <c r="E6" s="9" t="s">
        <v>52</v>
      </c>
      <c r="F6" s="31">
        <v>1.0</v>
      </c>
      <c r="G6" s="35">
        <f t="shared" ref="G6:G7" si="2">I6*J6</f>
        <v>6.7914</v>
      </c>
      <c r="H6" s="35">
        <f t="shared" ref="H6:H7" si="3">I6*J6</f>
        <v>6.7914</v>
      </c>
      <c r="I6" s="31">
        <v>0.33</v>
      </c>
      <c r="J6" s="35">
        <v>20.58</v>
      </c>
      <c r="K6" s="44" t="str">
        <f>HYPERLINK("https://www.mcmaster.com/8569k63","McMaster")</f>
        <v>McMaster</v>
      </c>
      <c r="L6" s="45" t="s">
        <v>53</v>
      </c>
    </row>
    <row r="7">
      <c r="A7" s="66"/>
      <c r="B7" s="27" t="s">
        <v>55</v>
      </c>
      <c r="C7" s="9" t="s">
        <v>56</v>
      </c>
      <c r="D7" s="9" t="s">
        <v>57</v>
      </c>
      <c r="E7" s="9" t="s">
        <v>57</v>
      </c>
      <c r="F7" s="31">
        <v>1.0</v>
      </c>
      <c r="G7" s="35">
        <f t="shared" si="2"/>
        <v>7.4316</v>
      </c>
      <c r="H7" s="35">
        <f t="shared" si="3"/>
        <v>7.4316</v>
      </c>
      <c r="I7" s="31">
        <v>0.33</v>
      </c>
      <c r="J7" s="35">
        <v>22.52</v>
      </c>
      <c r="K7" s="52" t="str">
        <f>HYPERLINK("https://www.mcmaster.com/8622k52","McMaster")</f>
        <v>McMaster</v>
      </c>
      <c r="L7" s="45" t="s">
        <v>60</v>
      </c>
    </row>
    <row r="8">
      <c r="A8" s="71" t="s">
        <v>61</v>
      </c>
      <c r="B8" s="34" t="s">
        <v>63</v>
      </c>
      <c r="C8" s="73" t="s">
        <v>64</v>
      </c>
      <c r="D8" s="36" t="s">
        <v>65</v>
      </c>
      <c r="E8" s="74" t="s">
        <v>66</v>
      </c>
      <c r="F8" s="75">
        <v>12.0</v>
      </c>
      <c r="G8" s="77">
        <f t="shared" ref="G8:G15" si="4">J8/I8</f>
        <v>0.1598</v>
      </c>
      <c r="H8" s="77">
        <f t="shared" ref="H8:H15" si="5">(J8/I8)*F8</f>
        <v>1.9176</v>
      </c>
      <c r="I8" s="75">
        <v>50.0</v>
      </c>
      <c r="J8" s="41">
        <v>7.99</v>
      </c>
      <c r="K8" s="46" t="str">
        <f>HYPERLINK("https://www.amazon.com/gp/product/B01GCDG2QE/ref=ppx_yo_dt_b_asin_title_o00_s01?ie=UTF8&amp;psc=1","Amazon")</f>
        <v>Amazon</v>
      </c>
      <c r="L8" s="50" t="s">
        <v>77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66"/>
      <c r="B9" s="27" t="s">
        <v>81</v>
      </c>
      <c r="C9" s="84" t="s">
        <v>82</v>
      </c>
      <c r="D9" s="9" t="s">
        <v>86</v>
      </c>
      <c r="E9" s="1"/>
      <c r="F9" s="31">
        <v>24.0</v>
      </c>
      <c r="G9" s="42">
        <f t="shared" si="4"/>
        <v>0.028</v>
      </c>
      <c r="H9" s="42">
        <f t="shared" si="5"/>
        <v>0.672</v>
      </c>
      <c r="I9" s="31">
        <v>100.0</v>
      </c>
      <c r="J9" s="35">
        <v>2.8</v>
      </c>
      <c r="K9" s="52" t="str">
        <f>HYPERLINK("https://www.mcmaster.com/91420a118", "McMasterCarr")</f>
        <v>McMasterCarr</v>
      </c>
      <c r="L9" s="65" t="s">
        <v>77</v>
      </c>
    </row>
    <row r="10">
      <c r="A10" s="89"/>
      <c r="B10" s="27" t="s">
        <v>88</v>
      </c>
      <c r="C10" s="9" t="s">
        <v>89</v>
      </c>
      <c r="D10" s="9" t="s">
        <v>90</v>
      </c>
      <c r="E10" s="1"/>
      <c r="F10" s="31">
        <v>42.0</v>
      </c>
      <c r="G10" s="42">
        <f t="shared" si="4"/>
        <v>0.0555</v>
      </c>
      <c r="H10" s="42">
        <f t="shared" si="5"/>
        <v>2.331</v>
      </c>
      <c r="I10" s="31">
        <v>100.0</v>
      </c>
      <c r="J10" s="91">
        <v>5.55</v>
      </c>
      <c r="K10" s="44" t="str">
        <f>HYPERLINK("https://www.mcmaster.com/91828a211","McMasterCarr")</f>
        <v>McMasterCarr</v>
      </c>
      <c r="L10" s="65" t="s">
        <v>94</v>
      </c>
    </row>
    <row r="11">
      <c r="A11" s="66"/>
      <c r="B11" s="27" t="s">
        <v>95</v>
      </c>
      <c r="C11" s="84" t="s">
        <v>96</v>
      </c>
      <c r="D11" s="9" t="s">
        <v>97</v>
      </c>
      <c r="E11" s="1"/>
      <c r="F11" s="31">
        <v>24.0</v>
      </c>
      <c r="G11" s="42">
        <f t="shared" si="4"/>
        <v>0.0099</v>
      </c>
      <c r="H11" s="42">
        <f t="shared" si="5"/>
        <v>0.2376</v>
      </c>
      <c r="I11" s="31">
        <v>100.0</v>
      </c>
      <c r="J11" s="35">
        <v>0.99</v>
      </c>
      <c r="K11" s="52" t="str">
        <f>HYPERLINK("https://www.mcmaster.com/92153a416","McMasterCarr")</f>
        <v>McMasterCarr</v>
      </c>
      <c r="L11" s="65" t="s">
        <v>77</v>
      </c>
    </row>
    <row r="12">
      <c r="A12" s="66"/>
      <c r="B12" s="27" t="s">
        <v>104</v>
      </c>
      <c r="C12" s="84" t="s">
        <v>105</v>
      </c>
      <c r="D12" s="9" t="s">
        <v>106</v>
      </c>
      <c r="E12" s="1"/>
      <c r="F12" s="31">
        <v>8.0</v>
      </c>
      <c r="G12" s="42">
        <f t="shared" si="4"/>
        <v>0.032</v>
      </c>
      <c r="H12" s="42">
        <f t="shared" si="5"/>
        <v>0.256</v>
      </c>
      <c r="I12" s="31">
        <v>100.0</v>
      </c>
      <c r="J12" s="35">
        <v>3.2</v>
      </c>
      <c r="K12" s="52" t="str">
        <f>HYPERLINK("https://www.mcmaster.com/91420a122","McMasterCarr")</f>
        <v>McMasterCarr</v>
      </c>
      <c r="L12" s="65" t="s">
        <v>77</v>
      </c>
    </row>
    <row r="13">
      <c r="A13" s="66"/>
      <c r="B13" s="27" t="s">
        <v>112</v>
      </c>
      <c r="C13" s="84" t="s">
        <v>114</v>
      </c>
      <c r="D13" s="9" t="s">
        <v>116</v>
      </c>
      <c r="E13" s="1"/>
      <c r="F13" s="31">
        <v>18.0</v>
      </c>
      <c r="G13" s="42">
        <f t="shared" si="4"/>
        <v>0.0963</v>
      </c>
      <c r="H13" s="42">
        <f t="shared" si="5"/>
        <v>1.7334</v>
      </c>
      <c r="I13" s="31">
        <v>100.0</v>
      </c>
      <c r="J13" s="35">
        <v>9.63</v>
      </c>
      <c r="K13" s="52" t="str">
        <f>HYPERLINK("https://www.mcmaster.com/92929a246-93840A126","McMasterCarr")</f>
        <v>McMasterCarr</v>
      </c>
      <c r="L13" s="9" t="s">
        <v>120</v>
      </c>
    </row>
    <row r="14">
      <c r="A14" s="66"/>
      <c r="B14" s="27" t="s">
        <v>121</v>
      </c>
      <c r="C14" s="84" t="s">
        <v>122</v>
      </c>
      <c r="D14" s="9" t="s">
        <v>123</v>
      </c>
      <c r="E14" s="1"/>
      <c r="F14" s="31">
        <v>18.0</v>
      </c>
      <c r="G14" s="42">
        <f t="shared" si="4"/>
        <v>0.036</v>
      </c>
      <c r="H14" s="42">
        <f t="shared" si="5"/>
        <v>0.648</v>
      </c>
      <c r="I14" s="31">
        <v>100.0</v>
      </c>
      <c r="J14" s="35">
        <v>3.6</v>
      </c>
      <c r="K14" s="52" t="str">
        <f>HYPERLINK("https://www.mcmaster.com/95610a530-95610A130","McMasterCarr")</f>
        <v>McMasterCarr</v>
      </c>
      <c r="L14" s="65" t="s">
        <v>120</v>
      </c>
    </row>
    <row r="15">
      <c r="A15" s="53"/>
      <c r="B15" s="54" t="s">
        <v>130</v>
      </c>
      <c r="C15" s="99" t="s">
        <v>131</v>
      </c>
      <c r="D15" s="100" t="s">
        <v>132</v>
      </c>
      <c r="E15" s="56"/>
      <c r="F15" s="102">
        <v>0.0</v>
      </c>
      <c r="G15" s="103">
        <f t="shared" si="4"/>
        <v>0.094</v>
      </c>
      <c r="H15" s="103">
        <f t="shared" si="5"/>
        <v>0</v>
      </c>
      <c r="I15" s="102">
        <v>100.0</v>
      </c>
      <c r="J15" s="105">
        <v>9.4</v>
      </c>
      <c r="K15" s="107" t="str">
        <f>HYPERLINK("https://www.mcmaster.com/92929A252","McMasterCarr")</f>
        <v>McMasterCarr</v>
      </c>
      <c r="L15" s="108" t="s">
        <v>120</v>
      </c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78" t="s">
        <v>147</v>
      </c>
      <c r="B16" s="82" t="s">
        <v>148</v>
      </c>
      <c r="C16" s="29" t="s">
        <v>149</v>
      </c>
      <c r="F16" s="29">
        <v>16.0</v>
      </c>
      <c r="G16" s="29">
        <v>0.194</v>
      </c>
      <c r="H16" s="86">
        <f t="shared" ref="H16:H22" si="6">(I16*J16)</f>
        <v>3.88</v>
      </c>
      <c r="I16" s="29">
        <v>20.0</v>
      </c>
      <c r="J16" s="29">
        <v>0.194</v>
      </c>
      <c r="K16" s="90" t="str">
        <f>HYPERLINK("https://www.digikey.com/product-detail/en/jst-sales-america-inc/B4B-XH-A-LF-SN/455-2249-ND/1651047", "Digikey")</f>
        <v>Digikey</v>
      </c>
      <c r="L16" s="113" t="s">
        <v>154</v>
      </c>
    </row>
    <row r="17">
      <c r="B17" s="82" t="s">
        <v>158</v>
      </c>
      <c r="C17" s="29" t="s">
        <v>159</v>
      </c>
      <c r="F17" s="29">
        <v>16.0</v>
      </c>
      <c r="G17" s="29">
        <v>0.0728</v>
      </c>
      <c r="H17" s="86">
        <f t="shared" si="6"/>
        <v>1.82</v>
      </c>
      <c r="I17" s="29">
        <v>25.0</v>
      </c>
      <c r="J17" s="114">
        <v>0.0728</v>
      </c>
      <c r="K17" s="90" t="str">
        <f>HYPERLINK("https://www.digikey.com/product-detail/en/jst-sales-america-inc/XHP-4/455-2267-ND/683353", "Digikey")</f>
        <v>Digikey</v>
      </c>
      <c r="L17" s="29" t="s">
        <v>154</v>
      </c>
    </row>
    <row r="18">
      <c r="B18" s="82" t="s">
        <v>167</v>
      </c>
      <c r="C18" s="29" t="s">
        <v>168</v>
      </c>
      <c r="F18" s="29">
        <v>4.0</v>
      </c>
      <c r="G18" s="29">
        <v>0.19</v>
      </c>
      <c r="H18" s="86">
        <f t="shared" si="6"/>
        <v>1.14</v>
      </c>
      <c r="I18" s="29">
        <v>6.0</v>
      </c>
      <c r="J18" s="113">
        <v>0.19</v>
      </c>
      <c r="K18" s="90" t="str">
        <f>HYPERLINK("https://www.digikey.com/product-detail/en/jst-sales-america-inc/B3B-XH-A-LF-SN/455-2248-ND/1651046", "Digikey")</f>
        <v>Digikey</v>
      </c>
      <c r="L18" s="113" t="s">
        <v>171</v>
      </c>
    </row>
    <row r="19">
      <c r="B19" s="82" t="s">
        <v>173</v>
      </c>
      <c r="C19" s="29" t="s">
        <v>174</v>
      </c>
      <c r="F19" s="29">
        <v>4.0</v>
      </c>
      <c r="G19" s="29">
        <v>0.1</v>
      </c>
      <c r="H19" s="86">
        <f t="shared" si="6"/>
        <v>0.6</v>
      </c>
      <c r="I19" s="29">
        <v>6.0</v>
      </c>
      <c r="J19" s="29">
        <v>0.1</v>
      </c>
      <c r="K19" s="90" t="str">
        <f>HYPERLINK("https://www.digikey.com/product-detail/en/jst-sales-america-inc/XHP-3/455-2219-ND/1651017", "Digikey")</f>
        <v>Digikey</v>
      </c>
      <c r="L19" s="113" t="s">
        <v>171</v>
      </c>
    </row>
    <row r="20">
      <c r="B20" s="82" t="s">
        <v>179</v>
      </c>
      <c r="C20" s="29" t="s">
        <v>180</v>
      </c>
      <c r="F20" s="29">
        <v>2.0</v>
      </c>
      <c r="G20" s="29">
        <v>0.15</v>
      </c>
      <c r="H20" s="86">
        <f t="shared" si="6"/>
        <v>0.6</v>
      </c>
      <c r="I20" s="29">
        <v>4.0</v>
      </c>
      <c r="J20" s="29">
        <v>0.15</v>
      </c>
      <c r="K20" s="90" t="str">
        <f>HYPERLINK("https://www.digikey.com/product-detail/en/jst-sales-america-inc/B2B-XH-A-LF-SN/455-2247-ND/1651045", "Digikey")</f>
        <v>Digikey</v>
      </c>
      <c r="L20" s="29" t="s">
        <v>183</v>
      </c>
    </row>
    <row r="21">
      <c r="B21" s="82" t="s">
        <v>184</v>
      </c>
      <c r="C21" s="29" t="s">
        <v>185</v>
      </c>
      <c r="F21" s="29">
        <v>2.0</v>
      </c>
      <c r="G21" s="29">
        <v>0.1</v>
      </c>
      <c r="H21" s="86">
        <f t="shared" si="6"/>
        <v>0.4</v>
      </c>
      <c r="I21" s="29">
        <v>4.0</v>
      </c>
      <c r="J21" s="29">
        <v>0.1</v>
      </c>
      <c r="K21" s="90" t="str">
        <f>HYPERLINK("http://www.digikey.com/product-detail/en/jst-sales-america-inc/XHP-2/455-2266-ND/555485", "Digikey")</f>
        <v>Digikey</v>
      </c>
      <c r="L21" s="113" t="s">
        <v>183</v>
      </c>
    </row>
    <row r="22">
      <c r="B22" s="82" t="s">
        <v>189</v>
      </c>
      <c r="C22" s="29" t="s">
        <v>190</v>
      </c>
      <c r="F22" s="29">
        <v>0.0363</v>
      </c>
      <c r="G22" s="29">
        <v>80.0</v>
      </c>
      <c r="H22" s="86">
        <f t="shared" si="6"/>
        <v>5.445</v>
      </c>
      <c r="I22" s="29">
        <v>150.0</v>
      </c>
      <c r="J22" s="29">
        <v>0.0363</v>
      </c>
      <c r="K22" s="90" t="str">
        <f>HYPERLINK("https://www.digikey.com/product-detail/en/SXH-001T-P0.6/455-1135-1-ND/527370/?itemSeq=315029088", "Digikey")</f>
        <v>Digikey</v>
      </c>
      <c r="L22" s="29" t="s">
        <v>194</v>
      </c>
    </row>
    <row r="23">
      <c r="B23" s="127"/>
    </row>
    <row r="24">
      <c r="B24" s="127"/>
    </row>
    <row r="25">
      <c r="B25" s="127"/>
    </row>
    <row r="26">
      <c r="B26" s="127"/>
    </row>
    <row r="27">
      <c r="B27" s="127"/>
    </row>
    <row r="28">
      <c r="B28" s="127"/>
    </row>
    <row r="29">
      <c r="B29" s="127"/>
    </row>
    <row r="30">
      <c r="B30" s="127"/>
    </row>
    <row r="31">
      <c r="B31" s="127"/>
    </row>
    <row r="32">
      <c r="B32" s="127"/>
    </row>
    <row r="33">
      <c r="B33" s="127"/>
    </row>
    <row r="34">
      <c r="B34" s="127"/>
    </row>
    <row r="35">
      <c r="B35" s="127"/>
    </row>
    <row r="36">
      <c r="B36" s="127"/>
    </row>
    <row r="37">
      <c r="B37" s="1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29"/>
    <col customWidth="1" min="8" max="8" width="20.43"/>
    <col customWidth="1" min="9" max="9" width="8.29"/>
    <col customWidth="1" min="10" max="10" width="14.57"/>
  </cols>
  <sheetData>
    <row r="1">
      <c r="A1" s="78" t="s">
        <v>7</v>
      </c>
      <c r="B1" s="78" t="s">
        <v>67</v>
      </c>
      <c r="C1" s="78" t="s">
        <v>68</v>
      </c>
      <c r="D1" s="78" t="s">
        <v>69</v>
      </c>
      <c r="E1" s="78" t="s">
        <v>71</v>
      </c>
      <c r="F1" s="78" t="s">
        <v>72</v>
      </c>
      <c r="G1" s="78" t="s">
        <v>73</v>
      </c>
      <c r="H1" s="78" t="s">
        <v>74</v>
      </c>
      <c r="I1" s="78" t="s">
        <v>75</v>
      </c>
      <c r="J1" s="78" t="s">
        <v>76</v>
      </c>
    </row>
    <row r="2">
      <c r="A2" s="82" t="s">
        <v>78</v>
      </c>
      <c r="B2" s="29" t="s">
        <v>83</v>
      </c>
      <c r="C2" s="29">
        <v>1.0</v>
      </c>
      <c r="D2" s="29">
        <v>68.59</v>
      </c>
      <c r="E2" s="86">
        <f t="shared" ref="E2:E17" si="1">(C2*D2)</f>
        <v>68.59</v>
      </c>
      <c r="F2" s="29">
        <v>33.0</v>
      </c>
      <c r="G2" s="29">
        <v>0.2</v>
      </c>
      <c r="H2" s="29" t="s">
        <v>87</v>
      </c>
      <c r="I2" s="90" t="str">
        <f>HYPERLINK("https://github.com/udellc/Optron/blob/master/STLs/2.1/FretBoard2.1.stl", "STL")</f>
        <v>STL</v>
      </c>
      <c r="J2" s="90" t="str">
        <f>HYPERLINK("https://github.com/udellc/Optron/blob/master/STLs/2.1/FretBoard2.1.gcode", "gcode")</f>
        <v>gcode</v>
      </c>
    </row>
    <row r="3">
      <c r="A3" s="82" t="s">
        <v>91</v>
      </c>
      <c r="B3" s="29" t="s">
        <v>92</v>
      </c>
      <c r="C3" s="29">
        <v>1.0</v>
      </c>
      <c r="D3" s="29">
        <v>67.86</v>
      </c>
      <c r="E3" s="86">
        <f t="shared" si="1"/>
        <v>67.86</v>
      </c>
      <c r="F3" s="29">
        <v>33.0</v>
      </c>
      <c r="G3" s="29">
        <v>0.2</v>
      </c>
      <c r="H3" s="29" t="s">
        <v>93</v>
      </c>
      <c r="I3" s="90" t="str">
        <f>HYPERLINK("https://github.com/udellc/Optron/blob/master/STLs/2.1/FretBoardBottom2.1.stl", "STL")</f>
        <v>STL</v>
      </c>
      <c r="J3" s="90" t="str">
        <f>HYPERLINK("https://github.com/udellc/Optron/blob/master/STLs/2.1/FretBoardBottom2.1.gcode", "gcode")</f>
        <v>gcode</v>
      </c>
    </row>
    <row r="4">
      <c r="A4" s="82" t="s">
        <v>99</v>
      </c>
      <c r="B4" s="29" t="s">
        <v>102</v>
      </c>
      <c r="C4" s="29">
        <v>1.0</v>
      </c>
      <c r="D4" s="29">
        <v>70.65</v>
      </c>
      <c r="E4" s="86">
        <f t="shared" si="1"/>
        <v>70.65</v>
      </c>
      <c r="F4" s="29">
        <v>33.0</v>
      </c>
      <c r="G4" s="29">
        <v>0.2</v>
      </c>
      <c r="H4" s="29" t="s">
        <v>87</v>
      </c>
      <c r="I4" s="90" t="str">
        <f>HYPERLINK("https://github.com/udellc/Optron/blob/master/STLs/2.1/FretBoardTop2.1.stl", "STL")</f>
        <v>STL</v>
      </c>
      <c r="J4" s="90" t="str">
        <f>HYPERLINK("https://github.com/udellc/Optron/blob/master/STLs/2.1/FretBoardTop2.1.gcode", "gcode")</f>
        <v>gcode</v>
      </c>
    </row>
    <row r="5">
      <c r="A5" s="82" t="s">
        <v>113</v>
      </c>
      <c r="B5" s="29" t="s">
        <v>115</v>
      </c>
      <c r="C5" s="29">
        <v>3.0</v>
      </c>
      <c r="D5" s="29">
        <v>71.62</v>
      </c>
      <c r="E5" s="86">
        <f t="shared" si="1"/>
        <v>214.86</v>
      </c>
      <c r="F5" s="29">
        <v>33.0</v>
      </c>
      <c r="G5" s="29">
        <v>0.2</v>
      </c>
      <c r="H5" s="29" t="s">
        <v>87</v>
      </c>
      <c r="I5" s="90" t="str">
        <f>HYPERLINK("https://github.com/udellc/Optron/blob/master/STLs/2.1/SlidingWireManager2.1.stl", "STL")</f>
        <v>STL</v>
      </c>
      <c r="J5" s="90" t="str">
        <f>HYPERLINK("https://github.com/udellc/Optron/blob/master/STLs/2.1/SlidingWireManger2.1.gcode", "gcode")</f>
        <v>gcode</v>
      </c>
    </row>
    <row r="6">
      <c r="A6" s="95" t="s">
        <v>124</v>
      </c>
      <c r="B6" s="96" t="s">
        <v>125</v>
      </c>
      <c r="C6" s="96">
        <v>3.0</v>
      </c>
      <c r="D6" s="96">
        <v>53.54</v>
      </c>
      <c r="E6" s="86">
        <f t="shared" si="1"/>
        <v>160.62</v>
      </c>
      <c r="F6" s="96">
        <v>33.0</v>
      </c>
      <c r="G6" s="96">
        <v>0.2</v>
      </c>
      <c r="H6" s="96" t="s">
        <v>87</v>
      </c>
      <c r="I6" s="90" t="str">
        <f>HYPERLINK("https://github.com/udellc/Optron/blob/master/STLs/2.1/SlidingWireManagerSimple2.1.stl", "STL")</f>
        <v>STL</v>
      </c>
      <c r="J6" s="90" t="str">
        <f>HYPERLINK("https://github.com/udellc/Optron/blob/master/STLs/2.1/SlidingWireMangerSimple2.1.gcode", "gcode")
</f>
        <v>gcode</v>
      </c>
    </row>
    <row r="7">
      <c r="A7" s="95" t="s">
        <v>135</v>
      </c>
      <c r="B7" s="96" t="s">
        <v>136</v>
      </c>
      <c r="C7" s="96">
        <v>1.0</v>
      </c>
      <c r="D7" s="96">
        <v>72.5</v>
      </c>
      <c r="E7" s="86">
        <f t="shared" si="1"/>
        <v>72.5</v>
      </c>
      <c r="F7" s="96">
        <v>33.0</v>
      </c>
      <c r="G7" s="96">
        <v>0.2</v>
      </c>
      <c r="H7" s="96" t="s">
        <v>93</v>
      </c>
      <c r="I7" s="90" t="str">
        <f>HYPERLINK( "https://github.com/udellc/Optron/blob/master/STLs/2.1/PCBMountBottom2.1.2.stl", "STL" )</f>
        <v>STL</v>
      </c>
    </row>
    <row r="8">
      <c r="A8" s="95" t="s">
        <v>139</v>
      </c>
      <c r="B8" s="96" t="s">
        <v>140</v>
      </c>
      <c r="C8" s="96">
        <v>1.0</v>
      </c>
      <c r="D8" s="104">
        <v>43.13</v>
      </c>
      <c r="E8" s="86">
        <f t="shared" si="1"/>
        <v>43.13</v>
      </c>
      <c r="F8" s="96">
        <v>33.0</v>
      </c>
      <c r="G8" s="96">
        <v>0.2</v>
      </c>
      <c r="H8" s="96" t="s">
        <v>93</v>
      </c>
      <c r="I8" s="90" t="str">
        <f>HYPERLINK( "https://github.com/udellc/Optron/blob/master/STLs/2.1/PCBMountTop2.1.2.stl", "STL" )</f>
        <v>STL</v>
      </c>
    </row>
    <row r="9">
      <c r="A9" s="95" t="s">
        <v>141</v>
      </c>
      <c r="B9" s="96" t="s">
        <v>142</v>
      </c>
      <c r="C9" s="96">
        <v>4.0</v>
      </c>
      <c r="D9" s="96">
        <v>47.52</v>
      </c>
      <c r="E9" s="86">
        <f t="shared" si="1"/>
        <v>190.08</v>
      </c>
      <c r="F9" s="96">
        <v>33.0</v>
      </c>
      <c r="G9" s="96">
        <v>0.2</v>
      </c>
      <c r="H9" s="96" t="s">
        <v>93</v>
      </c>
      <c r="I9" s="90" t="str">
        <f>HYPERLINK("https://github.com/udellc/Optron/blob/master/STLs/2.1/ZXGestureSensorMount2.1.stl", "STL")</f>
        <v>STL</v>
      </c>
      <c r="J9" s="90" t="str">
        <f>HYPERLINK("https://github.com/udellc/Optron/blob/master/STLs/2.1/ZXGestureSensorMount2.1.gcode", "gcode")</f>
        <v>gcode</v>
      </c>
    </row>
    <row r="10">
      <c r="A10" s="95" t="s">
        <v>143</v>
      </c>
      <c r="B10" s="96" t="s">
        <v>144</v>
      </c>
      <c r="C10" s="96">
        <v>4.0</v>
      </c>
      <c r="D10" s="96">
        <v>35.24</v>
      </c>
      <c r="E10" s="86">
        <f t="shared" si="1"/>
        <v>140.96</v>
      </c>
      <c r="F10" s="96">
        <v>33.0</v>
      </c>
      <c r="G10" s="96">
        <v>0.2</v>
      </c>
      <c r="H10" s="96" t="s">
        <v>93</v>
      </c>
      <c r="I10" s="90" t="str">
        <f>HYPERLINK("https://github.com/udellc/Optron/blob/master/STLs/2.1/ZXGestureSensorMountSimple2.1.stl", "STL")</f>
        <v>STL</v>
      </c>
      <c r="J10" s="90" t="str">
        <f>HYPERLINK("https://github.com/udellc/Optron/blob/master/STLs/2.1/ZXGestureSensorMountSimple2.1.gcode", "gcode")</f>
        <v>gcode</v>
      </c>
    </row>
    <row r="11">
      <c r="A11" s="95" t="s">
        <v>150</v>
      </c>
      <c r="B11" s="96" t="s">
        <v>151</v>
      </c>
      <c r="C11" s="96">
        <v>1.0</v>
      </c>
      <c r="D11" s="96">
        <v>79.0</v>
      </c>
      <c r="E11" s="86">
        <f t="shared" si="1"/>
        <v>79</v>
      </c>
      <c r="F11" s="96">
        <v>33.0</v>
      </c>
      <c r="G11" s="96">
        <v>0.2</v>
      </c>
      <c r="H11" s="96" t="s">
        <v>93</v>
      </c>
      <c r="I11" s="90" t="str">
        <f>HYPERLINK("https://github.com/udellc/Optron/blob/master/STLs/2.1/SlidingWireManagerStrapmountMPU6050Mount2.1.stl", "STL")</f>
        <v>STL</v>
      </c>
    </row>
    <row r="12">
      <c r="A12" s="95" t="s">
        <v>152</v>
      </c>
      <c r="B12" s="29" t="s">
        <v>153</v>
      </c>
      <c r="C12" s="29">
        <v>1.0</v>
      </c>
      <c r="D12" s="96">
        <v>30.63</v>
      </c>
      <c r="E12" s="86">
        <f t="shared" si="1"/>
        <v>30.63</v>
      </c>
      <c r="F12" s="29">
        <v>33.0</v>
      </c>
      <c r="G12" s="29">
        <v>0.2</v>
      </c>
      <c r="H12" s="29" t="s">
        <v>93</v>
      </c>
      <c r="I12" s="93" t="str">
        <f>HYPERLINK("https://github.com/udellc/Optron/blob/master/STLs/2.1/EPickWireManager2.1.stl", "STL")</f>
        <v>STL</v>
      </c>
    </row>
    <row r="13">
      <c r="A13" s="95" t="s">
        <v>160</v>
      </c>
      <c r="B13" s="96" t="s">
        <v>161</v>
      </c>
      <c r="C13" s="29">
        <v>1.0</v>
      </c>
      <c r="D13" s="96">
        <v>39.38</v>
      </c>
      <c r="E13" s="86">
        <f t="shared" si="1"/>
        <v>39.38</v>
      </c>
      <c r="F13" s="29">
        <v>33.0</v>
      </c>
      <c r="G13" s="29">
        <v>0.2</v>
      </c>
      <c r="H13" s="29" t="s">
        <v>93</v>
      </c>
      <c r="I13" s="93" t="str">
        <f>HYPERLINK("https://github.com/udellc/Optron/blob/master/STLs/2.1/FretBoardWireManager2.1.2.stl", "STL")</f>
        <v>STL</v>
      </c>
    </row>
    <row r="14">
      <c r="A14" s="95" t="s">
        <v>164</v>
      </c>
      <c r="B14" s="96" t="s">
        <v>165</v>
      </c>
      <c r="C14" s="96">
        <v>0.0</v>
      </c>
      <c r="D14" s="96">
        <v>62.48</v>
      </c>
      <c r="E14" s="86">
        <f t="shared" si="1"/>
        <v>0</v>
      </c>
      <c r="F14" s="96">
        <v>33.0</v>
      </c>
      <c r="G14" s="96">
        <v>0.2</v>
      </c>
      <c r="H14" s="96" t="s">
        <v>87</v>
      </c>
      <c r="I14" s="90" t="str">
        <f>HYPERLINK("https://github.com/udellc/Optron/blob/master/STLs/2.1/SlidingWireManagerSimpleStrapmount2.1.stl", "STL")</f>
        <v>STL</v>
      </c>
      <c r="J14" s="90" t="str">
        <f>HYPERLINK("https://github.com/udellc/Optron/blob/master/STLs/2.1/SlidingWireManagerSimpleStrapmount2.1.gcode", "gcode")</f>
        <v>gcode</v>
      </c>
    </row>
    <row r="15">
      <c r="A15" s="95" t="s">
        <v>169</v>
      </c>
      <c r="B15" s="96" t="s">
        <v>170</v>
      </c>
      <c r="C15" s="96">
        <v>0.0</v>
      </c>
      <c r="D15" s="96">
        <v>80.38</v>
      </c>
      <c r="E15" s="86">
        <f t="shared" si="1"/>
        <v>0</v>
      </c>
      <c r="F15" s="96">
        <v>33.0</v>
      </c>
      <c r="G15" s="96">
        <v>0.2</v>
      </c>
      <c r="H15" s="96" t="s">
        <v>87</v>
      </c>
      <c r="I15" s="90" t="str">
        <f>HYPERLINK("https://github.com/udellc/Optron/blob/master/STLs/2.1/SlidingWireManagerStrapmount2.1.stl", "STL")</f>
        <v>STL</v>
      </c>
      <c r="J15" s="90" t="str">
        <f>HYPERLINK("https://github.com/udellc/Optron/blob/master/STLs/2.1/SlidingWireManagerStrapmount2.1.gcode", "gcode")</f>
        <v>gcode</v>
      </c>
    </row>
    <row r="16">
      <c r="A16" s="82" t="s">
        <v>177</v>
      </c>
      <c r="B16" s="29" t="s">
        <v>178</v>
      </c>
      <c r="C16" s="29">
        <v>0.0</v>
      </c>
      <c r="D16" s="29">
        <v>23.21</v>
      </c>
      <c r="E16" s="86">
        <f t="shared" si="1"/>
        <v>0</v>
      </c>
      <c r="F16" s="29">
        <v>33.0</v>
      </c>
      <c r="G16" s="29">
        <v>0.2</v>
      </c>
      <c r="H16" s="29" t="s">
        <v>93</v>
      </c>
      <c r="I16" s="90" t="str">
        <f>HYPERLINK("https://github.com/udellc/Optron/blob/master/STLs/2.1/PCBMount2.1.stl", "STL")</f>
        <v>STL</v>
      </c>
      <c r="J16" s="90" t="str">
        <f>HYPERLINK("https://github.com/udellc/Optron/blob/master/STLs/2.1/PCBMount2.1.gcode", "gcode")</f>
        <v>gcode</v>
      </c>
    </row>
    <row r="17">
      <c r="A17" s="82" t="s">
        <v>186</v>
      </c>
      <c r="B17" s="96" t="s">
        <v>187</v>
      </c>
      <c r="C17" s="29">
        <v>0.0</v>
      </c>
      <c r="D17" s="29">
        <v>4.25</v>
      </c>
      <c r="E17" s="86">
        <f t="shared" si="1"/>
        <v>0</v>
      </c>
      <c r="F17" s="29">
        <v>33.0</v>
      </c>
      <c r="G17" s="29">
        <v>0.2</v>
      </c>
      <c r="H17" s="29" t="s">
        <v>93</v>
      </c>
      <c r="I17" s="90" t="str">
        <f>HYPERLINK("https://github.com/udellc/Optron/blob/master/STLs/2.1/FretBoardWireManager2.1.stl", "STL")</f>
        <v>STL</v>
      </c>
      <c r="J17" s="90" t="str">
        <f>HYPERLINK("https://github.com/udellc/Optron/blob/master/STLs/2.1/FretBoardWireManager2.1.gcode", "gcode")</f>
        <v>gcode</v>
      </c>
    </row>
    <row r="19">
      <c r="B19" s="123" t="s">
        <v>193</v>
      </c>
    </row>
    <row r="20">
      <c r="B20" s="125">
        <v>0.16</v>
      </c>
    </row>
    <row r="21">
      <c r="B21" s="78" t="s">
        <v>195</v>
      </c>
    </row>
    <row r="22">
      <c r="B22" s="128">
        <f>(B20*SUM(E2:E10))</f>
        <v>164.68</v>
      </c>
    </row>
  </sheetData>
  <drawing r:id="rId1"/>
</worksheet>
</file>