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casiraghi\Documents\dyna-1\Design\"/>
    </mc:Choice>
  </mc:AlternateContent>
  <bookViews>
    <workbookView xWindow="-23145" yWindow="-105" windowWidth="23250" windowHeight="12720" activeTab="4"/>
  </bookViews>
  <sheets>
    <sheet name="Totales" sheetId="2" r:id="rId1"/>
    <sheet name="Modulo Link 1" sheetId="1" r:id="rId2"/>
    <sheet name="Modulo Link 2" sheetId="3" r:id="rId3"/>
    <sheet name="Link 3" sheetId="4" r:id="rId4"/>
    <sheet name="Cuerpo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43" i="5" l="1"/>
  <c r="H14" i="5"/>
  <c r="H25" i="1"/>
  <c r="H12" i="5"/>
  <c r="H9" i="1"/>
  <c r="K9" i="1" s="1"/>
  <c r="H8" i="5"/>
  <c r="H6" i="1"/>
  <c r="H6" i="5"/>
  <c r="H4" i="5"/>
  <c r="K4" i="5" s="1"/>
  <c r="H3" i="5"/>
  <c r="K3" i="5"/>
  <c r="H10" i="3"/>
  <c r="H10" i="1"/>
  <c r="H6" i="3"/>
  <c r="K6" i="3" s="1"/>
  <c r="H5" i="3"/>
  <c r="H4" i="3"/>
  <c r="H3" i="3"/>
  <c r="H3" i="1"/>
  <c r="H28" i="1"/>
  <c r="H31" i="1"/>
  <c r="H26" i="1"/>
  <c r="H54" i="5"/>
  <c r="K54" i="5" s="1"/>
  <c r="H53" i="5"/>
  <c r="H52" i="5"/>
  <c r="K52" i="5" s="1"/>
  <c r="H50" i="5"/>
  <c r="H48" i="5"/>
  <c r="H47" i="5"/>
  <c r="H46" i="5"/>
  <c r="H45" i="5"/>
  <c r="H44" i="5"/>
  <c r="K44" i="5" s="1"/>
  <c r="H42" i="5"/>
  <c r="H41" i="5"/>
  <c r="H40" i="5"/>
  <c r="H39" i="5"/>
  <c r="H38" i="5"/>
  <c r="H33" i="5"/>
  <c r="H30" i="5"/>
  <c r="H29" i="5"/>
  <c r="H28" i="5"/>
  <c r="H27" i="5"/>
  <c r="K27" i="5" s="1"/>
  <c r="H26" i="5"/>
  <c r="H25" i="5"/>
  <c r="H22" i="5"/>
  <c r="K22" i="5" s="1"/>
  <c r="H21" i="5"/>
  <c r="H19" i="5"/>
  <c r="H13" i="5"/>
  <c r="H11" i="5"/>
  <c r="K11" i="5" s="1"/>
  <c r="H9" i="5"/>
  <c r="K7" i="5"/>
  <c r="K31" i="5"/>
  <c r="K9" i="5"/>
  <c r="H4" i="4"/>
  <c r="K4" i="4" s="1"/>
  <c r="H26" i="3"/>
  <c r="K26" i="3" s="1"/>
  <c r="H23" i="3"/>
  <c r="H19" i="3"/>
  <c r="K19" i="3" s="1"/>
  <c r="H17" i="3"/>
  <c r="K17" i="3" s="1"/>
  <c r="H14" i="3"/>
  <c r="K14" i="3" s="1"/>
  <c r="H9" i="3"/>
  <c r="K9" i="3" s="1"/>
  <c r="H7" i="3"/>
  <c r="K7" i="3" s="1"/>
  <c r="K10" i="3"/>
  <c r="K12" i="3"/>
  <c r="K15" i="3"/>
  <c r="K16" i="3"/>
  <c r="K20" i="3"/>
  <c r="K23" i="3"/>
  <c r="K27" i="3"/>
  <c r="K28" i="3"/>
  <c r="K29" i="3"/>
  <c r="K30" i="3"/>
  <c r="K31" i="3"/>
  <c r="K33" i="3"/>
  <c r="H7" i="1"/>
  <c r="K5" i="4"/>
  <c r="K3" i="4"/>
  <c r="K2" i="5"/>
  <c r="K5" i="5"/>
  <c r="K6" i="5"/>
  <c r="K8" i="5"/>
  <c r="K10" i="5"/>
  <c r="K12" i="5"/>
  <c r="K13" i="5"/>
  <c r="K14" i="5"/>
  <c r="K15" i="5"/>
  <c r="K16" i="5"/>
  <c r="K17" i="5"/>
  <c r="K18" i="5"/>
  <c r="K19" i="5"/>
  <c r="K20" i="5"/>
  <c r="K21" i="5"/>
  <c r="K23" i="5"/>
  <c r="K24" i="5"/>
  <c r="K25" i="5"/>
  <c r="K26" i="5"/>
  <c r="K28" i="5"/>
  <c r="K29" i="5"/>
  <c r="K30" i="5"/>
  <c r="K32" i="5"/>
  <c r="K33" i="5"/>
  <c r="K34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3" i="5"/>
  <c r="K55" i="5"/>
  <c r="K56" i="5"/>
  <c r="K57" i="5"/>
  <c r="K2" i="4"/>
  <c r="K2" i="3"/>
  <c r="K3" i="3"/>
  <c r="K4" i="3"/>
  <c r="K5" i="3"/>
  <c r="K8" i="3"/>
  <c r="K11" i="3"/>
  <c r="K13" i="3"/>
  <c r="K18" i="3"/>
  <c r="K21" i="3"/>
  <c r="K22" i="3"/>
  <c r="K24" i="3"/>
  <c r="K25" i="3"/>
  <c r="K32" i="3"/>
  <c r="K2" i="1"/>
  <c r="H22" i="1"/>
  <c r="H19" i="1"/>
  <c r="H17" i="1"/>
  <c r="H14" i="1"/>
  <c r="K7" i="1"/>
  <c r="H5" i="1"/>
  <c r="H4" i="1"/>
  <c r="K4" i="1"/>
  <c r="K12" i="1"/>
  <c r="K13" i="1"/>
  <c r="K14" i="1"/>
  <c r="K15" i="1"/>
  <c r="K16" i="1"/>
  <c r="K17" i="1"/>
  <c r="K28" i="1"/>
  <c r="K29" i="1"/>
  <c r="K30" i="1"/>
  <c r="K31" i="1"/>
  <c r="K32" i="1"/>
  <c r="K33" i="1"/>
  <c r="K3" i="1"/>
  <c r="K5" i="1"/>
  <c r="K6" i="1"/>
  <c r="K8" i="1"/>
  <c r="K10" i="1"/>
  <c r="K11" i="1"/>
  <c r="K18" i="1"/>
  <c r="K19" i="1"/>
  <c r="K20" i="1"/>
  <c r="K21" i="1"/>
  <c r="K22" i="1"/>
  <c r="K23" i="1"/>
  <c r="K24" i="1"/>
  <c r="K25" i="1"/>
  <c r="K26" i="1"/>
  <c r="K27" i="1"/>
  <c r="K34" i="1"/>
  <c r="K35" i="1"/>
  <c r="K36" i="1"/>
  <c r="K37" i="1"/>
  <c r="K38" i="1"/>
  <c r="K39" i="1"/>
  <c r="J20" i="5"/>
  <c r="J15" i="5"/>
  <c r="J24" i="5"/>
  <c r="I50" i="5"/>
  <c r="L50" i="5"/>
  <c r="L51" i="5"/>
  <c r="L52" i="5"/>
  <c r="L55" i="5"/>
  <c r="L53" i="5"/>
  <c r="L54" i="5"/>
  <c r="J16" i="5" l="1"/>
  <c r="L45" i="5"/>
  <c r="L46" i="5"/>
  <c r="L47" i="5"/>
  <c r="L48" i="5"/>
  <c r="I43" i="5"/>
  <c r="L43" i="5" s="1"/>
  <c r="I42" i="5"/>
  <c r="I41" i="5"/>
  <c r="I40" i="5"/>
  <c r="J34" i="5"/>
  <c r="J36" i="5"/>
  <c r="I39" i="5"/>
  <c r="L44" i="5"/>
  <c r="L49" i="5"/>
  <c r="I38" i="5"/>
  <c r="J37" i="5"/>
  <c r="I36" i="5"/>
  <c r="I35" i="5"/>
  <c r="I34" i="5"/>
  <c r="I26" i="5" l="1"/>
  <c r="J26" i="5"/>
  <c r="I24" i="5"/>
  <c r="J23" i="5"/>
  <c r="I23" i="5"/>
  <c r="J18" i="5"/>
  <c r="I22" i="5"/>
  <c r="L22" i="5" s="1"/>
  <c r="I21" i="5"/>
  <c r="L21" i="5" s="1"/>
  <c r="I20" i="5"/>
  <c r="L20" i="5" s="1"/>
  <c r="J17" i="5"/>
  <c r="I19" i="5"/>
  <c r="L19" i="5" s="1"/>
  <c r="I18" i="5"/>
  <c r="I17" i="5"/>
  <c r="I16" i="5"/>
  <c r="L16" i="5" s="1"/>
  <c r="I15" i="5"/>
  <c r="L15" i="5" s="1"/>
  <c r="I14" i="5"/>
  <c r="L14" i="5" s="1"/>
  <c r="I11" i="5"/>
  <c r="F10" i="5"/>
  <c r="I9" i="5"/>
  <c r="L9" i="5" s="1"/>
  <c r="I8" i="5"/>
  <c r="L8" i="5" s="1"/>
  <c r="I6" i="5"/>
  <c r="L6" i="5" s="1"/>
  <c r="I5" i="5"/>
  <c r="L5" i="5" s="1"/>
  <c r="I4" i="5"/>
  <c r="L4" i="5" s="1"/>
  <c r="I3" i="5"/>
  <c r="L3" i="5" s="1"/>
  <c r="I2" i="5"/>
  <c r="L2" i="5" s="1"/>
  <c r="L7" i="5"/>
  <c r="I4" i="4"/>
  <c r="I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3"/>
  <c r="I23" i="3"/>
  <c r="I21" i="3"/>
  <c r="I20" i="3"/>
  <c r="I18" i="3"/>
  <c r="I17" i="3"/>
  <c r="I33" i="1"/>
  <c r="L33" i="1" s="1"/>
  <c r="I32" i="1"/>
  <c r="L32" i="1"/>
  <c r="L34" i="1"/>
  <c r="L35" i="1"/>
  <c r="L36" i="1"/>
  <c r="L37" i="1"/>
  <c r="L38" i="1"/>
  <c r="L39" i="1"/>
  <c r="I31" i="1"/>
  <c r="I27" i="1"/>
  <c r="I22" i="1"/>
  <c r="I20" i="1"/>
  <c r="I18" i="1"/>
  <c r="I17" i="1"/>
  <c r="L18" i="5" l="1"/>
  <c r="L17" i="5"/>
  <c r="L42" i="5"/>
  <c r="L56" i="5"/>
  <c r="F7" i="5"/>
  <c r="L28" i="5"/>
  <c r="L27" i="5"/>
  <c r="L25" i="5"/>
  <c r="L24" i="5"/>
  <c r="I24" i="3"/>
  <c r="I25" i="3"/>
  <c r="I22" i="3"/>
  <c r="I16" i="3"/>
  <c r="I15" i="3"/>
  <c r="I13" i="3"/>
  <c r="I12" i="3"/>
  <c r="I11" i="3"/>
  <c r="I9" i="3"/>
  <c r="F8" i="3"/>
  <c r="I7" i="3"/>
  <c r="I6" i="3"/>
  <c r="I5" i="3"/>
  <c r="I4" i="3"/>
  <c r="I3" i="3"/>
  <c r="I2" i="3"/>
  <c r="I30" i="1"/>
  <c r="L30" i="1" s="1"/>
  <c r="I29" i="1"/>
  <c r="L29" i="1" s="1"/>
  <c r="L31" i="1"/>
  <c r="I28" i="1"/>
  <c r="L28" i="1" s="1"/>
  <c r="L27" i="1"/>
  <c r="I26" i="1"/>
  <c r="L26" i="1" s="1"/>
  <c r="I23" i="1"/>
  <c r="L23" i="1" s="1"/>
  <c r="L22" i="1"/>
  <c r="L18" i="1"/>
  <c r="L17" i="1"/>
  <c r="I25" i="1"/>
  <c r="L25" i="1" s="1"/>
  <c r="I9" i="1"/>
  <c r="L9" i="1" s="1"/>
  <c r="I21" i="1"/>
  <c r="L31" i="5"/>
  <c r="L29" i="5"/>
  <c r="L30" i="5"/>
  <c r="L33" i="5"/>
  <c r="L37" i="5"/>
  <c r="L38" i="5"/>
  <c r="L39" i="5"/>
  <c r="L40" i="5"/>
  <c r="L10" i="5"/>
  <c r="L57" i="5"/>
  <c r="L41" i="5"/>
  <c r="L4" i="4"/>
  <c r="L3" i="4"/>
  <c r="I24" i="1"/>
  <c r="L24" i="1" s="1"/>
  <c r="L20" i="1"/>
  <c r="L19" i="1"/>
  <c r="I16" i="1"/>
  <c r="L16" i="1" s="1"/>
  <c r="I15" i="1"/>
  <c r="L15" i="1" s="1"/>
  <c r="I13" i="1"/>
  <c r="I12" i="1"/>
  <c r="L14" i="1"/>
  <c r="I11" i="1"/>
  <c r="I7" i="1"/>
  <c r="L7" i="1" s="1"/>
  <c r="I6" i="1"/>
  <c r="L6" i="1" s="1"/>
  <c r="I5" i="1"/>
  <c r="L5" i="1" s="1"/>
  <c r="I4" i="1"/>
  <c r="L4" i="1" s="1"/>
  <c r="I3" i="1"/>
  <c r="L3" i="1" s="1"/>
  <c r="I2" i="1"/>
  <c r="L2" i="1" s="1"/>
  <c r="L8" i="1"/>
  <c r="L10" i="1"/>
  <c r="L36" i="5" l="1"/>
  <c r="L35" i="5"/>
  <c r="L13" i="5"/>
  <c r="L11" i="5"/>
  <c r="L12" i="5"/>
  <c r="L32" i="5"/>
  <c r="L26" i="5"/>
  <c r="L23" i="5"/>
  <c r="L34" i="5"/>
  <c r="L21" i="1"/>
  <c r="K40" i="1"/>
  <c r="D2" i="2" s="1"/>
  <c r="L2" i="4"/>
  <c r="L7" i="4" s="1"/>
  <c r="C4" i="2" s="1"/>
  <c r="E4" i="2" s="1"/>
  <c r="K7" i="4"/>
  <c r="D4" i="2" s="1"/>
  <c r="L12" i="1"/>
  <c r="L13" i="1"/>
  <c r="L11" i="1"/>
  <c r="K58" i="5" l="1"/>
  <c r="D5" i="2" s="1"/>
  <c r="L34" i="3"/>
  <c r="C3" i="2" s="1"/>
  <c r="E3" i="2" s="1"/>
  <c r="K34" i="3"/>
  <c r="D3" i="2" s="1"/>
  <c r="L58" i="5"/>
  <c r="C5" i="2" s="1"/>
  <c r="E5" i="2" s="1"/>
  <c r="L40" i="1"/>
  <c r="C2" i="2" s="1"/>
  <c r="E2" i="2" s="1"/>
  <c r="D6" i="2" l="1"/>
  <c r="E6" i="2"/>
</calcChain>
</file>

<file path=xl/sharedStrings.xml><?xml version="1.0" encoding="utf-8"?>
<sst xmlns="http://schemas.openxmlformats.org/spreadsheetml/2006/main" count="423" uniqueCount="114">
  <si>
    <t>Número</t>
  </si>
  <si>
    <t>Nombre</t>
  </si>
  <si>
    <t>Productor</t>
  </si>
  <si>
    <t>Código Productor</t>
  </si>
  <si>
    <t>Link</t>
  </si>
  <si>
    <t>Peso</t>
  </si>
  <si>
    <t>Cantidad</t>
  </si>
  <si>
    <t>Total Peso [kg]</t>
  </si>
  <si>
    <t>Peso [kg]</t>
  </si>
  <si>
    <t>Motor</t>
  </si>
  <si>
    <t>GARTT</t>
  </si>
  <si>
    <t>ML 5010 300KV</t>
  </si>
  <si>
    <t>Precio US$</t>
  </si>
  <si>
    <t>Total Precio US$</t>
  </si>
  <si>
    <t>Eje motor</t>
  </si>
  <si>
    <t>UdeSA</t>
  </si>
  <si>
    <t>-</t>
  </si>
  <si>
    <t>Placa Superior</t>
  </si>
  <si>
    <t>Mundo Acrilico</t>
  </si>
  <si>
    <t>Comentario</t>
  </si>
  <si>
    <t>6mm de diámetro</t>
  </si>
  <si>
    <t>3mm de espesor</t>
  </si>
  <si>
    <t>Placa Inferior</t>
  </si>
  <si>
    <t>I3D</t>
  </si>
  <si>
    <t>Se asume densidad del 50% para PLA</t>
  </si>
  <si>
    <t>Correa</t>
  </si>
  <si>
    <t>Gates</t>
  </si>
  <si>
    <t>3MR-255</t>
  </si>
  <si>
    <t>A definir en base a disponibilidad. Peso estimado</t>
  </si>
  <si>
    <t>AS5047P</t>
  </si>
  <si>
    <t>Encoder</t>
  </si>
  <si>
    <t>AMS</t>
  </si>
  <si>
    <t>Rodamiento</t>
  </si>
  <si>
    <t>SKF</t>
  </si>
  <si>
    <t>W 626-2Z</t>
  </si>
  <si>
    <t>Alojamiento Rodamiento 1</t>
  </si>
  <si>
    <t>Arandela M3</t>
  </si>
  <si>
    <t>Tuerca M3</t>
  </si>
  <si>
    <t>Tubolon S.A.</t>
  </si>
  <si>
    <t>604 000</t>
  </si>
  <si>
    <t>Fercor</t>
  </si>
  <si>
    <t>OBAA00310 FOS</t>
  </si>
  <si>
    <t>Alojamiento Rodamiento 2</t>
  </si>
  <si>
    <t>Tuerca M2.5</t>
  </si>
  <si>
    <t>Revisar</t>
  </si>
  <si>
    <t>Eje Central</t>
  </si>
  <si>
    <t>Engranaje Inicial</t>
  </si>
  <si>
    <t>Tapas plásticas</t>
  </si>
  <si>
    <t>Tornillo Allen Boton M3x10</t>
  </si>
  <si>
    <t>Toma Trasera</t>
  </si>
  <si>
    <t>Tuerca M4</t>
  </si>
  <si>
    <t>Acomple Hombro</t>
  </si>
  <si>
    <t>Rodilla</t>
  </si>
  <si>
    <t>Pie</t>
  </si>
  <si>
    <t>Peso Total</t>
  </si>
  <si>
    <t>Sub-Conjunto</t>
  </si>
  <si>
    <t>Link 1</t>
  </si>
  <si>
    <t>Link 2</t>
  </si>
  <si>
    <t>Link 3</t>
  </si>
  <si>
    <t>Cuerpo</t>
  </si>
  <si>
    <t>Placa v1</t>
  </si>
  <si>
    <t>Placa v2</t>
  </si>
  <si>
    <t>Barra</t>
  </si>
  <si>
    <t>Acople Rodamiento 2</t>
  </si>
  <si>
    <t>Se asume densidad del 50% de PLA</t>
  </si>
  <si>
    <t>Tornillo Allen Boton M3x16</t>
  </si>
  <si>
    <t>Tornillo Allen Boton M4x16</t>
  </si>
  <si>
    <t>Barra de Aluminio 1</t>
  </si>
  <si>
    <t>Barra de Aluminio 2</t>
  </si>
  <si>
    <t>Tornillo Allen Boton M3x12</t>
  </si>
  <si>
    <t>Eje Hombro</t>
  </si>
  <si>
    <t>Prisionero M3x6</t>
  </si>
  <si>
    <t>Tornillo Allen Boton M4x20</t>
  </si>
  <si>
    <t>Acople Rodamiento 1</t>
  </si>
  <si>
    <t>Drivers</t>
  </si>
  <si>
    <t>Odrive</t>
  </si>
  <si>
    <t>ODRIVE V3.6</t>
  </si>
  <si>
    <t>IMU</t>
  </si>
  <si>
    <t>Tornillo Allen M2.5x12</t>
  </si>
  <si>
    <t>Tornillo Allen Boton M2.5x5</t>
  </si>
  <si>
    <t>Tornillo Allen Boton M4x50</t>
  </si>
  <si>
    <t>Arandela M4</t>
  </si>
  <si>
    <t>Tornillo Allen M3x50</t>
  </si>
  <si>
    <t>Cubre Encoder</t>
  </si>
  <si>
    <t>Tornillo Allen M4x50</t>
  </si>
  <si>
    <t>Barra carbono</t>
  </si>
  <si>
    <t>Fijador 7</t>
  </si>
  <si>
    <t>Fijador Odrive</t>
  </si>
  <si>
    <t>Fijador 1</t>
  </si>
  <si>
    <t>Handle 1</t>
  </si>
  <si>
    <t>Handle 2</t>
  </si>
  <si>
    <t>Holder soga</t>
  </si>
  <si>
    <t>Engranaje Central</t>
  </si>
  <si>
    <t>Engranaje Final</t>
  </si>
  <si>
    <t>Antena Holder</t>
  </si>
  <si>
    <t>Fijador 4</t>
  </si>
  <si>
    <t>Fijador 3</t>
  </si>
  <si>
    <t>Fijador 2</t>
  </si>
  <si>
    <t>Fijador 4 vg</t>
  </si>
  <si>
    <t>Jetson TX2 + Quasar</t>
  </si>
  <si>
    <t>Jetson cage 1</t>
  </si>
  <si>
    <t>Jetson cage 2</t>
  </si>
  <si>
    <t>Jetson holder 1</t>
  </si>
  <si>
    <t>Jetson holder 2</t>
  </si>
  <si>
    <t>Baterry Holder</t>
  </si>
  <si>
    <t>Tornillo Allen M3x20</t>
  </si>
  <si>
    <t>IMU holder</t>
  </si>
  <si>
    <t>Cable Holders</t>
  </si>
  <si>
    <t>Sostenedor de Boton de emergencia</t>
  </si>
  <si>
    <t>Boton de Emergencia</t>
  </si>
  <si>
    <t>Precio</t>
  </si>
  <si>
    <t>Precio Dólar</t>
  </si>
  <si>
    <t>Precio AR$</t>
  </si>
  <si>
    <t>(al momento de armar la tabla)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</si>
</sst>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0.000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2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124">
    <dxf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rgb="FFCCCCCC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7" formatCode="0.000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rgb="FFCCCCCC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7" formatCode="0.000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rgb="FFCCCCCC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7" formatCode="0.000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rgb="FFCCCCCC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167" formatCode="0.000"/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6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a5" displayName="Tabla5" ref="A1:E6" totalsRowCount="1" headerRowDxfId="123" dataDxfId="122">
  <autoFilter ref="A1:E5"/>
  <tableColumns count="5">
    <tableColumn id="1" name="Sub-Conjunto" dataDxfId="121" totalsRowDxfId="120"/>
    <tableColumn id="3" name="Cantidad" dataDxfId="119" totalsRowDxfId="118"/>
    <tableColumn id="4" name="Peso" dataDxfId="117" totalsRowDxfId="116"/>
    <tableColumn id="5" name="Precio" totalsRowFunction="custom" dataDxfId="115" totalsRowDxfId="114" dataCellStyle="Moneda">
      <totalsRowFormula>SUM(Tabla5[Precio])</totalsRowFormula>
    </tableColumn>
    <tableColumn id="2" name="Peso Total" totalsRowFunction="custom" dataDxfId="113" totalsRowDxfId="112">
      <calculatedColumnFormula>Tabla5[[#This Row],[Cantidad]]*Tabla5[[#This Row],[Peso]]</calculatedColumnFormula>
      <totalsRowFormula>SUM(Tabla5[Peso Total])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L40" totalsRowCount="1" headerRowDxfId="111" dataDxfId="109" headerRowBorderDxfId="110" tableBorderDxfId="108">
  <autoFilter ref="A1:L39"/>
  <tableColumns count="12">
    <tableColumn id="1" name="Número" dataDxfId="107" totalsRowDxfId="47"/>
    <tableColumn id="2" name="Nombre" dataDxfId="106" totalsRowDxfId="46"/>
    <tableColumn id="3" name="Productor" dataDxfId="105" totalsRowDxfId="45"/>
    <tableColumn id="4" name="Código Productor" dataDxfId="104" totalsRowDxfId="44"/>
    <tableColumn id="12" name="Comentario" dataDxfId="103" totalsRowDxfId="43"/>
    <tableColumn id="5" name="Link" dataDxfId="102" totalsRowDxfId="42"/>
    <tableColumn id="6" name="Precio US$" dataDxfId="101" totalsRowDxfId="41" dataCellStyle="Moneda"/>
    <tableColumn id="11" name="Precio AR$" dataDxfId="100" totalsRowDxfId="40" dataCellStyle="Moneda"/>
    <tableColumn id="7" name="Peso [kg]" dataDxfId="99" totalsRowDxfId="39"/>
    <tableColumn id="8" name="Cantidad" dataDxfId="98" totalsRowDxfId="38"/>
    <tableColumn id="9" name="Total Precio US$" totalsRowFunction="custom" dataDxfId="97" totalsRowDxfId="37">
      <calculatedColumnFormula>(Tabla2[[#This Row],[Precio US$]] + Tabla2[[#This Row],[Precio AR$]]/Totales!$I$2)*Tabla2[[#This Row],[Cantidad]]</calculatedColumnFormula>
      <totalsRowFormula>SUM(Tabla2[Total Precio US$])</totalsRowFormula>
    </tableColumn>
    <tableColumn id="10" name="Total Peso [kg]" totalsRowFunction="custom" dataDxfId="96" totalsRowDxfId="36">
      <calculatedColumnFormula>Tabla2[[#This Row],[Peso '[kg']]]*Tabla2[[#This Row],[Cantidad]]</calculatedColumnFormula>
      <totalsRowFormula>SUM(Tabla2[Total Peso '[kg']])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A1:L34" totalsRowCount="1" headerRowDxfId="95" dataDxfId="93" headerRowBorderDxfId="94" tableBorderDxfId="92">
  <autoFilter ref="A1:L33"/>
  <tableColumns count="12">
    <tableColumn id="1" name="Número" dataDxfId="91" totalsRowDxfId="35"/>
    <tableColumn id="2" name="Nombre" dataDxfId="90" totalsRowDxfId="34"/>
    <tableColumn id="3" name="Productor" dataDxfId="89" totalsRowDxfId="33"/>
    <tableColumn id="4" name="Código Productor" dataDxfId="88" totalsRowDxfId="32"/>
    <tableColumn id="12" name="Comentario" dataDxfId="87" totalsRowDxfId="31"/>
    <tableColumn id="5" name="Link" dataDxfId="86" totalsRowDxfId="30" dataCellStyle="Hipervínculo"/>
    <tableColumn id="6" name="Precio US$" dataDxfId="85" totalsRowDxfId="29" dataCellStyle="Moneda"/>
    <tableColumn id="11" name="Precio AR$" dataDxfId="84" totalsRowDxfId="28" dataCellStyle="Moneda"/>
    <tableColumn id="7" name="Peso [kg]" dataDxfId="83" totalsRowDxfId="27"/>
    <tableColumn id="8" name="Cantidad" dataDxfId="82" totalsRowDxfId="26"/>
    <tableColumn id="9" name="Total Precio US$" totalsRowFunction="custom" dataDxfId="81" totalsRowDxfId="25">
      <calculatedColumnFormula>(Tabla24[[#This Row],[Precio US$]] + Tabla24[[#This Row],[Precio AR$]]/Totales!$I$2)*Tabla24[[#This Row],[Cantidad]]</calculatedColumnFormula>
      <totalsRowFormula>SUM(Tabla24[Total Precio US$])</totalsRowFormula>
    </tableColumn>
    <tableColumn id="10" name="Total Peso [kg]" totalsRowFunction="custom" dataDxfId="80" totalsRowDxfId="24">
      <calculatedColumnFormula>Tabla24[[#This Row],[Peso '[kg']]]*Tabla24[[#This Row],[Cantidad]]</calculatedColumnFormula>
      <totalsRowFormula>SUM(Tabla24[Total Peso '[kg']])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245" displayName="Tabla245" ref="A1:L7" totalsRowCount="1" headerRowDxfId="79" dataDxfId="77" headerRowBorderDxfId="78" tableBorderDxfId="76">
  <autoFilter ref="A1:L6"/>
  <tableColumns count="12">
    <tableColumn id="1" name="Número" dataDxfId="75" totalsRowDxfId="23"/>
    <tableColumn id="2" name="Nombre" dataDxfId="74" totalsRowDxfId="22"/>
    <tableColumn id="3" name="Productor" dataDxfId="73" totalsRowDxfId="21"/>
    <tableColumn id="4" name="Código Productor" dataDxfId="72" totalsRowDxfId="20"/>
    <tableColumn id="12" name="Comentario" dataDxfId="71" totalsRowDxfId="19"/>
    <tableColumn id="5" name="Link" dataDxfId="70" totalsRowDxfId="18"/>
    <tableColumn id="6" name="Precio US$" dataDxfId="69" totalsRowDxfId="17" dataCellStyle="Moneda"/>
    <tableColumn id="11" name="Precio AR$" dataDxfId="68" totalsRowDxfId="16" dataCellStyle="Moneda"/>
    <tableColumn id="7" name="Peso [kg]" dataDxfId="67" totalsRowDxfId="15"/>
    <tableColumn id="8" name="Cantidad" dataDxfId="66" totalsRowDxfId="14"/>
    <tableColumn id="9" name="Total Precio US$" totalsRowFunction="custom" dataDxfId="65" totalsRowDxfId="13">
      <calculatedColumnFormula>Tabla245[[#This Row],[Precio US$]]*Tabla245[[#This Row],[Cantidad]]</calculatedColumnFormula>
      <totalsRowFormula>SUM(Tabla245[Total Precio US$])</totalsRowFormula>
    </tableColumn>
    <tableColumn id="10" name="Total Peso [kg]" totalsRowFunction="custom" dataDxfId="64" totalsRowDxfId="12">
      <calculatedColumnFormula>Tabla245[[#This Row],[Peso '[kg']]]*Tabla245[[#This Row],[Cantidad]]</calculatedColumnFormula>
      <totalsRowFormula>SUM(Tabla245[Total Peso '[kg']])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2457" displayName="Tabla2457" ref="A1:L58" totalsRowCount="1" headerRowDxfId="63" dataDxfId="61" headerRowBorderDxfId="62" tableBorderDxfId="60">
  <autoFilter ref="A1:L57"/>
  <tableColumns count="12">
    <tableColumn id="1" name="Número" dataDxfId="59" totalsRowDxfId="11"/>
    <tableColumn id="2" name="Nombre" dataDxfId="58" totalsRowDxfId="10"/>
    <tableColumn id="3" name="Productor" dataDxfId="57" totalsRowDxfId="9"/>
    <tableColumn id="4" name="Código Productor" dataDxfId="56" totalsRowDxfId="8"/>
    <tableColumn id="12" name="Comentario" dataDxfId="55" totalsRowDxfId="7"/>
    <tableColumn id="5" name="Link" dataDxfId="54" totalsRowDxfId="6"/>
    <tableColumn id="6" name="Precio US$" dataDxfId="53" totalsRowDxfId="5" dataCellStyle="Moneda"/>
    <tableColumn id="11" name="Precio AR$" dataDxfId="52" totalsRowDxfId="4" dataCellStyle="Moneda"/>
    <tableColumn id="7" name="Peso [kg]" dataDxfId="51" totalsRowDxfId="3"/>
    <tableColumn id="8" name="Cantidad" dataDxfId="50" totalsRowDxfId="2"/>
    <tableColumn id="9" name="Total Precio US$" totalsRowFunction="custom" dataDxfId="49" totalsRowDxfId="1">
      <calculatedColumnFormula>(Tabla2457[[#This Row],[Precio US$]] + Tabla2457[[#This Row],[Precio AR$]]/Totales!$I$2)*Tabla2457[[#This Row],[Cantidad]]</calculatedColumnFormula>
      <totalsRowFormula>SUM(Tabla2457[Total Precio US$])</totalsRowFormula>
    </tableColumn>
    <tableColumn id="10" name="Total Peso [kg]" totalsRowFunction="custom" dataDxfId="48" totalsRowDxfId="0">
      <calculatedColumnFormula>Tabla2457[[#This Row],[Peso '[kg']]]*Tabla2457[[#This Row],[Cantidad]]</calculatedColumnFormula>
      <totalsRowFormula>SUM(Tabla2457[Total Peso '[kg']])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13" sqref="F13"/>
    </sheetView>
  </sheetViews>
  <sheetFormatPr baseColWidth="10" defaultColWidth="11.5703125" defaultRowHeight="15" x14ac:dyDescent="0.25"/>
  <cols>
    <col min="1" max="4" width="18.28515625" style="1" customWidth="1"/>
    <col min="5" max="5" width="16.28515625" style="1" customWidth="1"/>
    <col min="6" max="7" width="11.5703125" style="1"/>
    <col min="8" max="8" width="28.7109375" style="1" bestFit="1" customWidth="1"/>
    <col min="9" max="16384" width="11.5703125" style="1"/>
  </cols>
  <sheetData>
    <row r="1" spans="1:9" ht="15.75" thickBot="1" x14ac:dyDescent="0.3">
      <c r="A1" s="1" t="s">
        <v>55</v>
      </c>
      <c r="B1" s="1" t="s">
        <v>6</v>
      </c>
      <c r="C1" s="1" t="s">
        <v>5</v>
      </c>
      <c r="D1" s="1" t="s">
        <v>110</v>
      </c>
      <c r="E1" s="1" t="s">
        <v>54</v>
      </c>
    </row>
    <row r="2" spans="1:9" x14ac:dyDescent="0.25">
      <c r="A2" s="1" t="s">
        <v>56</v>
      </c>
      <c r="B2" s="1">
        <v>4</v>
      </c>
      <c r="C2" s="7">
        <f>Tabla2[[#Totals],[Total Peso '[kg']]]</f>
        <v>0.51878060934119485</v>
      </c>
      <c r="D2" s="12">
        <f>Tabla2[[#Totals],[Total Precio US$]]</f>
        <v>81.411276624339834</v>
      </c>
      <c r="E2" s="7">
        <f>Tabla5[[#This Row],[Cantidad]]*Tabla5[[#This Row],[Peso]]</f>
        <v>2.0751224373647794</v>
      </c>
      <c r="H2" s="13" t="s">
        <v>111</v>
      </c>
      <c r="I2" s="14">
        <v>996.61</v>
      </c>
    </row>
    <row r="3" spans="1:9" ht="15.75" thickBot="1" x14ac:dyDescent="0.3">
      <c r="A3" s="1" t="s">
        <v>57</v>
      </c>
      <c r="B3" s="1">
        <v>4</v>
      </c>
      <c r="C3" s="7">
        <f>Tabla24[[#Totals],[Total Peso '[kg']]]</f>
        <v>0.5146186830900974</v>
      </c>
      <c r="D3" s="12">
        <f>Tabla24[[#Totals],[Total Precio US$]]</f>
        <v>80.917521795469966</v>
      </c>
      <c r="E3" s="7">
        <f>Tabla5[[#This Row],[Cantidad]]*Tabla5[[#This Row],[Peso]]</f>
        <v>2.0584747323603896</v>
      </c>
      <c r="H3" s="15" t="s">
        <v>113</v>
      </c>
      <c r="I3" s="16"/>
    </row>
    <row r="4" spans="1:9" x14ac:dyDescent="0.25">
      <c r="A4" s="1" t="s">
        <v>58</v>
      </c>
      <c r="B4" s="1">
        <v>4</v>
      </c>
      <c r="C4" s="7">
        <f>Tabla245[[#Totals],[Total Peso '[kg']]]</f>
        <v>6.6727999999999996E-2</v>
      </c>
      <c r="D4" s="12">
        <f>Tabla245[[#Totals],[Total Precio US$]]</f>
        <v>0.59459006030443196</v>
      </c>
      <c r="E4" s="7">
        <f>Tabla5[[#This Row],[Cantidad]]*Tabla5[[#This Row],[Peso]]</f>
        <v>0.26691199999999998</v>
      </c>
    </row>
    <row r="5" spans="1:9" x14ac:dyDescent="0.25">
      <c r="A5" s="1" t="s">
        <v>59</v>
      </c>
      <c r="B5" s="1">
        <v>1</v>
      </c>
      <c r="C5" s="7">
        <f>Tabla2457[[#Totals],[Total Peso '[kg']]]</f>
        <v>3.6549689536070979</v>
      </c>
      <c r="D5" s="12">
        <f>Tabla2457[[#Totals],[Total Precio US$]]</f>
        <v>2672.9694441211259</v>
      </c>
      <c r="E5" s="7">
        <f>Tabla5[[#This Row],[Cantidad]]*Tabla5[[#This Row],[Peso]]</f>
        <v>3.6549689536070979</v>
      </c>
    </row>
    <row r="6" spans="1:9" x14ac:dyDescent="0.25">
      <c r="C6" s="7"/>
      <c r="D6" s="12">
        <f>SUM(Tabla5[Precio])</f>
        <v>2835.8928326012401</v>
      </c>
      <c r="E6" s="7">
        <f>SUM(Tabla5[Peso Total])</f>
        <v>8.0554781233322661</v>
      </c>
    </row>
    <row r="7" spans="1:9" x14ac:dyDescent="0.25">
      <c r="C7" s="7"/>
      <c r="D7" s="7"/>
      <c r="E7" s="7"/>
    </row>
  </sheetData>
  <mergeCells count="1">
    <mergeCell ref="I2:I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F33" sqref="F33"/>
    </sheetView>
  </sheetViews>
  <sheetFormatPr baseColWidth="10" defaultColWidth="11.5703125" defaultRowHeight="15" x14ac:dyDescent="0.25"/>
  <cols>
    <col min="1" max="1" width="12.42578125" style="1" customWidth="1"/>
    <col min="2" max="2" width="27.28515625" style="1" customWidth="1"/>
    <col min="3" max="3" width="15.42578125" style="1" customWidth="1"/>
    <col min="4" max="4" width="21.42578125" style="1" customWidth="1"/>
    <col min="5" max="5" width="45.42578125" style="1" bestFit="1" customWidth="1"/>
    <col min="6" max="6" width="11.5703125" style="1"/>
    <col min="7" max="8" width="15.7109375" style="1" customWidth="1"/>
    <col min="9" max="9" width="13.85546875" style="1" customWidth="1"/>
    <col min="10" max="10" width="15.5703125" style="1" customWidth="1"/>
    <col min="11" max="11" width="20.140625" style="1" customWidth="1"/>
    <col min="12" max="12" width="19" style="1" customWidth="1"/>
    <col min="13" max="16384" width="11.5703125" style="1"/>
  </cols>
  <sheetData>
    <row r="1" spans="1:12" ht="19.899999999999999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4</v>
      </c>
      <c r="G1" s="2" t="s">
        <v>12</v>
      </c>
      <c r="H1" s="2" t="s">
        <v>112</v>
      </c>
      <c r="I1" s="2" t="s">
        <v>8</v>
      </c>
      <c r="J1" s="2" t="s">
        <v>6</v>
      </c>
      <c r="K1" s="2" t="s">
        <v>13</v>
      </c>
      <c r="L1" s="2" t="s">
        <v>7</v>
      </c>
    </row>
    <row r="2" spans="1:12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16</v>
      </c>
      <c r="F2" s="3"/>
      <c r="G2" s="4">
        <v>34.22</v>
      </c>
      <c r="H2" s="4"/>
      <c r="I2" s="7">
        <f>193/1000</f>
        <v>0.193</v>
      </c>
      <c r="J2" s="1">
        <v>1</v>
      </c>
      <c r="K2" s="5">
        <f>(Tabla2[[#This Row],[Precio US$]] + Tabla2[[#This Row],[Precio AR$]]/Totales!$I$2)*Tabla2[[#This Row],[Cantidad]]</f>
        <v>34.22</v>
      </c>
      <c r="L2" s="7">
        <f>Tabla2[[#This Row],[Peso '[kg']]]*Tabla2[[#This Row],[Cantidad]]</f>
        <v>0.193</v>
      </c>
    </row>
    <row r="3" spans="1:12" x14ac:dyDescent="0.25">
      <c r="A3" s="1">
        <v>2</v>
      </c>
      <c r="B3" s="1" t="s">
        <v>14</v>
      </c>
      <c r="C3" s="1" t="s">
        <v>15</v>
      </c>
      <c r="D3" s="1" t="s">
        <v>16</v>
      </c>
      <c r="E3" s="1" t="s">
        <v>20</v>
      </c>
      <c r="F3" s="3"/>
      <c r="G3" s="4"/>
      <c r="H3" s="4">
        <f>7350/(1000/67.87)</f>
        <v>498.84449999999998</v>
      </c>
      <c r="I3" s="7">
        <f>3.0355/1000</f>
        <v>3.0355E-3</v>
      </c>
      <c r="J3" s="1">
        <v>1</v>
      </c>
      <c r="K3" s="5">
        <f>(Tabla2[[#This Row],[Precio US$]] + Tabla2[[#This Row],[Precio AR$]]/Totales!$I$2)*Tabla2[[#This Row],[Cantidad]]</f>
        <v>0.50054133512607735</v>
      </c>
      <c r="L3" s="7">
        <f>Tabla2[[#This Row],[Peso '[kg']]]*Tabla2[[#This Row],[Cantidad]]</f>
        <v>3.0355E-3</v>
      </c>
    </row>
    <row r="4" spans="1:12" x14ac:dyDescent="0.25">
      <c r="A4" s="1">
        <v>3</v>
      </c>
      <c r="B4" s="1" t="s">
        <v>17</v>
      </c>
      <c r="D4" s="1" t="s">
        <v>16</v>
      </c>
      <c r="E4" s="1" t="s">
        <v>21</v>
      </c>
      <c r="F4" s="3"/>
      <c r="G4" s="4"/>
      <c r="H4" s="4">
        <f>70022/(1200*600)*7793.483</f>
        <v>757.93787031388888</v>
      </c>
      <c r="I4" s="7">
        <f>23.15/1000</f>
        <v>2.3149999999999997E-2</v>
      </c>
      <c r="J4" s="1">
        <v>1</v>
      </c>
      <c r="K4" s="5">
        <f>(Tabla2[[#This Row],[Precio US$]] + Tabla2[[#This Row],[Precio AR$]]/Totales!$I$2)*Tabla2[[#This Row],[Cantidad]]</f>
        <v>0.76051601962040205</v>
      </c>
      <c r="L4" s="7">
        <f>Tabla2[[#This Row],[Peso '[kg']]]*Tabla2[[#This Row],[Cantidad]]</f>
        <v>2.3149999999999997E-2</v>
      </c>
    </row>
    <row r="5" spans="1:12" x14ac:dyDescent="0.25">
      <c r="A5" s="1">
        <v>4</v>
      </c>
      <c r="B5" s="1" t="s">
        <v>22</v>
      </c>
      <c r="D5" s="1" t="s">
        <v>16</v>
      </c>
      <c r="E5" s="1" t="s">
        <v>21</v>
      </c>
      <c r="F5" s="3"/>
      <c r="G5" s="4"/>
      <c r="H5" s="4">
        <f>70022/(1200*600)*7394.587</f>
        <v>719.14412626944443</v>
      </c>
      <c r="I5" s="7">
        <f>21.657/1000</f>
        <v>2.1656999999999999E-2</v>
      </c>
      <c r="J5" s="1">
        <v>1</v>
      </c>
      <c r="K5" s="5">
        <f>(Tabla2[[#This Row],[Precio US$]] + Tabla2[[#This Row],[Precio AR$]]/Totales!$I$2)*Tabla2[[#This Row],[Cantidad]]</f>
        <v>0.72159031744558499</v>
      </c>
      <c r="L5" s="7">
        <f>Tabla2[[#This Row],[Peso '[kg']]]*Tabla2[[#This Row],[Cantidad]]</f>
        <v>2.1656999999999999E-2</v>
      </c>
    </row>
    <row r="6" spans="1:12" x14ac:dyDescent="0.25">
      <c r="A6" s="1">
        <v>5</v>
      </c>
      <c r="B6" s="1" t="s">
        <v>25</v>
      </c>
      <c r="C6" s="1" t="s">
        <v>26</v>
      </c>
      <c r="D6" s="1" t="s">
        <v>27</v>
      </c>
      <c r="E6" s="1" t="s">
        <v>28</v>
      </c>
      <c r="G6" s="4"/>
      <c r="H6" s="4">
        <f>18746/15*9</f>
        <v>11247.6</v>
      </c>
      <c r="I6" s="7">
        <f>6.02/1000</f>
        <v>6.0199999999999993E-3</v>
      </c>
      <c r="J6" s="1">
        <v>2</v>
      </c>
      <c r="K6" s="5">
        <f>(Tabla2[[#This Row],[Precio US$]] + Tabla2[[#This Row],[Precio AR$]]/Totales!$I$2)*Tabla2[[#This Row],[Cantidad]]</f>
        <v>22.571718124441858</v>
      </c>
      <c r="L6" s="7">
        <f>Tabla2[[#This Row],[Peso '[kg']]]*Tabla2[[#This Row],[Cantidad]]</f>
        <v>1.2039999999999999E-2</v>
      </c>
    </row>
    <row r="7" spans="1:12" x14ac:dyDescent="0.25">
      <c r="A7" s="1">
        <v>6</v>
      </c>
      <c r="B7" s="1" t="s">
        <v>45</v>
      </c>
      <c r="C7" s="1" t="s">
        <v>23</v>
      </c>
      <c r="D7" s="1" t="s">
        <v>16</v>
      </c>
      <c r="E7" s="1" t="s">
        <v>24</v>
      </c>
      <c r="G7" s="4"/>
      <c r="H7" s="4">
        <f>19800*Tabla2[[#This Row],[Peso '[kg']]]</f>
        <v>240.15419999999997</v>
      </c>
      <c r="I7" s="7">
        <f>12.129/1000</f>
        <v>1.2128999999999999E-2</v>
      </c>
      <c r="J7" s="1">
        <v>1</v>
      </c>
      <c r="K7" s="5">
        <f>(Tabla2[[#This Row],[Precio US$]] + Tabla2[[#This Row],[Precio AR$]]/Totales!$I$2)*Tabla2[[#This Row],[Cantidad]]</f>
        <v>0.24097109200188638</v>
      </c>
      <c r="L7" s="7">
        <f>Tabla2[[#This Row],[Peso '[kg']]]*Tabla2[[#This Row],[Cantidad]]</f>
        <v>1.2128999999999999E-2</v>
      </c>
    </row>
    <row r="8" spans="1:12" x14ac:dyDescent="0.25">
      <c r="A8" s="1">
        <v>7</v>
      </c>
      <c r="B8" s="1" t="s">
        <v>30</v>
      </c>
      <c r="C8" s="1" t="s">
        <v>31</v>
      </c>
      <c r="D8" s="1" t="s">
        <v>29</v>
      </c>
      <c r="E8" s="1" t="s">
        <v>16</v>
      </c>
      <c r="F8" s="3" t="str">
        <f>HYPERLINK("https://www.mouser.co.uk/ProductDetail/ams/AS5047P-TS_EK_AB/?qs=Rt6VE0PE%2FOfJKFTMKo%252BL0Q==","Link")</f>
        <v>Link</v>
      </c>
      <c r="G8" s="4">
        <v>15.75</v>
      </c>
      <c r="H8" s="4"/>
      <c r="I8" s="7">
        <v>1.7181256839E-2</v>
      </c>
      <c r="J8" s="1">
        <v>1</v>
      </c>
      <c r="K8" s="5">
        <f>(Tabla2[[#This Row],[Precio US$]] + Tabla2[[#This Row],[Precio AR$]]/Totales!$I$2)*Tabla2[[#This Row],[Cantidad]]</f>
        <v>15.75</v>
      </c>
      <c r="L8" s="7">
        <f>Tabla2[[#This Row],[Peso '[kg']]]*Tabla2[[#This Row],[Cantidad]]</f>
        <v>1.7181256839E-2</v>
      </c>
    </row>
    <row r="9" spans="1:12" x14ac:dyDescent="0.25">
      <c r="A9" s="1">
        <v>8</v>
      </c>
      <c r="B9" s="1" t="s">
        <v>35</v>
      </c>
      <c r="C9" s="1" t="s">
        <v>23</v>
      </c>
      <c r="D9" s="1" t="s">
        <v>16</v>
      </c>
      <c r="E9" s="1" t="s">
        <v>24</v>
      </c>
      <c r="G9" s="4"/>
      <c r="H9" s="4">
        <f>19800*Tabla2[[#This Row],[Peso '[kg']]]</f>
        <v>62.310599999999994</v>
      </c>
      <c r="I9" s="7">
        <f>3.147/1000</f>
        <v>3.1469999999999996E-3</v>
      </c>
      <c r="J9" s="1">
        <v>4</v>
      </c>
      <c r="K9" s="5">
        <f>(Tabla2[[#This Row],[Precio US$]] + Tabla2[[#This Row],[Precio AR$]]/Totales!$I$2)*Tabla2[[#This Row],[Cantidad]]</f>
        <v>0.25009020579765401</v>
      </c>
      <c r="L9" s="7">
        <f>Tabla2[[#This Row],[Peso '[kg']]]*Tabla2[[#This Row],[Cantidad]]</f>
        <v>1.2587999999999998E-2</v>
      </c>
    </row>
    <row r="10" spans="1:12" x14ac:dyDescent="0.25">
      <c r="A10" s="1">
        <v>9</v>
      </c>
      <c r="B10" s="1" t="s">
        <v>32</v>
      </c>
      <c r="C10" s="1" t="s">
        <v>33</v>
      </c>
      <c r="D10" s="1" t="s">
        <v>34</v>
      </c>
      <c r="E10" s="1" t="s">
        <v>16</v>
      </c>
      <c r="F10" s="3"/>
      <c r="G10" s="4"/>
      <c r="H10" s="4">
        <f>7556/10</f>
        <v>755.6</v>
      </c>
      <c r="I10" s="7">
        <v>8.0000000000000002E-3</v>
      </c>
      <c r="J10" s="1">
        <v>5</v>
      </c>
      <c r="K10" s="5">
        <f>(Tabla2[[#This Row],[Precio US$]] + Tabla2[[#This Row],[Precio AR$]]/Totales!$I$2)*Tabla2[[#This Row],[Cantidad]]</f>
        <v>3.7908509848386029</v>
      </c>
      <c r="L10" s="7">
        <f>Tabla2[[#This Row],[Peso '[kg']]]*Tabla2[[#This Row],[Cantidad]]</f>
        <v>0.04</v>
      </c>
    </row>
    <row r="11" spans="1:12" x14ac:dyDescent="0.25">
      <c r="A11" s="1">
        <v>10</v>
      </c>
      <c r="B11" s="1" t="s">
        <v>36</v>
      </c>
      <c r="D11" s="1" t="s">
        <v>16</v>
      </c>
      <c r="E11" s="1" t="s">
        <v>16</v>
      </c>
      <c r="F11" s="3"/>
      <c r="G11" s="4"/>
      <c r="H11" s="4"/>
      <c r="I11" s="6">
        <f>(1/2278)</f>
        <v>4.3898156277436348E-4</v>
      </c>
      <c r="J11" s="1">
        <v>8</v>
      </c>
      <c r="K11" s="5">
        <f>(Tabla2[[#This Row],[Precio US$]] + Tabla2[[#This Row],[Precio AR$]]/Totales!$I$2)*Tabla2[[#This Row],[Cantidad]]</f>
        <v>0</v>
      </c>
      <c r="L11" s="7">
        <f>Tabla2[[#This Row],[Peso '[kg']]]*Tabla2[[#This Row],[Cantidad]]</f>
        <v>3.5118525021949078E-3</v>
      </c>
    </row>
    <row r="12" spans="1:12" x14ac:dyDescent="0.25">
      <c r="A12" s="1">
        <v>11</v>
      </c>
      <c r="B12" s="1" t="s">
        <v>37</v>
      </c>
      <c r="D12" s="1" t="s">
        <v>39</v>
      </c>
      <c r="E12" s="1" t="s">
        <v>16</v>
      </c>
      <c r="F12" s="3"/>
      <c r="G12" s="4"/>
      <c r="H12" s="4"/>
      <c r="I12" s="6">
        <f>0.43/1000</f>
        <v>4.2999999999999999E-4</v>
      </c>
      <c r="J12" s="1">
        <v>22</v>
      </c>
      <c r="K12" s="5">
        <f>(Tabla2[[#This Row],[Precio US$]] + Tabla2[[#This Row],[Precio AR$]]/Totales!$I$2)*Tabla2[[#This Row],[Cantidad]]</f>
        <v>0</v>
      </c>
      <c r="L12" s="7">
        <f>Tabla2[[#This Row],[Peso '[kg']]]*Tabla2[[#This Row],[Cantidad]]</f>
        <v>9.4599999999999997E-3</v>
      </c>
    </row>
    <row r="13" spans="1:12" x14ac:dyDescent="0.25">
      <c r="A13" s="1">
        <v>12</v>
      </c>
      <c r="B13" s="1" t="s">
        <v>48</v>
      </c>
      <c r="D13" s="1" t="s">
        <v>41</v>
      </c>
      <c r="E13" s="1" t="s">
        <v>16</v>
      </c>
      <c r="F13" s="3"/>
      <c r="G13" s="4"/>
      <c r="H13" s="4"/>
      <c r="I13" s="6">
        <f>0.795/1000</f>
        <v>7.9500000000000003E-4</v>
      </c>
      <c r="J13" s="1">
        <v>21</v>
      </c>
      <c r="K13" s="5">
        <f>(Tabla2[[#This Row],[Precio US$]] + Tabla2[[#This Row],[Precio AR$]]/Totales!$I$2)*Tabla2[[#This Row],[Cantidad]]</f>
        <v>0</v>
      </c>
      <c r="L13" s="7">
        <f>Tabla2[[#This Row],[Peso '[kg']]]*Tabla2[[#This Row],[Cantidad]]</f>
        <v>1.6695000000000002E-2</v>
      </c>
    </row>
    <row r="14" spans="1:12" x14ac:dyDescent="0.25">
      <c r="A14" s="1">
        <v>13</v>
      </c>
      <c r="B14" s="1" t="s">
        <v>42</v>
      </c>
      <c r="C14" s="1" t="s">
        <v>23</v>
      </c>
      <c r="D14" s="1" t="s">
        <v>16</v>
      </c>
      <c r="E14" s="1" t="s">
        <v>24</v>
      </c>
      <c r="G14" s="4"/>
      <c r="H14" s="4">
        <f>19800*Tabla2[[#This Row],[Peso '[kg']]]</f>
        <v>112.86</v>
      </c>
      <c r="I14" s="7">
        <v>5.7000000000000002E-3</v>
      </c>
      <c r="J14" s="1">
        <v>1</v>
      </c>
      <c r="K14" s="5">
        <f>(Tabla2[[#This Row],[Precio US$]] + Tabla2[[#This Row],[Precio AR$]]/Totales!$I$2)*Tabla2[[#This Row],[Cantidad]]</f>
        <v>0.11324389681018653</v>
      </c>
      <c r="L14" s="7">
        <f>Tabla2[[#This Row],[Peso '[kg']]]*Tabla2[[#This Row],[Cantidad]]</f>
        <v>5.7000000000000002E-3</v>
      </c>
    </row>
    <row r="15" spans="1:12" x14ac:dyDescent="0.25">
      <c r="A15" s="1">
        <v>14</v>
      </c>
      <c r="B15" s="1" t="s">
        <v>43</v>
      </c>
      <c r="D15" s="1" t="s">
        <v>16</v>
      </c>
      <c r="E15" s="1" t="s">
        <v>16</v>
      </c>
      <c r="F15" s="3"/>
      <c r="G15" s="4"/>
      <c r="H15" s="4"/>
      <c r="I15" s="6">
        <f>0.275/1000</f>
        <v>2.7500000000000002E-4</v>
      </c>
      <c r="J15" s="1">
        <v>6</v>
      </c>
      <c r="K15" s="5">
        <f>(Tabla2[[#This Row],[Precio US$]] + Tabla2[[#This Row],[Precio AR$]]/Totales!$I$2)*Tabla2[[#This Row],[Cantidad]]</f>
        <v>0</v>
      </c>
      <c r="L15" s="7">
        <f>Tabla2[[#This Row],[Peso '[kg']]]*Tabla2[[#This Row],[Cantidad]]</f>
        <v>1.65E-3</v>
      </c>
    </row>
    <row r="16" spans="1:12" x14ac:dyDescent="0.25">
      <c r="A16" s="1">
        <v>15</v>
      </c>
      <c r="B16" s="1" t="s">
        <v>79</v>
      </c>
      <c r="D16" s="1" t="s">
        <v>16</v>
      </c>
      <c r="E16" s="1" t="s">
        <v>44</v>
      </c>
      <c r="F16" s="3"/>
      <c r="G16" s="4"/>
      <c r="H16" s="4"/>
      <c r="I16" s="6">
        <f>0.468/1000</f>
        <v>4.6800000000000005E-4</v>
      </c>
      <c r="J16" s="1">
        <v>4</v>
      </c>
      <c r="K16" s="5">
        <f>(Tabla2[[#This Row],[Precio US$]] + Tabla2[[#This Row],[Precio AR$]]/Totales!$I$2)*Tabla2[[#This Row],[Cantidad]]</f>
        <v>0</v>
      </c>
      <c r="L16" s="7">
        <f>Tabla2[[#This Row],[Peso '[kg']]]*Tabla2[[#This Row],[Cantidad]]</f>
        <v>1.8720000000000002E-3</v>
      </c>
    </row>
    <row r="17" spans="1:12" x14ac:dyDescent="0.25">
      <c r="A17" s="1">
        <v>16</v>
      </c>
      <c r="B17" s="1" t="s">
        <v>46</v>
      </c>
      <c r="C17" s="1" t="s">
        <v>23</v>
      </c>
      <c r="D17" s="1" t="s">
        <v>16</v>
      </c>
      <c r="E17" s="1" t="s">
        <v>24</v>
      </c>
      <c r="G17" s="4"/>
      <c r="H17" s="4">
        <f>19800*Tabla2[[#This Row],[Peso '[kg']]]</f>
        <v>53.321400000000004</v>
      </c>
      <c r="I17" s="7">
        <f>0.002693</f>
        <v>2.6930000000000001E-3</v>
      </c>
      <c r="J17" s="1">
        <v>1</v>
      </c>
      <c r="K17" s="5">
        <f>(Tabla2[[#This Row],[Precio US$]] + Tabla2[[#This Row],[Precio AR$]]/Totales!$I$2)*Tabla2[[#This Row],[Cantidad]]</f>
        <v>5.3502774405233745E-2</v>
      </c>
      <c r="L17" s="7">
        <f>Tabla2[[#This Row],[Peso '[kg']]]*Tabla2[[#This Row],[Cantidad]]</f>
        <v>2.6930000000000001E-3</v>
      </c>
    </row>
    <row r="18" spans="1:12" x14ac:dyDescent="0.25">
      <c r="A18" s="1">
        <v>17</v>
      </c>
      <c r="B18" s="1" t="s">
        <v>78</v>
      </c>
      <c r="E18" s="1" t="s">
        <v>16</v>
      </c>
      <c r="F18" s="3"/>
      <c r="G18" s="4"/>
      <c r="H18" s="4"/>
      <c r="I18" s="6">
        <f>0.663/1000</f>
        <v>6.6300000000000007E-4</v>
      </c>
      <c r="J18" s="1">
        <v>2</v>
      </c>
      <c r="K18" s="5">
        <f>(Tabla2[[#This Row],[Precio US$]] + Tabla2[[#This Row],[Precio AR$]]/Totales!$I$2)*Tabla2[[#This Row],[Cantidad]]</f>
        <v>0</v>
      </c>
      <c r="L18" s="7">
        <f>Tabla2[[#This Row],[Peso '[kg']]]*Tabla2[[#This Row],[Cantidad]]</f>
        <v>1.3260000000000001E-3</v>
      </c>
    </row>
    <row r="19" spans="1:12" x14ac:dyDescent="0.25">
      <c r="A19" s="1">
        <v>18</v>
      </c>
      <c r="B19" s="1" t="s">
        <v>47</v>
      </c>
      <c r="C19" s="1" t="s">
        <v>23</v>
      </c>
      <c r="D19" s="1" t="s">
        <v>16</v>
      </c>
      <c r="E19" s="1" t="s">
        <v>24</v>
      </c>
      <c r="F19" s="3"/>
      <c r="G19" s="4"/>
      <c r="H19" s="4">
        <f>19800*Tabla2[[#This Row],[Peso '[kg']]]</f>
        <v>572.8338</v>
      </c>
      <c r="I19" s="6">
        <v>2.8930999999999998E-2</v>
      </c>
      <c r="J19" s="1">
        <v>1</v>
      </c>
      <c r="K19" s="5">
        <f>(Tabla2[[#This Row],[Precio US$]] + Tabla2[[#This Row],[Precio AR$]]/Totales!$I$2)*Tabla2[[#This Row],[Cantidad]]</f>
        <v>0.57478231203780816</v>
      </c>
      <c r="L19" s="7">
        <f>Tabla2[[#This Row],[Peso '[kg']]]*Tabla2[[#This Row],[Cantidad]]</f>
        <v>2.8930999999999998E-2</v>
      </c>
    </row>
    <row r="20" spans="1:12" x14ac:dyDescent="0.25">
      <c r="A20" s="1">
        <v>19</v>
      </c>
      <c r="B20" s="1" t="s">
        <v>65</v>
      </c>
      <c r="D20" s="1" t="s">
        <v>16</v>
      </c>
      <c r="E20" s="1" t="s">
        <v>16</v>
      </c>
      <c r="F20" s="3"/>
      <c r="G20" s="4"/>
      <c r="H20" s="4"/>
      <c r="I20" s="6">
        <f>1.068/1000</f>
        <v>1.0680000000000002E-3</v>
      </c>
      <c r="J20" s="1">
        <v>3</v>
      </c>
      <c r="K20" s="5">
        <f>(Tabla2[[#This Row],[Precio US$]] + Tabla2[[#This Row],[Precio AR$]]/Totales!$I$2)*Tabla2[[#This Row],[Cantidad]]</f>
        <v>0</v>
      </c>
      <c r="L20" s="7">
        <f>Tabla2[[#This Row],[Peso '[kg']]]*Tabla2[[#This Row],[Cantidad]]</f>
        <v>3.2040000000000003E-3</v>
      </c>
    </row>
    <row r="21" spans="1:12" x14ac:dyDescent="0.25">
      <c r="A21" s="1">
        <v>20</v>
      </c>
      <c r="B21" s="1" t="s">
        <v>66</v>
      </c>
      <c r="D21" s="1" t="s">
        <v>16</v>
      </c>
      <c r="E21" s="1" t="s">
        <v>16</v>
      </c>
      <c r="F21" s="3"/>
      <c r="G21" s="4"/>
      <c r="H21" s="4"/>
      <c r="I21" s="7">
        <f>2.163/1000</f>
        <v>2.163E-3</v>
      </c>
      <c r="J21" s="1">
        <v>5</v>
      </c>
      <c r="K21" s="5">
        <f>(Tabla2[[#This Row],[Precio US$]] + Tabla2[[#This Row],[Precio AR$]]/Totales!$I$2)*Tabla2[[#This Row],[Cantidad]]</f>
        <v>0</v>
      </c>
      <c r="L21" s="7">
        <f>Tabla2[[#This Row],[Peso '[kg']]]*Tabla2[[#This Row],[Cantidad]]</f>
        <v>1.0815E-2</v>
      </c>
    </row>
    <row r="22" spans="1:12" x14ac:dyDescent="0.25">
      <c r="A22" s="1">
        <v>21</v>
      </c>
      <c r="B22" s="1" t="s">
        <v>49</v>
      </c>
      <c r="C22" s="1" t="s">
        <v>23</v>
      </c>
      <c r="D22" s="1" t="s">
        <v>16</v>
      </c>
      <c r="E22" s="1" t="s">
        <v>24</v>
      </c>
      <c r="G22" s="4"/>
      <c r="H22" s="4">
        <f>19800*Tabla2[[#This Row],[Peso '[kg']]]</f>
        <v>877.25879999999995</v>
      </c>
      <c r="I22" s="7">
        <f>44.306/1000</f>
        <v>4.4305999999999998E-2</v>
      </c>
      <c r="J22" s="1">
        <v>1</v>
      </c>
      <c r="K22" s="5">
        <f>(Tabla2[[#This Row],[Precio US$]] + Tabla2[[#This Row],[Precio AR$]]/Totales!$I$2)*Tabla2[[#This Row],[Cantidad]]</f>
        <v>0.88024282317054814</v>
      </c>
      <c r="L22" s="7">
        <f>Tabla2[[#This Row],[Peso '[kg']]]*Tabla2[[#This Row],[Cantidad]]</f>
        <v>4.4305999999999998E-2</v>
      </c>
    </row>
    <row r="23" spans="1:12" x14ac:dyDescent="0.25">
      <c r="A23" s="1">
        <v>22</v>
      </c>
      <c r="B23" s="1" t="s">
        <v>69</v>
      </c>
      <c r="D23" s="1" t="s">
        <v>16</v>
      </c>
      <c r="E23" s="1" t="s">
        <v>16</v>
      </c>
      <c r="F23" s="3"/>
      <c r="G23" s="4"/>
      <c r="H23" s="4"/>
      <c r="I23" s="7">
        <f>0.906/1000</f>
        <v>9.0600000000000001E-4</v>
      </c>
      <c r="J23" s="1">
        <v>4</v>
      </c>
      <c r="K23" s="5">
        <f>(Tabla2[[#This Row],[Precio US$]] + Tabla2[[#This Row],[Precio AR$]]/Totales!$I$2)*Tabla2[[#This Row],[Cantidad]]</f>
        <v>0</v>
      </c>
      <c r="L23" s="7">
        <f>Tabla2[[#This Row],[Peso '[kg']]]*Tabla2[[#This Row],[Cantidad]]</f>
        <v>3.6240000000000001E-3</v>
      </c>
    </row>
    <row r="24" spans="1:12" x14ac:dyDescent="0.25">
      <c r="A24" s="1">
        <v>23</v>
      </c>
      <c r="B24" s="1" t="s">
        <v>50</v>
      </c>
      <c r="D24" s="1" t="s">
        <v>16</v>
      </c>
      <c r="E24" s="1" t="s">
        <v>16</v>
      </c>
      <c r="F24" s="3"/>
      <c r="G24" s="4"/>
      <c r="H24" s="4"/>
      <c r="I24" s="7">
        <f>0.801/1000</f>
        <v>8.0100000000000006E-4</v>
      </c>
      <c r="J24" s="1">
        <v>4</v>
      </c>
      <c r="K24" s="5">
        <f>(Tabla2[[#This Row],[Precio US$]] + Tabla2[[#This Row],[Precio AR$]]/Totales!$I$2)*Tabla2[[#This Row],[Cantidad]]</f>
        <v>0</v>
      </c>
      <c r="L24" s="7">
        <f>Tabla2[[#This Row],[Peso '[kg']]]*Tabla2[[#This Row],[Cantidad]]</f>
        <v>3.2040000000000003E-3</v>
      </c>
    </row>
    <row r="25" spans="1:12" x14ac:dyDescent="0.25">
      <c r="A25" s="1">
        <v>24</v>
      </c>
      <c r="B25" s="1" t="s">
        <v>67</v>
      </c>
      <c r="D25" s="1" t="s">
        <v>16</v>
      </c>
      <c r="E25" s="1" t="s">
        <v>16</v>
      </c>
      <c r="F25" s="3"/>
      <c r="G25" s="4"/>
      <c r="H25" s="4">
        <f>8000/1000*33.5</f>
        <v>268</v>
      </c>
      <c r="I25" s="7">
        <f>3.562/1000</f>
        <v>3.5619999999999996E-3</v>
      </c>
      <c r="J25" s="1">
        <v>2</v>
      </c>
      <c r="K25" s="5">
        <f>(Tabla2[[#This Row],[Precio US$]] + Tabla2[[#This Row],[Precio AR$]]/Totales!$I$2)*Tabla2[[#This Row],[Cantidad]]</f>
        <v>0.53782322071823485</v>
      </c>
      <c r="L25" s="7">
        <f>Tabla2[[#This Row],[Peso '[kg']]]*Tabla2[[#This Row],[Cantidad]]</f>
        <v>7.1239999999999993E-3</v>
      </c>
    </row>
    <row r="26" spans="1:12" x14ac:dyDescent="0.25">
      <c r="A26" s="1">
        <v>25</v>
      </c>
      <c r="B26" s="1" t="s">
        <v>68</v>
      </c>
      <c r="D26" s="1" t="s">
        <v>16</v>
      </c>
      <c r="E26" s="1" t="s">
        <v>16</v>
      </c>
      <c r="F26" s="3"/>
      <c r="G26" s="4"/>
      <c r="H26" s="4">
        <f>8000/1000*21.5</f>
        <v>172</v>
      </c>
      <c r="I26" s="7">
        <f>2.42/1000</f>
        <v>2.4199999999999998E-3</v>
      </c>
      <c r="J26" s="1">
        <v>1</v>
      </c>
      <c r="K26" s="5">
        <f>(Tabla2[[#This Row],[Precio US$]] + Tabla2[[#This Row],[Precio AR$]]/Totales!$I$2)*Tabla2[[#This Row],[Cantidad]]</f>
        <v>0.1725850633648067</v>
      </c>
      <c r="L26" s="7">
        <f>Tabla2[[#This Row],[Peso '[kg']]]*Tabla2[[#This Row],[Cantidad]]</f>
        <v>2.4199999999999998E-3</v>
      </c>
    </row>
    <row r="27" spans="1:12" x14ac:dyDescent="0.25">
      <c r="A27" s="1">
        <v>26</v>
      </c>
      <c r="B27" s="1" t="s">
        <v>80</v>
      </c>
      <c r="D27" s="1" t="s">
        <v>16</v>
      </c>
      <c r="E27" s="1" t="s">
        <v>16</v>
      </c>
      <c r="F27" s="3"/>
      <c r="G27" s="4"/>
      <c r="H27" s="4"/>
      <c r="I27" s="7">
        <f>3.459/1000</f>
        <v>3.4590000000000003E-3</v>
      </c>
      <c r="J27" s="1">
        <v>3</v>
      </c>
      <c r="K27" s="5">
        <f>(Tabla2[[#This Row],[Precio US$]] + Tabla2[[#This Row],[Precio AR$]]/Totales!$I$2)*Tabla2[[#This Row],[Cantidad]]</f>
        <v>0</v>
      </c>
      <c r="L27" s="7">
        <f>Tabla2[[#This Row],[Peso '[kg']]]*Tabla2[[#This Row],[Cantidad]]</f>
        <v>1.0377000000000001E-2</v>
      </c>
    </row>
    <row r="28" spans="1:12" x14ac:dyDescent="0.25">
      <c r="A28" s="1">
        <v>27</v>
      </c>
      <c r="B28" s="1" t="s">
        <v>70</v>
      </c>
      <c r="F28" s="3"/>
      <c r="G28" s="4"/>
      <c r="H28" s="4">
        <f>19800*Tabla2[[#This Row],[Peso '[kg']]]</f>
        <v>47.5398</v>
      </c>
      <c r="I28" s="7">
        <f>2.401/1000</f>
        <v>2.4009999999999999E-3</v>
      </c>
      <c r="J28" s="1">
        <v>1</v>
      </c>
      <c r="K28" s="5">
        <f>(Tabla2[[#This Row],[Precio US$]] + Tabla2[[#This Row],[Precio AR$]]/Totales!$I$2)*Tabla2[[#This Row],[Cantidad]]</f>
        <v>4.770150811250138E-2</v>
      </c>
      <c r="L28" s="7">
        <f>Tabla2[[#This Row],[Peso '[kg']]]*Tabla2[[#This Row],[Cantidad]]</f>
        <v>2.4009999999999999E-3</v>
      </c>
    </row>
    <row r="29" spans="1:12" x14ac:dyDescent="0.25">
      <c r="A29" s="1">
        <v>28</v>
      </c>
      <c r="B29" s="1" t="s">
        <v>71</v>
      </c>
      <c r="D29" s="1" t="s">
        <v>16</v>
      </c>
      <c r="E29" s="1" t="s">
        <v>16</v>
      </c>
      <c r="F29" s="3"/>
      <c r="G29" s="4"/>
      <c r="H29" s="4"/>
      <c r="I29" s="6">
        <f>0.301/1000</f>
        <v>3.01E-4</v>
      </c>
      <c r="J29" s="1">
        <v>1</v>
      </c>
      <c r="K29" s="5">
        <f>(Tabla2[[#This Row],[Precio US$]] + Tabla2[[#This Row],[Precio AR$]]/Totales!$I$2)*Tabla2[[#This Row],[Cantidad]]</f>
        <v>0</v>
      </c>
      <c r="L29" s="7">
        <f>Tabla2[[#This Row],[Peso '[kg']]]*Tabla2[[#This Row],[Cantidad]]</f>
        <v>3.01E-4</v>
      </c>
    </row>
    <row r="30" spans="1:12" x14ac:dyDescent="0.25">
      <c r="A30" s="1">
        <v>29</v>
      </c>
      <c r="B30" s="1" t="s">
        <v>72</v>
      </c>
      <c r="D30" s="1" t="s">
        <v>16</v>
      </c>
      <c r="E30" s="1" t="s">
        <v>16</v>
      </c>
      <c r="F30" s="3"/>
      <c r="G30" s="4"/>
      <c r="H30" s="4"/>
      <c r="I30" s="7">
        <f>2.404/1000</f>
        <v>2.4039999999999999E-3</v>
      </c>
      <c r="J30" s="1">
        <v>2</v>
      </c>
      <c r="K30" s="5">
        <f>(Tabla2[[#This Row],[Precio US$]] + Tabla2[[#This Row],[Precio AR$]]/Totales!$I$2)*Tabla2[[#This Row],[Cantidad]]</f>
        <v>0</v>
      </c>
      <c r="L30" s="7">
        <f>Tabla2[[#This Row],[Peso '[kg']]]*Tabla2[[#This Row],[Cantidad]]</f>
        <v>4.8079999999999998E-3</v>
      </c>
    </row>
    <row r="31" spans="1:12" x14ac:dyDescent="0.25">
      <c r="A31" s="1">
        <v>30</v>
      </c>
      <c r="B31" s="1" t="s">
        <v>51</v>
      </c>
      <c r="C31" s="1" t="s">
        <v>23</v>
      </c>
      <c r="D31" s="1" t="s">
        <v>16</v>
      </c>
      <c r="E31" s="1" t="s">
        <v>24</v>
      </c>
      <c r="G31" s="4"/>
      <c r="H31" s="4">
        <f>19800*Tabla2[[#This Row],[Peso '[kg']]]</f>
        <v>224.35379999999998</v>
      </c>
      <c r="I31" s="7">
        <f>11.331/1000</f>
        <v>1.1330999999999999E-2</v>
      </c>
      <c r="J31" s="1">
        <v>1</v>
      </c>
      <c r="K31" s="5">
        <f>(Tabla2[[#This Row],[Precio US$]] + Tabla2[[#This Row],[Precio AR$]]/Totales!$I$2)*Tabla2[[#This Row],[Cantidad]]</f>
        <v>0.22511694644846025</v>
      </c>
      <c r="L31" s="7">
        <f>Tabla2[[#This Row],[Peso '[kg']]]*Tabla2[[#This Row],[Cantidad]]</f>
        <v>1.1330999999999999E-2</v>
      </c>
    </row>
    <row r="32" spans="1:12" x14ac:dyDescent="0.25">
      <c r="A32" s="1">
        <v>31</v>
      </c>
      <c r="B32" s="1" t="s">
        <v>81</v>
      </c>
      <c r="G32" s="4"/>
      <c r="H32" s="4"/>
      <c r="I32" s="7">
        <f>0.53/1000</f>
        <v>5.2999999999999998E-4</v>
      </c>
      <c r="J32" s="1">
        <v>3</v>
      </c>
      <c r="K32" s="5">
        <f>(Tabla2[[#This Row],[Precio US$]] + Tabla2[[#This Row],[Precio AR$]]/Totales!$I$2)*Tabla2[[#This Row],[Cantidad]]</f>
        <v>0</v>
      </c>
      <c r="L32" s="7">
        <f>Tabla2[[#This Row],[Peso '[kg']]]*Tabla2[[#This Row],[Cantidad]]</f>
        <v>1.5899999999999998E-3</v>
      </c>
    </row>
    <row r="33" spans="1:12" x14ac:dyDescent="0.25">
      <c r="A33" s="1">
        <v>32</v>
      </c>
      <c r="B33" s="1" t="s">
        <v>82</v>
      </c>
      <c r="G33" s="4"/>
      <c r="H33" s="4"/>
      <c r="I33" s="7">
        <f>3.328/1000</f>
        <v>3.3279999999999998E-3</v>
      </c>
      <c r="J33" s="1">
        <v>2</v>
      </c>
      <c r="K33" s="5">
        <f>(Tabla2[[#This Row],[Precio US$]] + Tabla2[[#This Row],[Precio AR$]]/Totales!$I$2)*Tabla2[[#This Row],[Cantidad]]</f>
        <v>0</v>
      </c>
      <c r="L33" s="7">
        <f>Tabla2[[#This Row],[Peso '[kg']]]*Tabla2[[#This Row],[Cantidad]]</f>
        <v>6.6559999999999996E-3</v>
      </c>
    </row>
    <row r="34" spans="1:12" x14ac:dyDescent="0.25">
      <c r="G34" s="4"/>
      <c r="H34" s="4"/>
      <c r="I34" s="7"/>
      <c r="K34" s="5">
        <f>(Tabla2[[#This Row],[Precio US$]] + Tabla2[[#This Row],[Precio AR$]]/Totales!$I$2)*Tabla2[[#This Row],[Cantidad]]</f>
        <v>0</v>
      </c>
      <c r="L34" s="7">
        <f>Tabla2[[#This Row],[Peso '[kg']]]*Tabla2[[#This Row],[Cantidad]]</f>
        <v>0</v>
      </c>
    </row>
    <row r="35" spans="1:12" x14ac:dyDescent="0.25">
      <c r="G35" s="4"/>
      <c r="H35" s="4"/>
      <c r="I35" s="7"/>
      <c r="K35" s="5">
        <f>(Tabla2[[#This Row],[Precio US$]] + Tabla2[[#This Row],[Precio AR$]]/Totales!$I$2)*Tabla2[[#This Row],[Cantidad]]</f>
        <v>0</v>
      </c>
      <c r="L35" s="7">
        <f>Tabla2[[#This Row],[Peso '[kg']]]*Tabla2[[#This Row],[Cantidad]]</f>
        <v>0</v>
      </c>
    </row>
    <row r="36" spans="1:12" x14ac:dyDescent="0.25">
      <c r="G36" s="4"/>
      <c r="H36" s="4"/>
      <c r="I36" s="7"/>
      <c r="K36" s="5">
        <f>(Tabla2[[#This Row],[Precio US$]] + Tabla2[[#This Row],[Precio AR$]]/Totales!$I$2)*Tabla2[[#This Row],[Cantidad]]</f>
        <v>0</v>
      </c>
      <c r="L36" s="7">
        <f>Tabla2[[#This Row],[Peso '[kg']]]*Tabla2[[#This Row],[Cantidad]]</f>
        <v>0</v>
      </c>
    </row>
    <row r="37" spans="1:12" x14ac:dyDescent="0.25">
      <c r="G37" s="4"/>
      <c r="H37" s="4"/>
      <c r="I37" s="7"/>
      <c r="K37" s="5">
        <f>(Tabla2[[#This Row],[Precio US$]] + Tabla2[[#This Row],[Precio AR$]]/Totales!$I$2)*Tabla2[[#This Row],[Cantidad]]</f>
        <v>0</v>
      </c>
      <c r="L37" s="7">
        <f>Tabla2[[#This Row],[Peso '[kg']]]*Tabla2[[#This Row],[Cantidad]]</f>
        <v>0</v>
      </c>
    </row>
    <row r="38" spans="1:12" x14ac:dyDescent="0.25">
      <c r="G38" s="4"/>
      <c r="H38" s="4"/>
      <c r="I38" s="7"/>
      <c r="K38" s="5">
        <f>(Tabla2[[#This Row],[Precio US$]] + Tabla2[[#This Row],[Precio AR$]]/Totales!$I$2)*Tabla2[[#This Row],[Cantidad]]</f>
        <v>0</v>
      </c>
      <c r="L38" s="7">
        <f>Tabla2[[#This Row],[Peso '[kg']]]*Tabla2[[#This Row],[Cantidad]]</f>
        <v>0</v>
      </c>
    </row>
    <row r="39" spans="1:12" x14ac:dyDescent="0.25">
      <c r="F39" s="3"/>
      <c r="G39" s="4"/>
      <c r="H39" s="4"/>
      <c r="I39" s="7"/>
      <c r="K39" s="5">
        <f>(Tabla2[[#This Row],[Precio US$]] + Tabla2[[#This Row],[Precio AR$]]/Totales!$I$2)*Tabla2[[#This Row],[Cantidad]]</f>
        <v>0</v>
      </c>
      <c r="L39" s="7">
        <f>Tabla2[[#This Row],[Peso '[kg']]]*Tabla2[[#This Row],[Cantidad]]</f>
        <v>0</v>
      </c>
    </row>
    <row r="40" spans="1:12" x14ac:dyDescent="0.25">
      <c r="G40" s="8"/>
      <c r="H40" s="8"/>
      <c r="K40" s="5">
        <f>SUM(Tabla2[Total Precio US$])</f>
        <v>81.411276624339834</v>
      </c>
      <c r="L40" s="1">
        <f>SUM(Tabla2[Total Peso '[kg']])</f>
        <v>0.51878060934119485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32" sqref="F32"/>
    </sheetView>
  </sheetViews>
  <sheetFormatPr baseColWidth="10" defaultRowHeight="15" x14ac:dyDescent="0.25"/>
  <cols>
    <col min="1" max="1" width="12.7109375" customWidth="1"/>
    <col min="2" max="2" width="29.42578125" customWidth="1"/>
    <col min="3" max="3" width="14.28515625" bestFit="1" customWidth="1"/>
    <col min="4" max="4" width="21.140625" customWidth="1"/>
    <col min="5" max="5" width="40.85546875" bestFit="1" customWidth="1"/>
    <col min="6" max="6" width="9.140625" bestFit="1" customWidth="1"/>
    <col min="7" max="7" width="15.140625" bestFit="1" customWidth="1"/>
    <col min="8" max="8" width="15.140625" customWidth="1"/>
    <col min="9" max="9" width="13.7109375" bestFit="1" customWidth="1"/>
    <col min="10" max="10" width="13.28515625" bestFit="1" customWidth="1"/>
    <col min="11" max="11" width="20.42578125" customWidth="1"/>
    <col min="12" max="12" width="18.7109375" bestFit="1" customWidth="1"/>
  </cols>
  <sheetData>
    <row r="1" spans="1:12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4</v>
      </c>
      <c r="G1" s="2" t="s">
        <v>12</v>
      </c>
      <c r="H1" s="2" t="s">
        <v>112</v>
      </c>
      <c r="I1" s="2" t="s">
        <v>8</v>
      </c>
      <c r="J1" s="2" t="s">
        <v>6</v>
      </c>
      <c r="K1" s="2" t="s">
        <v>13</v>
      </c>
      <c r="L1" s="2" t="s">
        <v>7</v>
      </c>
    </row>
    <row r="2" spans="1:12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16</v>
      </c>
      <c r="F2" s="3"/>
      <c r="G2" s="4">
        <v>34.22</v>
      </c>
      <c r="H2" s="4"/>
      <c r="I2" s="7">
        <f>193/1000</f>
        <v>0.193</v>
      </c>
      <c r="J2" s="1">
        <v>1</v>
      </c>
      <c r="K2" s="5">
        <f>(Tabla24[[#This Row],[Precio US$]] + Tabla24[[#This Row],[Precio AR$]]/Totales!$I$2)*Tabla24[[#This Row],[Cantidad]]</f>
        <v>34.22</v>
      </c>
      <c r="L2" s="7">
        <f>Tabla24[[#This Row],[Peso '[kg']]]*Tabla24[[#This Row],[Cantidad]]</f>
        <v>0.193</v>
      </c>
    </row>
    <row r="3" spans="1:12" x14ac:dyDescent="0.25">
      <c r="A3" s="1">
        <v>2</v>
      </c>
      <c r="B3" s="1" t="s">
        <v>14</v>
      </c>
      <c r="C3" s="1" t="s">
        <v>15</v>
      </c>
      <c r="D3" s="1" t="s">
        <v>16</v>
      </c>
      <c r="E3" s="1" t="s">
        <v>20</v>
      </c>
      <c r="F3" s="3"/>
      <c r="G3" s="4"/>
      <c r="H3" s="4">
        <f>7350/(1000/67.87)</f>
        <v>498.84449999999998</v>
      </c>
      <c r="I3" s="7">
        <f>3.0355/1000</f>
        <v>3.0355E-3</v>
      </c>
      <c r="J3" s="1">
        <v>1</v>
      </c>
      <c r="K3" s="5">
        <f>(Tabla24[[#This Row],[Precio US$]] + Tabla24[[#This Row],[Precio AR$]]/Totales!$I$2)*Tabla24[[#This Row],[Cantidad]]</f>
        <v>0.50054133512607735</v>
      </c>
      <c r="L3" s="7">
        <f>Tabla24[[#This Row],[Peso '[kg']]]*Tabla24[[#This Row],[Cantidad]]</f>
        <v>3.0355E-3</v>
      </c>
    </row>
    <row r="4" spans="1:12" x14ac:dyDescent="0.25">
      <c r="A4" s="1">
        <v>3</v>
      </c>
      <c r="B4" s="1" t="s">
        <v>17</v>
      </c>
      <c r="C4" s="1" t="s">
        <v>18</v>
      </c>
      <c r="D4" s="1" t="s">
        <v>16</v>
      </c>
      <c r="E4" s="1" t="s">
        <v>21</v>
      </c>
      <c r="F4" s="3"/>
      <c r="G4" s="4"/>
      <c r="H4" s="4">
        <f>70022/(1200*600)*7793.483</f>
        <v>757.93787031388888</v>
      </c>
      <c r="I4" s="7">
        <f>23.15/1000</f>
        <v>2.3149999999999997E-2</v>
      </c>
      <c r="J4" s="1">
        <v>1</v>
      </c>
      <c r="K4" s="5">
        <f>(Tabla24[[#This Row],[Precio US$]] + Tabla24[[#This Row],[Precio AR$]]/Totales!$I$2)*Tabla24[[#This Row],[Cantidad]]</f>
        <v>0.76051601962040205</v>
      </c>
      <c r="L4" s="7">
        <f>Tabla24[[#This Row],[Peso '[kg']]]*Tabla24[[#This Row],[Cantidad]]</f>
        <v>2.3149999999999997E-2</v>
      </c>
    </row>
    <row r="5" spans="1:12" x14ac:dyDescent="0.25">
      <c r="A5" s="1">
        <v>4</v>
      </c>
      <c r="B5" s="1" t="s">
        <v>22</v>
      </c>
      <c r="C5" s="1" t="s">
        <v>18</v>
      </c>
      <c r="D5" s="1" t="s">
        <v>16</v>
      </c>
      <c r="E5" s="1" t="s">
        <v>21</v>
      </c>
      <c r="F5" s="3"/>
      <c r="G5" s="4"/>
      <c r="H5" s="4">
        <f>70022/(1200*600)*7394.587</f>
        <v>719.14412626944443</v>
      </c>
      <c r="I5" s="7">
        <f>21.657/1000</f>
        <v>2.1656999999999999E-2</v>
      </c>
      <c r="J5" s="1">
        <v>1</v>
      </c>
      <c r="K5" s="5">
        <f>(Tabla24[[#This Row],[Precio US$]] + Tabla24[[#This Row],[Precio AR$]]/Totales!$I$2)*Tabla24[[#This Row],[Cantidad]]</f>
        <v>0.72159031744558499</v>
      </c>
      <c r="L5" s="7">
        <f>Tabla24[[#This Row],[Peso '[kg']]]*Tabla24[[#This Row],[Cantidad]]</f>
        <v>2.1656999999999999E-2</v>
      </c>
    </row>
    <row r="6" spans="1:12" x14ac:dyDescent="0.25">
      <c r="A6" s="1">
        <v>5</v>
      </c>
      <c r="B6" s="1" t="s">
        <v>25</v>
      </c>
      <c r="C6" s="1" t="s">
        <v>26</v>
      </c>
      <c r="D6" s="1" t="s">
        <v>27</v>
      </c>
      <c r="E6" s="1" t="s">
        <v>28</v>
      </c>
      <c r="F6" s="1"/>
      <c r="G6" s="4"/>
      <c r="H6" s="4">
        <f>18746/15*9</f>
        <v>11247.6</v>
      </c>
      <c r="I6" s="7">
        <f>6.02/1000</f>
        <v>6.0199999999999993E-3</v>
      </c>
      <c r="J6" s="1">
        <v>2</v>
      </c>
      <c r="K6" s="5">
        <f>(Tabla24[[#This Row],[Precio US$]] + Tabla24[[#This Row],[Precio AR$]]/Totales!$I$2)*Tabla24[[#This Row],[Cantidad]]</f>
        <v>22.571718124441858</v>
      </c>
      <c r="L6" s="7">
        <f>Tabla24[[#This Row],[Peso '[kg']]]*Tabla24[[#This Row],[Cantidad]]</f>
        <v>1.2039999999999999E-2</v>
      </c>
    </row>
    <row r="7" spans="1:12" x14ac:dyDescent="0.25">
      <c r="A7" s="1">
        <v>6</v>
      </c>
      <c r="B7" s="1" t="s">
        <v>45</v>
      </c>
      <c r="C7" s="1" t="s">
        <v>23</v>
      </c>
      <c r="D7" s="1" t="s">
        <v>16</v>
      </c>
      <c r="E7" s="1" t="s">
        <v>24</v>
      </c>
      <c r="F7" s="1"/>
      <c r="G7" s="4"/>
      <c r="H7" s="4">
        <f>19800*Tabla24[[#This Row],[Peso '[kg']]]</f>
        <v>240.15419999999997</v>
      </c>
      <c r="I7" s="7">
        <f>12.129/1000</f>
        <v>1.2128999999999999E-2</v>
      </c>
      <c r="J7" s="1">
        <v>1</v>
      </c>
      <c r="K7" s="5">
        <f>(Tabla24[[#This Row],[Precio US$]] + Tabla24[[#This Row],[Precio AR$]]/Totales!$I$2)*Tabla24[[#This Row],[Cantidad]]</f>
        <v>0.24097109200188638</v>
      </c>
      <c r="L7" s="7">
        <f>Tabla24[[#This Row],[Peso '[kg']]]*Tabla24[[#This Row],[Cantidad]]</f>
        <v>1.2128999999999999E-2</v>
      </c>
    </row>
    <row r="8" spans="1:12" x14ac:dyDescent="0.25">
      <c r="A8" s="1">
        <v>7</v>
      </c>
      <c r="B8" s="1" t="s">
        <v>30</v>
      </c>
      <c r="C8" s="1" t="s">
        <v>31</v>
      </c>
      <c r="D8" s="1" t="s">
        <v>29</v>
      </c>
      <c r="E8" s="1" t="s">
        <v>16</v>
      </c>
      <c r="F8" s="3" t="str">
        <f>HYPERLINK("https://www.mouser.co.uk/ProductDetail/ams/AS5047P-TS_EK_AB/?qs=Rt6VE0PE%2FOfJKFTMKo%252BL0Q==","Link")</f>
        <v>Link</v>
      </c>
      <c r="G8" s="4">
        <v>15.75</v>
      </c>
      <c r="H8" s="4"/>
      <c r="I8" s="7">
        <v>1.7181256839E-2</v>
      </c>
      <c r="J8" s="1">
        <v>1</v>
      </c>
      <c r="K8" s="5">
        <f>(Tabla24[[#This Row],[Precio US$]] + Tabla24[[#This Row],[Precio AR$]]/Totales!$I$2)*Tabla24[[#This Row],[Cantidad]]</f>
        <v>15.75</v>
      </c>
      <c r="L8" s="7">
        <f>Tabla24[[#This Row],[Peso '[kg']]]*Tabla24[[#This Row],[Cantidad]]</f>
        <v>1.7181256839E-2</v>
      </c>
    </row>
    <row r="9" spans="1:12" x14ac:dyDescent="0.25">
      <c r="A9" s="1">
        <v>8</v>
      </c>
      <c r="B9" s="1" t="s">
        <v>35</v>
      </c>
      <c r="C9" s="1" t="s">
        <v>23</v>
      </c>
      <c r="D9" s="1" t="s">
        <v>16</v>
      </c>
      <c r="E9" s="1" t="s">
        <v>24</v>
      </c>
      <c r="F9" s="1"/>
      <c r="G9" s="4"/>
      <c r="H9" s="4">
        <f>19800*Tabla24[[#This Row],[Peso '[kg']]]</f>
        <v>62.310599999999994</v>
      </c>
      <c r="I9" s="7">
        <f>3.147/1000</f>
        <v>3.1469999999999996E-3</v>
      </c>
      <c r="J9" s="1">
        <v>4</v>
      </c>
      <c r="K9" s="5">
        <f>(Tabla24[[#This Row],[Precio US$]] + Tabla24[[#This Row],[Precio AR$]]/Totales!$I$2)*Tabla24[[#This Row],[Cantidad]]</f>
        <v>0.25009020579765401</v>
      </c>
      <c r="L9" s="7">
        <f>Tabla24[[#This Row],[Peso '[kg']]]*Tabla24[[#This Row],[Cantidad]]</f>
        <v>1.2587999999999998E-2</v>
      </c>
    </row>
    <row r="10" spans="1:12" x14ac:dyDescent="0.25">
      <c r="A10" s="1">
        <v>9</v>
      </c>
      <c r="B10" s="1" t="s">
        <v>32</v>
      </c>
      <c r="C10" s="1" t="s">
        <v>33</v>
      </c>
      <c r="D10" s="1" t="s">
        <v>34</v>
      </c>
      <c r="E10" s="1" t="s">
        <v>16</v>
      </c>
      <c r="F10" s="3"/>
      <c r="G10" s="4"/>
      <c r="H10" s="4">
        <f>7556/10</f>
        <v>755.6</v>
      </c>
      <c r="I10" s="7">
        <v>8.0000000000000002E-3</v>
      </c>
      <c r="J10" s="1">
        <v>5</v>
      </c>
      <c r="K10" s="5">
        <f>(Tabla24[[#This Row],[Precio US$]] + Tabla24[[#This Row],[Precio AR$]]/Totales!$I$2)*Tabla24[[#This Row],[Cantidad]]</f>
        <v>3.7908509848386029</v>
      </c>
      <c r="L10" s="7">
        <f>Tabla24[[#This Row],[Peso '[kg']]]*Tabla24[[#This Row],[Cantidad]]</f>
        <v>0.04</v>
      </c>
    </row>
    <row r="11" spans="1:12" x14ac:dyDescent="0.25">
      <c r="A11" s="1">
        <v>10</v>
      </c>
      <c r="B11" s="1" t="s">
        <v>36</v>
      </c>
      <c r="C11" s="1" t="s">
        <v>40</v>
      </c>
      <c r="D11" s="1" t="s">
        <v>16</v>
      </c>
      <c r="E11" s="1" t="s">
        <v>16</v>
      </c>
      <c r="F11" s="3"/>
      <c r="G11" s="4"/>
      <c r="H11" s="4"/>
      <c r="I11" s="6">
        <f>(1/2278)</f>
        <v>4.3898156277436348E-4</v>
      </c>
      <c r="J11" s="1">
        <v>4</v>
      </c>
      <c r="K11" s="5">
        <f>(Tabla24[[#This Row],[Precio US$]] + Tabla24[[#This Row],[Precio AR$]]/Totales!$I$2)*Tabla24[[#This Row],[Cantidad]]</f>
        <v>0</v>
      </c>
      <c r="L11" s="7">
        <f>Tabla24[[#This Row],[Peso '[kg']]]*Tabla24[[#This Row],[Cantidad]]</f>
        <v>1.7559262510974539E-3</v>
      </c>
    </row>
    <row r="12" spans="1:12" x14ac:dyDescent="0.25">
      <c r="A12" s="1">
        <v>11</v>
      </c>
      <c r="B12" s="1" t="s">
        <v>37</v>
      </c>
      <c r="C12" s="1" t="s">
        <v>38</v>
      </c>
      <c r="D12" s="1" t="s">
        <v>39</v>
      </c>
      <c r="E12" s="1" t="s">
        <v>16</v>
      </c>
      <c r="F12" s="3"/>
      <c r="G12" s="4"/>
      <c r="H12" s="4"/>
      <c r="I12" s="6">
        <f>0.43/1000</f>
        <v>4.2999999999999999E-4</v>
      </c>
      <c r="J12" s="1">
        <v>21</v>
      </c>
      <c r="K12" s="5">
        <f>(Tabla24[[#This Row],[Precio US$]] + Tabla24[[#This Row],[Precio AR$]]/Totales!$I$2)*Tabla24[[#This Row],[Cantidad]]</f>
        <v>0</v>
      </c>
      <c r="L12" s="7">
        <f>Tabla24[[#This Row],[Peso '[kg']]]*Tabla24[[#This Row],[Cantidad]]</f>
        <v>9.0299999999999998E-3</v>
      </c>
    </row>
    <row r="13" spans="1:12" x14ac:dyDescent="0.25">
      <c r="A13" s="1">
        <v>12</v>
      </c>
      <c r="B13" s="1" t="s">
        <v>48</v>
      </c>
      <c r="C13" s="1" t="s">
        <v>40</v>
      </c>
      <c r="D13" s="1" t="s">
        <v>41</v>
      </c>
      <c r="E13" s="1" t="s">
        <v>16</v>
      </c>
      <c r="F13" s="3"/>
      <c r="G13" s="4"/>
      <c r="H13" s="4"/>
      <c r="I13" s="6">
        <f>0.795/1000</f>
        <v>7.9500000000000003E-4</v>
      </c>
      <c r="J13" s="1">
        <v>20</v>
      </c>
      <c r="K13" s="5">
        <f>(Tabla24[[#This Row],[Precio US$]] + Tabla24[[#This Row],[Precio AR$]]/Totales!$I$2)*Tabla24[[#This Row],[Cantidad]]</f>
        <v>0</v>
      </c>
      <c r="L13" s="7">
        <f>Tabla24[[#This Row],[Peso '[kg']]]*Tabla24[[#This Row],[Cantidad]]</f>
        <v>1.5900000000000001E-2</v>
      </c>
    </row>
    <row r="14" spans="1:12" x14ac:dyDescent="0.25">
      <c r="A14" s="1">
        <v>14</v>
      </c>
      <c r="B14" s="1" t="s">
        <v>42</v>
      </c>
      <c r="C14" s="1" t="s">
        <v>23</v>
      </c>
      <c r="D14" s="1" t="s">
        <v>16</v>
      </c>
      <c r="E14" s="1" t="s">
        <v>24</v>
      </c>
      <c r="F14" s="1"/>
      <c r="G14" s="4"/>
      <c r="H14" s="4">
        <f>19800*Tabla24[[#This Row],[Peso '[kg']]]</f>
        <v>113.1768</v>
      </c>
      <c r="I14" s="7">
        <v>5.7159999999999997E-3</v>
      </c>
      <c r="J14" s="1">
        <v>1</v>
      </c>
      <c r="K14" s="5">
        <f>(Tabla24[[#This Row],[Precio US$]] + Tabla24[[#This Row],[Precio AR$]]/Totales!$I$2)*Tabla24[[#This Row],[Cantidad]]</f>
        <v>0.11356177441526775</v>
      </c>
      <c r="L14" s="7">
        <f>Tabla24[[#This Row],[Peso '[kg']]]*Tabla24[[#This Row],[Cantidad]]</f>
        <v>5.7159999999999997E-3</v>
      </c>
    </row>
    <row r="15" spans="1:12" x14ac:dyDescent="0.25">
      <c r="A15" s="1">
        <v>15</v>
      </c>
      <c r="B15" s="1" t="s">
        <v>43</v>
      </c>
      <c r="C15" s="1" t="s">
        <v>40</v>
      </c>
      <c r="D15" s="1" t="s">
        <v>16</v>
      </c>
      <c r="E15" s="1" t="s">
        <v>16</v>
      </c>
      <c r="F15" s="3"/>
      <c r="G15" s="4"/>
      <c r="H15" s="4"/>
      <c r="I15" s="6">
        <f>0.275/1000</f>
        <v>2.7500000000000002E-4</v>
      </c>
      <c r="J15" s="1">
        <v>6</v>
      </c>
      <c r="K15" s="5">
        <f>(Tabla24[[#This Row],[Precio US$]] + Tabla24[[#This Row],[Precio AR$]]/Totales!$I$2)*Tabla24[[#This Row],[Cantidad]]</f>
        <v>0</v>
      </c>
      <c r="L15" s="7">
        <f>Tabla24[[#This Row],[Peso '[kg']]]*Tabla24[[#This Row],[Cantidad]]</f>
        <v>1.65E-3</v>
      </c>
    </row>
    <row r="16" spans="1:12" x14ac:dyDescent="0.25">
      <c r="A16" s="1">
        <v>16</v>
      </c>
      <c r="B16" s="1" t="s">
        <v>79</v>
      </c>
      <c r="C16" s="1" t="s">
        <v>40</v>
      </c>
      <c r="D16" s="1" t="s">
        <v>16</v>
      </c>
      <c r="E16" s="1" t="s">
        <v>44</v>
      </c>
      <c r="F16" s="3"/>
      <c r="G16" s="4"/>
      <c r="H16" s="4"/>
      <c r="I16" s="6">
        <f>0.468/1000</f>
        <v>4.6800000000000005E-4</v>
      </c>
      <c r="J16" s="1">
        <v>4</v>
      </c>
      <c r="K16" s="5">
        <f>(Tabla24[[#This Row],[Precio US$]] + Tabla24[[#This Row],[Precio AR$]]/Totales!$I$2)*Tabla24[[#This Row],[Cantidad]]</f>
        <v>0</v>
      </c>
      <c r="L16" s="7">
        <f>Tabla24[[#This Row],[Peso '[kg']]]*Tabla24[[#This Row],[Cantidad]]</f>
        <v>1.8720000000000002E-3</v>
      </c>
    </row>
    <row r="17" spans="1:12" x14ac:dyDescent="0.25">
      <c r="A17" s="1">
        <v>17</v>
      </c>
      <c r="B17" s="1" t="s">
        <v>46</v>
      </c>
      <c r="C17" s="1" t="s">
        <v>23</v>
      </c>
      <c r="D17" s="1" t="s">
        <v>16</v>
      </c>
      <c r="E17" s="1" t="s">
        <v>24</v>
      </c>
      <c r="F17" s="1"/>
      <c r="G17" s="4"/>
      <c r="H17" s="4">
        <f>19800*Tabla24[[#This Row],[Peso '[kg']]]</f>
        <v>53.321400000000004</v>
      </c>
      <c r="I17" s="7">
        <f>2.693/1000</f>
        <v>2.6930000000000001E-3</v>
      </c>
      <c r="J17" s="1">
        <v>1</v>
      </c>
      <c r="K17" s="5">
        <f>(Tabla24[[#This Row],[Precio US$]] + Tabla24[[#This Row],[Precio AR$]]/Totales!$I$2)*Tabla24[[#This Row],[Cantidad]]</f>
        <v>5.3502774405233745E-2</v>
      </c>
      <c r="L17" s="7">
        <f>Tabla24[[#This Row],[Peso '[kg']]]*Tabla24[[#This Row],[Cantidad]]</f>
        <v>2.6930000000000001E-3</v>
      </c>
    </row>
    <row r="18" spans="1:12" x14ac:dyDescent="0.25">
      <c r="A18" s="1">
        <v>18</v>
      </c>
      <c r="B18" s="1" t="s">
        <v>78</v>
      </c>
      <c r="C18" s="1"/>
      <c r="D18" s="1"/>
      <c r="E18" s="1" t="s">
        <v>16</v>
      </c>
      <c r="F18" s="3"/>
      <c r="G18" s="4"/>
      <c r="H18" s="4"/>
      <c r="I18" s="6">
        <f>0.663/1000</f>
        <v>6.6300000000000007E-4</v>
      </c>
      <c r="J18" s="1">
        <v>2</v>
      </c>
      <c r="K18" s="5">
        <f>(Tabla24[[#This Row],[Precio US$]] + Tabla24[[#This Row],[Precio AR$]]/Totales!$I$2)*Tabla24[[#This Row],[Cantidad]]</f>
        <v>0</v>
      </c>
      <c r="L18" s="7">
        <f>Tabla24[[#This Row],[Peso '[kg']]]*Tabla24[[#This Row],[Cantidad]]</f>
        <v>1.3260000000000001E-3</v>
      </c>
    </row>
    <row r="19" spans="1:12" x14ac:dyDescent="0.25">
      <c r="A19" s="1">
        <v>19</v>
      </c>
      <c r="B19" s="1" t="s">
        <v>47</v>
      </c>
      <c r="C19" s="1" t="s">
        <v>23</v>
      </c>
      <c r="D19" s="1" t="s">
        <v>16</v>
      </c>
      <c r="E19" s="1" t="s">
        <v>24</v>
      </c>
      <c r="F19" s="3"/>
      <c r="G19" s="4"/>
      <c r="H19" s="4">
        <f>19800*Tabla24[[#This Row],[Peso '[kg']]]</f>
        <v>572.8338</v>
      </c>
      <c r="I19" s="6">
        <v>2.8930999999999998E-2</v>
      </c>
      <c r="J19" s="1">
        <v>1</v>
      </c>
      <c r="K19" s="5">
        <f>(Tabla24[[#This Row],[Precio US$]] + Tabla24[[#This Row],[Precio AR$]]/Totales!$I$2)*Tabla24[[#This Row],[Cantidad]]</f>
        <v>0.57478231203780816</v>
      </c>
      <c r="L19" s="7">
        <f>Tabla24[[#This Row],[Peso '[kg']]]*Tabla24[[#This Row],[Cantidad]]</f>
        <v>2.8930999999999998E-2</v>
      </c>
    </row>
    <row r="20" spans="1:12" x14ac:dyDescent="0.25">
      <c r="A20" s="1">
        <v>20</v>
      </c>
      <c r="B20" s="1" t="s">
        <v>65</v>
      </c>
      <c r="C20" s="1"/>
      <c r="D20" s="1" t="s">
        <v>16</v>
      </c>
      <c r="E20" s="1" t="s">
        <v>16</v>
      </c>
      <c r="F20" s="3"/>
      <c r="G20" s="4"/>
      <c r="H20" s="4"/>
      <c r="I20" s="6">
        <f>1.068/1000</f>
        <v>1.0680000000000002E-3</v>
      </c>
      <c r="J20" s="1">
        <v>3</v>
      </c>
      <c r="K20" s="5">
        <f>(Tabla24[[#This Row],[Precio US$]] + Tabla24[[#This Row],[Precio AR$]]/Totales!$I$2)*Tabla24[[#This Row],[Cantidad]]</f>
        <v>0</v>
      </c>
      <c r="L20" s="7">
        <f>Tabla24[[#This Row],[Peso '[kg']]]*Tabla24[[#This Row],[Cantidad]]</f>
        <v>3.2040000000000003E-3</v>
      </c>
    </row>
    <row r="21" spans="1:12" x14ac:dyDescent="0.25">
      <c r="A21" s="1">
        <v>21</v>
      </c>
      <c r="B21" s="1" t="s">
        <v>72</v>
      </c>
      <c r="C21" s="1" t="s">
        <v>40</v>
      </c>
      <c r="D21" s="1" t="s">
        <v>16</v>
      </c>
      <c r="E21" s="1" t="s">
        <v>16</v>
      </c>
      <c r="F21" s="3"/>
      <c r="G21" s="4"/>
      <c r="H21" s="4"/>
      <c r="I21" s="7">
        <f>2.56/1000</f>
        <v>2.5600000000000002E-3</v>
      </c>
      <c r="J21" s="1">
        <v>2</v>
      </c>
      <c r="K21" s="5">
        <f>(Tabla24[[#This Row],[Precio US$]] + Tabla24[[#This Row],[Precio AR$]]/Totales!$I$2)*Tabla24[[#This Row],[Cantidad]]</f>
        <v>0</v>
      </c>
      <c r="L21" s="7">
        <f>Tabla24[[#This Row],[Peso '[kg']]]*Tabla24[[#This Row],[Cantidad]]</f>
        <v>5.1200000000000004E-3</v>
      </c>
    </row>
    <row r="22" spans="1:12" x14ac:dyDescent="0.25">
      <c r="A22" s="1">
        <v>22</v>
      </c>
      <c r="B22" s="1" t="s">
        <v>66</v>
      </c>
      <c r="C22" s="1" t="s">
        <v>40</v>
      </c>
      <c r="D22" s="1" t="s">
        <v>16</v>
      </c>
      <c r="E22" s="1" t="s">
        <v>16</v>
      </c>
      <c r="F22" s="3"/>
      <c r="G22" s="4"/>
      <c r="H22" s="4"/>
      <c r="I22" s="7">
        <f>2.163/1000</f>
        <v>2.163E-3</v>
      </c>
      <c r="J22" s="1">
        <v>2</v>
      </c>
      <c r="K22" s="5">
        <f>(Tabla24[[#This Row],[Precio US$]] + Tabla24[[#This Row],[Precio AR$]]/Totales!$I$2)*Tabla24[[#This Row],[Cantidad]]</f>
        <v>0</v>
      </c>
      <c r="L22" s="7">
        <f>Tabla24[[#This Row],[Peso '[kg']]]*Tabla24[[#This Row],[Cantidad]]</f>
        <v>4.326E-3</v>
      </c>
    </row>
    <row r="23" spans="1:12" x14ac:dyDescent="0.25">
      <c r="A23" s="1">
        <v>23</v>
      </c>
      <c r="B23" s="1" t="s">
        <v>49</v>
      </c>
      <c r="C23" s="1" t="s">
        <v>23</v>
      </c>
      <c r="D23" s="1" t="s">
        <v>16</v>
      </c>
      <c r="E23" s="1" t="s">
        <v>24</v>
      </c>
      <c r="F23" s="1"/>
      <c r="G23" s="4"/>
      <c r="H23" s="4">
        <f>19800*Tabla24[[#This Row],[Peso '[kg']]]</f>
        <v>1234.4508000000001</v>
      </c>
      <c r="I23" s="7">
        <f>62.346/1000</f>
        <v>6.2345999999999999E-2</v>
      </c>
      <c r="J23" s="1">
        <v>1</v>
      </c>
      <c r="K23" s="5">
        <f>(Tabla24[[#This Row],[Precio US$]] + Tabla24[[#This Row],[Precio AR$]]/Totales!$I$2)*Tabla24[[#This Row],[Cantidad]]</f>
        <v>1.2386498228996299</v>
      </c>
      <c r="L23" s="7">
        <f>Tabla24[[#This Row],[Peso '[kg']]]*Tabla24[[#This Row],[Cantidad]]</f>
        <v>6.2345999999999999E-2</v>
      </c>
    </row>
    <row r="24" spans="1:12" x14ac:dyDescent="0.25">
      <c r="A24" s="1">
        <v>24</v>
      </c>
      <c r="B24" s="1" t="s">
        <v>69</v>
      </c>
      <c r="C24" s="1" t="s">
        <v>40</v>
      </c>
      <c r="D24" s="1" t="s">
        <v>16</v>
      </c>
      <c r="E24" s="1" t="s">
        <v>16</v>
      </c>
      <c r="F24" s="3"/>
      <c r="G24" s="4"/>
      <c r="H24" s="4"/>
      <c r="I24" s="7">
        <f>0.906/1000</f>
        <v>9.0600000000000001E-4</v>
      </c>
      <c r="J24" s="1">
        <v>4</v>
      </c>
      <c r="K24" s="5">
        <f>(Tabla24[[#This Row],[Precio US$]] + Tabla24[[#This Row],[Precio AR$]]/Totales!$I$2)*Tabla24[[#This Row],[Cantidad]]</f>
        <v>0</v>
      </c>
      <c r="L24" s="7">
        <f>Tabla24[[#This Row],[Peso '[kg']]]*Tabla24[[#This Row],[Cantidad]]</f>
        <v>3.6240000000000001E-3</v>
      </c>
    </row>
    <row r="25" spans="1:12" x14ac:dyDescent="0.25">
      <c r="A25" s="1">
        <v>25</v>
      </c>
      <c r="B25" s="1" t="s">
        <v>50</v>
      </c>
      <c r="C25" s="1" t="s">
        <v>40</v>
      </c>
      <c r="D25" s="1" t="s">
        <v>16</v>
      </c>
      <c r="E25" s="1" t="s">
        <v>16</v>
      </c>
      <c r="F25" s="3"/>
      <c r="G25" s="4"/>
      <c r="H25" s="4"/>
      <c r="I25" s="7">
        <f>0.801/1000</f>
        <v>8.0100000000000006E-4</v>
      </c>
      <c r="J25" s="1">
        <v>7</v>
      </c>
      <c r="K25" s="5">
        <f>(Tabla24[[#This Row],[Precio US$]] + Tabla24[[#This Row],[Precio AR$]]/Totales!$I$2)*Tabla24[[#This Row],[Cantidad]]</f>
        <v>0</v>
      </c>
      <c r="L25" s="7">
        <f>Tabla24[[#This Row],[Peso '[kg']]]*Tabla24[[#This Row],[Cantidad]]</f>
        <v>5.6070000000000009E-3</v>
      </c>
    </row>
    <row r="26" spans="1:12" x14ac:dyDescent="0.25">
      <c r="A26" s="1">
        <v>26</v>
      </c>
      <c r="B26" s="1" t="s">
        <v>83</v>
      </c>
      <c r="C26" s="1" t="s">
        <v>23</v>
      </c>
      <c r="D26" s="1"/>
      <c r="E26" s="1" t="s">
        <v>24</v>
      </c>
      <c r="F26" s="3"/>
      <c r="G26" s="4"/>
      <c r="H26" s="4">
        <f>19800*Tabla24[[#This Row],[Peso '[kg']]]</f>
        <v>130.3038</v>
      </c>
      <c r="I26" s="7">
        <v>6.581E-3</v>
      </c>
      <c r="J26" s="1">
        <v>1</v>
      </c>
      <c r="K26" s="5">
        <f>(Tabla24[[#This Row],[Precio US$]] + Tabla24[[#This Row],[Precio AR$]]/Totales!$I$2)*Tabla24[[#This Row],[Cantidad]]</f>
        <v>0.13074703243997149</v>
      </c>
      <c r="L26" s="7">
        <f>Tabla24[[#This Row],[Peso '[kg']]]*Tabla24[[#This Row],[Cantidad]]</f>
        <v>6.581E-3</v>
      </c>
    </row>
    <row r="27" spans="1:12" x14ac:dyDescent="0.25">
      <c r="A27" s="1">
        <v>27</v>
      </c>
      <c r="B27" s="1" t="s">
        <v>81</v>
      </c>
      <c r="C27" s="1"/>
      <c r="D27" s="1"/>
      <c r="E27" s="1"/>
      <c r="F27" s="3"/>
      <c r="G27" s="4"/>
      <c r="H27" s="4"/>
      <c r="I27" s="7">
        <v>5.0000000000000001E-4</v>
      </c>
      <c r="J27" s="1">
        <v>6</v>
      </c>
      <c r="K27" s="5">
        <f>(Tabla24[[#This Row],[Precio US$]] + Tabla24[[#This Row],[Precio AR$]]/Totales!$I$2)*Tabla24[[#This Row],[Cantidad]]</f>
        <v>0</v>
      </c>
      <c r="L27" s="7">
        <f>Tabla24[[#This Row],[Peso '[kg']]]*Tabla24[[#This Row],[Cantidad]]</f>
        <v>3.0000000000000001E-3</v>
      </c>
    </row>
    <row r="28" spans="1:12" x14ac:dyDescent="0.25">
      <c r="A28" s="1">
        <v>28</v>
      </c>
      <c r="B28" s="1" t="s">
        <v>84</v>
      </c>
      <c r="C28" s="1"/>
      <c r="D28" s="1"/>
      <c r="E28" s="1"/>
      <c r="F28" s="3"/>
      <c r="G28" s="4"/>
      <c r="H28" s="4"/>
      <c r="I28" s="7">
        <v>3.5000000000000001E-3</v>
      </c>
      <c r="J28" s="1">
        <v>3</v>
      </c>
      <c r="K28" s="5">
        <f>(Tabla24[[#This Row],[Precio US$]] + Tabla24[[#This Row],[Precio AR$]]/Totales!$I$2)*Tabla24[[#This Row],[Cantidad]]</f>
        <v>0</v>
      </c>
      <c r="L28" s="7">
        <f>Tabla24[[#This Row],[Peso '[kg']]]*Tabla24[[#This Row],[Cantidad]]</f>
        <v>1.0500000000000001E-2</v>
      </c>
    </row>
    <row r="29" spans="1:12" x14ac:dyDescent="0.25">
      <c r="A29" s="1">
        <v>29</v>
      </c>
      <c r="B29" s="1" t="s">
        <v>82</v>
      </c>
      <c r="C29" s="1"/>
      <c r="D29" s="1"/>
      <c r="E29" s="1"/>
      <c r="F29" s="3"/>
      <c r="G29" s="4"/>
      <c r="H29" s="4"/>
      <c r="I29" s="7">
        <v>3.3279999999999998E-3</v>
      </c>
      <c r="J29" s="1">
        <v>2</v>
      </c>
      <c r="K29" s="5">
        <f>(Tabla24[[#This Row],[Precio US$]] + Tabla24[[#This Row],[Precio AR$]]/Totales!$I$2)*Tabla24[[#This Row],[Cantidad]]</f>
        <v>0</v>
      </c>
      <c r="L29" s="7">
        <f>Tabla24[[#This Row],[Peso '[kg']]]*Tabla24[[#This Row],[Cantidad]]</f>
        <v>6.6559999999999996E-3</v>
      </c>
    </row>
    <row r="30" spans="1:12" x14ac:dyDescent="0.25">
      <c r="A30" s="1">
        <v>30</v>
      </c>
      <c r="B30" s="1"/>
      <c r="C30" s="1"/>
      <c r="D30" s="1"/>
      <c r="E30" s="1"/>
      <c r="F30" s="3"/>
      <c r="G30" s="4"/>
      <c r="H30" s="4"/>
      <c r="I30" s="7">
        <v>0</v>
      </c>
      <c r="J30" s="1">
        <v>0</v>
      </c>
      <c r="K30" s="5">
        <f>(Tabla24[[#This Row],[Precio US$]] + Tabla24[[#This Row],[Precio AR$]]/Totales!$I$2)*Tabla24[[#This Row],[Cantidad]]</f>
        <v>0</v>
      </c>
      <c r="L30" s="7">
        <f>Tabla24[[#This Row],[Peso '[kg']]]*Tabla24[[#This Row],[Cantidad]]</f>
        <v>0</v>
      </c>
    </row>
    <row r="31" spans="1:12" x14ac:dyDescent="0.25">
      <c r="A31" s="1">
        <v>31</v>
      </c>
      <c r="B31" s="1"/>
      <c r="C31" s="1"/>
      <c r="D31" s="1"/>
      <c r="E31" s="1"/>
      <c r="F31" s="3"/>
      <c r="G31" s="4"/>
      <c r="H31" s="4"/>
      <c r="I31" s="7">
        <v>0</v>
      </c>
      <c r="J31" s="1">
        <v>0</v>
      </c>
      <c r="K31" s="5">
        <f>(Tabla24[[#This Row],[Precio US$]] + Tabla24[[#This Row],[Precio AR$]]/Totales!$I$2)*Tabla24[[#This Row],[Cantidad]]</f>
        <v>0</v>
      </c>
      <c r="L31" s="7">
        <f>Tabla24[[#This Row],[Peso '[kg']]]*Tabla24[[#This Row],[Cantidad]]</f>
        <v>0</v>
      </c>
    </row>
    <row r="32" spans="1:12" x14ac:dyDescent="0.25">
      <c r="A32" s="1">
        <v>32</v>
      </c>
      <c r="B32" s="1"/>
      <c r="C32" s="1"/>
      <c r="D32" s="1"/>
      <c r="E32" s="1"/>
      <c r="F32" s="3"/>
      <c r="G32" s="4"/>
      <c r="H32" s="4"/>
      <c r="I32" s="7">
        <v>0</v>
      </c>
      <c r="J32" s="1">
        <v>0</v>
      </c>
      <c r="K32" s="5">
        <f>(Tabla24[[#This Row],[Precio US$]] + Tabla24[[#This Row],[Precio AR$]]/Totales!$I$2)*Tabla24[[#This Row],[Cantidad]]</f>
        <v>0</v>
      </c>
      <c r="L32" s="7">
        <f>Tabla24[[#This Row],[Peso '[kg']]]*Tabla24[[#This Row],[Cantidad]]</f>
        <v>0</v>
      </c>
    </row>
    <row r="33" spans="1:12" x14ac:dyDescent="0.25">
      <c r="A33" s="1">
        <v>33</v>
      </c>
      <c r="B33" s="1"/>
      <c r="C33" s="1"/>
      <c r="D33" s="1"/>
      <c r="E33" s="1"/>
      <c r="F33" s="3"/>
      <c r="G33" s="4"/>
      <c r="H33" s="4"/>
      <c r="I33" s="7">
        <v>0</v>
      </c>
      <c r="J33" s="1">
        <v>0</v>
      </c>
      <c r="K33" s="5">
        <f>(Tabla24[[#This Row],[Precio US$]] + Tabla24[[#This Row],[Precio AR$]]/Totales!$I$2)*Tabla24[[#This Row],[Cantidad]]</f>
        <v>0</v>
      </c>
      <c r="L33" s="7">
        <f>Tabla24[[#This Row],[Peso '[kg']]]*Tabla24[[#This Row],[Cantidad]]</f>
        <v>0</v>
      </c>
    </row>
    <row r="34" spans="1:12" x14ac:dyDescent="0.25">
      <c r="A34" s="1"/>
      <c r="B34" s="1"/>
      <c r="C34" s="1"/>
      <c r="D34" s="1"/>
      <c r="E34" s="1"/>
      <c r="F34" s="1"/>
      <c r="G34" s="8"/>
      <c r="H34" s="8"/>
      <c r="I34" s="1"/>
      <c r="J34" s="1"/>
      <c r="K34" s="5">
        <f>SUM(Tabla24[Total Precio US$])</f>
        <v>80.917521795469966</v>
      </c>
      <c r="L34" s="1">
        <f>SUM(Tabla24[Total Peso '[kg']])</f>
        <v>0.5146186830900974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4" sqref="F4"/>
    </sheetView>
  </sheetViews>
  <sheetFormatPr baseColWidth="10" defaultRowHeight="15" x14ac:dyDescent="0.25"/>
  <cols>
    <col min="1" max="1" width="12.28515625" bestFit="1" customWidth="1"/>
    <col min="2" max="2" width="27.85546875" customWidth="1"/>
    <col min="3" max="3" width="14.28515625" bestFit="1" customWidth="1"/>
    <col min="4" max="4" width="21.5703125" customWidth="1"/>
    <col min="5" max="5" width="40.85546875" bestFit="1" customWidth="1"/>
    <col min="6" max="6" width="9.140625" bestFit="1" customWidth="1"/>
    <col min="7" max="7" width="15.140625" bestFit="1" customWidth="1"/>
    <col min="8" max="8" width="15.140625" customWidth="1"/>
    <col min="9" max="9" width="13.7109375" bestFit="1" customWidth="1"/>
    <col min="10" max="10" width="13.28515625" bestFit="1" customWidth="1"/>
    <col min="11" max="11" width="20" customWidth="1"/>
    <col min="12" max="12" width="18.7109375" bestFit="1" customWidth="1"/>
  </cols>
  <sheetData>
    <row r="1" spans="1:12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4</v>
      </c>
      <c r="G1" s="2" t="s">
        <v>12</v>
      </c>
      <c r="H1" s="2" t="s">
        <v>112</v>
      </c>
      <c r="I1" s="2" t="s">
        <v>8</v>
      </c>
      <c r="J1" s="2" t="s">
        <v>6</v>
      </c>
      <c r="K1" s="2" t="s">
        <v>13</v>
      </c>
      <c r="L1" s="2" t="s">
        <v>7</v>
      </c>
    </row>
    <row r="2" spans="1:12" x14ac:dyDescent="0.25">
      <c r="A2" s="1">
        <v>1</v>
      </c>
      <c r="B2" s="1" t="s">
        <v>85</v>
      </c>
      <c r="C2" s="1"/>
      <c r="D2" s="1" t="s">
        <v>16</v>
      </c>
      <c r="E2" s="1" t="s">
        <v>16</v>
      </c>
      <c r="F2" s="3"/>
      <c r="G2" s="4"/>
      <c r="H2" s="4"/>
      <c r="I2" s="7">
        <f>16.8/1000</f>
        <v>1.6800000000000002E-2</v>
      </c>
      <c r="J2" s="1">
        <v>1</v>
      </c>
      <c r="K2" s="5">
        <f>(Tabla245[[#This Row],[Precio US$]] + Tabla245[[#This Row],[Precio AR$]]/Totales!$I$2)*Tabla245[[#This Row],[Cantidad]]</f>
        <v>0</v>
      </c>
      <c r="L2" s="7">
        <f>Tabla245[[#This Row],[Peso '[kg']]]*Tabla245[[#This Row],[Cantidad]]</f>
        <v>1.6800000000000002E-2</v>
      </c>
    </row>
    <row r="3" spans="1:12" x14ac:dyDescent="0.25">
      <c r="A3" s="1">
        <v>2</v>
      </c>
      <c r="B3" s="1" t="s">
        <v>53</v>
      </c>
      <c r="C3" s="1"/>
      <c r="D3" s="1" t="s">
        <v>16</v>
      </c>
      <c r="E3" s="1" t="s">
        <v>16</v>
      </c>
      <c r="F3" s="3"/>
      <c r="G3" s="4"/>
      <c r="H3" s="4"/>
      <c r="I3" s="7">
        <v>0.02</v>
      </c>
      <c r="J3" s="1">
        <v>1</v>
      </c>
      <c r="K3" s="5">
        <f>(Tabla245[[#This Row],[Precio US$]] + Tabla245[[#This Row],[Precio AR$]]/Totales!$I$2)*Tabla245[[#This Row],[Cantidad]]</f>
        <v>0</v>
      </c>
      <c r="L3" s="7">
        <f>Tabla245[[#This Row],[Peso '[kg']]]*Tabla245[[#This Row],[Cantidad]]</f>
        <v>0.02</v>
      </c>
    </row>
    <row r="4" spans="1:12" x14ac:dyDescent="0.25">
      <c r="A4" s="1">
        <v>3</v>
      </c>
      <c r="B4" s="1" t="s">
        <v>52</v>
      </c>
      <c r="C4" s="1" t="s">
        <v>23</v>
      </c>
      <c r="D4" s="1" t="s">
        <v>16</v>
      </c>
      <c r="E4" s="1" t="s">
        <v>24</v>
      </c>
      <c r="F4" s="1"/>
      <c r="G4" s="4"/>
      <c r="H4" s="4">
        <f>19800*Tabla245[[#This Row],[Peso '[kg']]]</f>
        <v>592.57439999999997</v>
      </c>
      <c r="I4" s="7">
        <f>29.928/1000</f>
        <v>2.9928E-2</v>
      </c>
      <c r="J4" s="1">
        <v>1</v>
      </c>
      <c r="K4" s="5">
        <f>(Tabla245[[#This Row],[Precio US$]] + Tabla245[[#This Row],[Precio AR$]]/Totales!$I$2)*Tabla245[[#This Row],[Cantidad]]</f>
        <v>0.59459006030443196</v>
      </c>
      <c r="L4" s="7">
        <f>Tabla245[[#This Row],[Peso '[kg']]]*Tabla245[[#This Row],[Cantidad]]</f>
        <v>2.9928E-2</v>
      </c>
    </row>
    <row r="5" spans="1:12" x14ac:dyDescent="0.25">
      <c r="A5" s="1">
        <v>4</v>
      </c>
      <c r="B5" s="1"/>
      <c r="C5" s="1"/>
      <c r="D5" s="1"/>
      <c r="E5" s="1"/>
      <c r="F5" s="1"/>
      <c r="G5" s="4"/>
      <c r="H5" s="4"/>
      <c r="I5" s="7"/>
      <c r="J5" s="1"/>
      <c r="K5" s="5">
        <f>(Tabla245[[#This Row],[Precio US$]] + Tabla245[[#This Row],[Precio AR$]]/Totales!$I$2)*Tabla245[[#This Row],[Cantidad]]</f>
        <v>0</v>
      </c>
      <c r="L5" s="7"/>
    </row>
    <row r="6" spans="1:12" x14ac:dyDescent="0.25">
      <c r="A6" s="1">
        <v>5</v>
      </c>
      <c r="B6" s="1"/>
      <c r="C6" s="1"/>
      <c r="D6" s="1"/>
      <c r="E6" s="1"/>
      <c r="F6" s="3"/>
      <c r="G6" s="4"/>
      <c r="H6" s="4"/>
      <c r="I6" s="7"/>
      <c r="J6" s="1"/>
      <c r="K6" s="5"/>
      <c r="L6" s="7"/>
    </row>
    <row r="7" spans="1:12" x14ac:dyDescent="0.25">
      <c r="A7" s="1"/>
      <c r="B7" s="1"/>
      <c r="C7" s="1"/>
      <c r="D7" s="1"/>
      <c r="E7" s="1"/>
      <c r="F7" s="1"/>
      <c r="G7" s="8"/>
      <c r="H7" s="8"/>
      <c r="I7" s="1"/>
      <c r="J7" s="1"/>
      <c r="K7" s="5">
        <f>SUM(Tabla245[Total Precio US$])</f>
        <v>0.59459006030443196</v>
      </c>
      <c r="L7" s="1">
        <f>SUM(Tabla245[Total Peso '[kg']])</f>
        <v>6.6727999999999996E-2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2" workbookViewId="0">
      <selection activeCell="F59" sqref="F59"/>
    </sheetView>
  </sheetViews>
  <sheetFormatPr baseColWidth="10" defaultRowHeight="15" x14ac:dyDescent="0.25"/>
  <cols>
    <col min="1" max="1" width="12.28515625" bestFit="1" customWidth="1"/>
    <col min="2" max="2" width="34.5703125" customWidth="1"/>
    <col min="3" max="3" width="14.28515625" bestFit="1" customWidth="1"/>
    <col min="4" max="4" width="29.5703125" bestFit="1" customWidth="1"/>
    <col min="5" max="5" width="45.42578125" bestFit="1" customWidth="1"/>
    <col min="6" max="6" width="9.140625" bestFit="1" customWidth="1"/>
    <col min="7" max="7" width="15.140625" bestFit="1" customWidth="1"/>
    <col min="8" max="8" width="15.140625" customWidth="1"/>
    <col min="9" max="9" width="13.7109375" bestFit="1" customWidth="1"/>
    <col min="10" max="10" width="13.28515625" bestFit="1" customWidth="1"/>
    <col min="11" max="11" width="20" bestFit="1" customWidth="1"/>
    <col min="12" max="12" width="18.7109375" bestFit="1" customWidth="1"/>
  </cols>
  <sheetData>
    <row r="1" spans="1:12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4</v>
      </c>
      <c r="G1" s="2" t="s">
        <v>12</v>
      </c>
      <c r="H1" s="2" t="s">
        <v>112</v>
      </c>
      <c r="I1" s="2" t="s">
        <v>8</v>
      </c>
      <c r="J1" s="2" t="s">
        <v>6</v>
      </c>
      <c r="K1" s="2" t="s">
        <v>13</v>
      </c>
      <c r="L1" s="2" t="s">
        <v>7</v>
      </c>
    </row>
    <row r="2" spans="1:12" x14ac:dyDescent="0.25">
      <c r="A2" s="9">
        <v>1</v>
      </c>
      <c r="B2" s="1" t="s">
        <v>62</v>
      </c>
      <c r="C2" s="1"/>
      <c r="D2" s="1" t="s">
        <v>16</v>
      </c>
      <c r="E2" s="1" t="s">
        <v>16</v>
      </c>
      <c r="F2" s="3"/>
      <c r="G2" s="4"/>
      <c r="H2" s="4"/>
      <c r="I2" s="7">
        <f>69.441/1000</f>
        <v>6.9441000000000003E-2</v>
      </c>
      <c r="J2" s="1">
        <v>4</v>
      </c>
      <c r="K2" s="11">
        <f>(Tabla2457[[#This Row],[Precio US$]] + Tabla2457[[#This Row],[Precio AR$]]/Totales!$I$2)*Tabla2457[[#This Row],[Cantidad]]</f>
        <v>0</v>
      </c>
      <c r="L2" s="10">
        <f>Tabla2457[[#This Row],[Peso '[kg']]]*Tabla2457[[#This Row],[Cantidad]]</f>
        <v>0.27776400000000001</v>
      </c>
    </row>
    <row r="3" spans="1:12" x14ac:dyDescent="0.25">
      <c r="A3" s="9">
        <v>2</v>
      </c>
      <c r="B3" s="1" t="s">
        <v>60</v>
      </c>
      <c r="C3" s="1"/>
      <c r="D3" s="1"/>
      <c r="E3" s="1"/>
      <c r="F3" s="3"/>
      <c r="G3" s="4"/>
      <c r="H3" s="4">
        <f>70022/(1200*600)*20909</f>
        <v>2033.4583305555554</v>
      </c>
      <c r="I3" s="7">
        <f>67.745/1000</f>
        <v>6.7745E-2</v>
      </c>
      <c r="J3" s="1">
        <v>2</v>
      </c>
      <c r="K3" s="11">
        <f>(Tabla2457[[#This Row],[Precio US$]] + Tabla2457[[#This Row],[Precio AR$]]/Totales!$I$2)*Tabla2457[[#This Row],[Cantidad]]</f>
        <v>4.0807504049840064</v>
      </c>
      <c r="L3" s="10">
        <f>Tabla2457[[#This Row],[Peso '[kg']]]*Tabla2457[[#This Row],[Cantidad]]</f>
        <v>0.13549</v>
      </c>
    </row>
    <row r="4" spans="1:12" x14ac:dyDescent="0.25">
      <c r="A4" s="9">
        <v>3</v>
      </c>
      <c r="B4" s="1" t="s">
        <v>61</v>
      </c>
      <c r="C4" s="1"/>
      <c r="D4" s="1"/>
      <c r="E4" s="1"/>
      <c r="F4" s="3"/>
      <c r="G4" s="4"/>
      <c r="H4" s="4">
        <f>70022/(1200*600)*20173</f>
        <v>1961.880286111111</v>
      </c>
      <c r="I4" s="7">
        <f>65.362/1000</f>
        <v>6.536199999999999E-2</v>
      </c>
      <c r="J4" s="1">
        <v>4</v>
      </c>
      <c r="K4" s="11">
        <f>(Tabla2457[[#This Row],[Precio US$]] + Tabla2457[[#This Row],[Precio AR$]]/Totales!$I$2)*Tabla2457[[#This Row],[Cantidad]]</f>
        <v>7.8742147323872365</v>
      </c>
      <c r="L4" s="10">
        <f>Tabla2457[[#This Row],[Peso '[kg']]]*Tabla2457[[#This Row],[Cantidad]]</f>
        <v>0.26144799999999996</v>
      </c>
    </row>
    <row r="5" spans="1:12" x14ac:dyDescent="0.25">
      <c r="A5" s="9">
        <v>4</v>
      </c>
      <c r="B5" s="1" t="s">
        <v>9</v>
      </c>
      <c r="C5" s="1" t="s">
        <v>10</v>
      </c>
      <c r="D5" s="1" t="s">
        <v>11</v>
      </c>
      <c r="E5" s="1" t="s">
        <v>16</v>
      </c>
      <c r="F5" s="3"/>
      <c r="G5" s="4">
        <v>34.22</v>
      </c>
      <c r="H5" s="4"/>
      <c r="I5" s="7">
        <f>193/1000</f>
        <v>0.193</v>
      </c>
      <c r="J5" s="1">
        <v>4</v>
      </c>
      <c r="K5" s="11">
        <f>(Tabla2457[[#This Row],[Precio US$]] + Tabla2457[[#This Row],[Precio AR$]]/Totales!$I$2)*Tabla2457[[#This Row],[Cantidad]]</f>
        <v>136.88</v>
      </c>
      <c r="L5" s="10">
        <f>Tabla2457[[#This Row],[Peso '[kg']]]*Tabla2457[[#This Row],[Cantidad]]</f>
        <v>0.77200000000000002</v>
      </c>
    </row>
    <row r="6" spans="1:12" x14ac:dyDescent="0.25">
      <c r="A6" s="9">
        <v>5</v>
      </c>
      <c r="B6" s="1" t="s">
        <v>14</v>
      </c>
      <c r="C6" s="1" t="s">
        <v>15</v>
      </c>
      <c r="D6" s="1" t="s">
        <v>16</v>
      </c>
      <c r="E6" s="1" t="s">
        <v>20</v>
      </c>
      <c r="F6" s="3"/>
      <c r="G6" s="4"/>
      <c r="H6" s="4">
        <f>7350/(1000/67.87)</f>
        <v>498.84449999999998</v>
      </c>
      <c r="I6" s="7">
        <f>3.0355/1000</f>
        <v>3.0355E-3</v>
      </c>
      <c r="J6" s="1">
        <v>4</v>
      </c>
      <c r="K6" s="11">
        <f>(Tabla2457[[#This Row],[Precio US$]] + Tabla2457[[#This Row],[Precio AR$]]/Totales!$I$2)*Tabla2457[[#This Row],[Cantidad]]</f>
        <v>2.0021653405043094</v>
      </c>
      <c r="L6" s="10">
        <f>Tabla2457[[#This Row],[Peso '[kg']]]*Tabla2457[[#This Row],[Cantidad]]</f>
        <v>1.2142E-2</v>
      </c>
    </row>
    <row r="7" spans="1:12" x14ac:dyDescent="0.25">
      <c r="A7" s="9">
        <v>6</v>
      </c>
      <c r="B7" s="1" t="s">
        <v>74</v>
      </c>
      <c r="C7" s="1" t="s">
        <v>75</v>
      </c>
      <c r="D7" s="1" t="s">
        <v>76</v>
      </c>
      <c r="E7" s="1" t="s">
        <v>16</v>
      </c>
      <c r="F7" s="3" t="str">
        <f>HYPERLINK("https://odriverobotics.com/shop/odrive-v36","Link")</f>
        <v>Link</v>
      </c>
      <c r="G7" s="4">
        <v>259</v>
      </c>
      <c r="H7" s="4"/>
      <c r="I7" s="7">
        <v>8.5000000000000006E-2</v>
      </c>
      <c r="J7" s="1">
        <v>6</v>
      </c>
      <c r="K7" s="11">
        <f>(Tabla2457[[#This Row],[Precio US$]] + Tabla2457[[#This Row],[Precio AR$]]/Totales!$I$2)*Tabla2457[[#This Row],[Cantidad]]</f>
        <v>1554</v>
      </c>
      <c r="L7" s="10">
        <f>Tabla2457[[#This Row],[Peso '[kg']]]*Tabla2457[[#This Row],[Cantidad]]</f>
        <v>0.51</v>
      </c>
    </row>
    <row r="8" spans="1:12" x14ac:dyDescent="0.25">
      <c r="A8" s="9">
        <v>7</v>
      </c>
      <c r="B8" s="1" t="s">
        <v>25</v>
      </c>
      <c r="C8" s="1" t="s">
        <v>26</v>
      </c>
      <c r="D8" s="1" t="s">
        <v>27</v>
      </c>
      <c r="E8" s="1" t="s">
        <v>28</v>
      </c>
      <c r="F8" s="1"/>
      <c r="G8" s="4"/>
      <c r="H8" s="4">
        <f>18746/15*9</f>
        <v>11247.6</v>
      </c>
      <c r="I8" s="7">
        <f>6.02/1000</f>
        <v>6.0199999999999993E-3</v>
      </c>
      <c r="J8" s="1">
        <v>8</v>
      </c>
      <c r="K8" s="11">
        <f>(Tabla2457[[#This Row],[Precio US$]] + Tabla2457[[#This Row],[Precio AR$]]/Totales!$I$2)*Tabla2457[[#This Row],[Cantidad]]</f>
        <v>90.286872497767433</v>
      </c>
      <c r="L8" s="10">
        <f>Tabla2457[[#This Row],[Peso '[kg']]]*Tabla2457[[#This Row],[Cantidad]]</f>
        <v>4.8159999999999994E-2</v>
      </c>
    </row>
    <row r="9" spans="1:12" x14ac:dyDescent="0.25">
      <c r="A9" s="9">
        <v>8</v>
      </c>
      <c r="B9" s="1" t="s">
        <v>92</v>
      </c>
      <c r="C9" s="1" t="s">
        <v>23</v>
      </c>
      <c r="D9" s="1" t="s">
        <v>16</v>
      </c>
      <c r="E9" s="1" t="s">
        <v>24</v>
      </c>
      <c r="F9" s="1"/>
      <c r="G9" s="4"/>
      <c r="H9" s="4">
        <f>19800*Tabla2457[[#This Row],[Peso '[kg']]]</f>
        <v>240.15419999999997</v>
      </c>
      <c r="I9" s="7">
        <f>12.129/1000</f>
        <v>1.2128999999999999E-2</v>
      </c>
      <c r="J9" s="1">
        <v>4</v>
      </c>
      <c r="K9" s="11">
        <f>(Tabla2457[[#This Row],[Precio US$]] + Tabla2457[[#This Row],[Precio AR$]]/Totales!$I$2)*Tabla2457[[#This Row],[Cantidad]]</f>
        <v>0.96388436800754551</v>
      </c>
      <c r="L9" s="10">
        <f>Tabla2457[[#This Row],[Peso '[kg']]]*Tabla2457[[#This Row],[Cantidad]]</f>
        <v>4.8515999999999997E-2</v>
      </c>
    </row>
    <row r="10" spans="1:12" x14ac:dyDescent="0.25">
      <c r="A10" s="9">
        <v>9</v>
      </c>
      <c r="B10" s="1" t="s">
        <v>30</v>
      </c>
      <c r="C10" s="1" t="s">
        <v>31</v>
      </c>
      <c r="D10" s="1" t="s">
        <v>29</v>
      </c>
      <c r="E10" s="1" t="s">
        <v>16</v>
      </c>
      <c r="F10" s="3" t="str">
        <f>HYPERLINK("https://www.mouser.co.uk/ProductDetail/ams/AS5047P-TS_EK_AB/?qs=Rt6VE0PE%2FOfJKFTMKo%252BL0Q==","Link")</f>
        <v>Link</v>
      </c>
      <c r="G10" s="4">
        <v>15.75</v>
      </c>
      <c r="H10" s="4"/>
      <c r="I10" s="7">
        <v>1.7181256839E-2</v>
      </c>
      <c r="J10" s="1">
        <v>4</v>
      </c>
      <c r="K10" s="5">
        <f>(Tabla2457[[#This Row],[Precio US$]] + Tabla2457[[#This Row],[Precio AR$]]/Totales!$I$2)*Tabla2457[[#This Row],[Cantidad]]</f>
        <v>63</v>
      </c>
      <c r="L10" s="7">
        <f>Tabla2457[[#This Row],[Peso '[kg']]]*Tabla2457[[#This Row],[Cantidad]]</f>
        <v>6.8725027356000001E-2</v>
      </c>
    </row>
    <row r="11" spans="1:12" x14ac:dyDescent="0.25">
      <c r="A11" s="9">
        <v>10</v>
      </c>
      <c r="B11" s="1" t="s">
        <v>35</v>
      </c>
      <c r="C11" s="1" t="s">
        <v>23</v>
      </c>
      <c r="D11" s="1" t="s">
        <v>16</v>
      </c>
      <c r="E11" s="1" t="s">
        <v>24</v>
      </c>
      <c r="F11" s="1"/>
      <c r="G11" s="4"/>
      <c r="H11" s="4">
        <f>19800*Tabla2457[[#This Row],[Peso '[kg']]]</f>
        <v>62.310599999999994</v>
      </c>
      <c r="I11" s="7">
        <f>3.147/1000</f>
        <v>3.1469999999999996E-3</v>
      </c>
      <c r="J11" s="1">
        <v>16</v>
      </c>
      <c r="K11" s="5">
        <f>(Tabla2457[[#This Row],[Precio US$]] + Tabla2457[[#This Row],[Precio AR$]]/Totales!$I$2)*Tabla2457[[#This Row],[Cantidad]]</f>
        <v>1.000360823190616</v>
      </c>
      <c r="L11" s="7">
        <f>Tabla2457[[#This Row],[Peso '[kg']]]*Tabla2457[[#This Row],[Cantidad]]</f>
        <v>5.0351999999999994E-2</v>
      </c>
    </row>
    <row r="12" spans="1:12" x14ac:dyDescent="0.25">
      <c r="A12" s="9">
        <v>11</v>
      </c>
      <c r="B12" s="1" t="s">
        <v>32</v>
      </c>
      <c r="C12" s="1" t="s">
        <v>33</v>
      </c>
      <c r="D12" s="1" t="s">
        <v>34</v>
      </c>
      <c r="E12" s="1" t="s">
        <v>16</v>
      </c>
      <c r="F12" s="3"/>
      <c r="G12" s="4"/>
      <c r="H12" s="4">
        <f>7556/10</f>
        <v>755.6</v>
      </c>
      <c r="I12" s="7">
        <v>8.0000000000000002E-3</v>
      </c>
      <c r="J12" s="1">
        <v>24</v>
      </c>
      <c r="K12" s="5">
        <f>(Tabla2457[[#This Row],[Precio US$]] + Tabla2457[[#This Row],[Precio AR$]]/Totales!$I$2)*Tabla2457[[#This Row],[Cantidad]]</f>
        <v>18.196084727225294</v>
      </c>
      <c r="L12" s="7">
        <f>Tabla2457[[#This Row],[Peso '[kg']]]*Tabla2457[[#This Row],[Cantidad]]</f>
        <v>0.192</v>
      </c>
    </row>
    <row r="13" spans="1:12" x14ac:dyDescent="0.25">
      <c r="A13" s="9">
        <v>12</v>
      </c>
      <c r="B13" s="1" t="s">
        <v>42</v>
      </c>
      <c r="C13" s="1" t="s">
        <v>23</v>
      </c>
      <c r="D13" s="1" t="s">
        <v>16</v>
      </c>
      <c r="E13" s="1" t="s">
        <v>24</v>
      </c>
      <c r="F13" s="1"/>
      <c r="G13" s="4"/>
      <c r="H13" s="4">
        <f>19800*Tabla2457[[#This Row],[Peso '[kg']]]</f>
        <v>113.1768</v>
      </c>
      <c r="I13" s="7">
        <v>5.7159999999999997E-3</v>
      </c>
      <c r="J13" s="1">
        <v>4</v>
      </c>
      <c r="K13" s="5">
        <f>(Tabla2457[[#This Row],[Precio US$]] + Tabla2457[[#This Row],[Precio AR$]]/Totales!$I$2)*Tabla2457[[#This Row],[Cantidad]]</f>
        <v>0.45424709766107102</v>
      </c>
      <c r="L13" s="7">
        <f>Tabla2457[[#This Row],[Peso '[kg']]]*Tabla2457[[#This Row],[Cantidad]]</f>
        <v>2.2863999999999999E-2</v>
      </c>
    </row>
    <row r="14" spans="1:12" x14ac:dyDescent="0.25">
      <c r="A14" s="9">
        <v>13</v>
      </c>
      <c r="B14" s="1" t="s">
        <v>67</v>
      </c>
      <c r="C14" s="1"/>
      <c r="D14" s="1" t="s">
        <v>16</v>
      </c>
      <c r="E14" s="1" t="s">
        <v>16</v>
      </c>
      <c r="F14" s="3"/>
      <c r="G14" s="4"/>
      <c r="H14" s="4">
        <f>8000/1000*33.5</f>
        <v>268</v>
      </c>
      <c r="I14" s="7">
        <f>3.562/1000</f>
        <v>3.5619999999999996E-3</v>
      </c>
      <c r="J14" s="1">
        <v>2</v>
      </c>
      <c r="K14" s="5">
        <f>(Tabla2457[[#This Row],[Precio US$]] + Tabla2457[[#This Row],[Precio AR$]]/Totales!$I$2)*Tabla2457[[#This Row],[Cantidad]]</f>
        <v>0.53782322071823485</v>
      </c>
      <c r="L14" s="7">
        <f>Tabla2457[[#This Row],[Peso '[kg']]]*Tabla2457[[#This Row],[Cantidad]]</f>
        <v>7.1239999999999993E-3</v>
      </c>
    </row>
    <row r="15" spans="1:12" x14ac:dyDescent="0.25">
      <c r="A15" s="9">
        <v>14</v>
      </c>
      <c r="B15" s="1" t="s">
        <v>37</v>
      </c>
      <c r="C15" s="1"/>
      <c r="D15" s="1" t="s">
        <v>39</v>
      </c>
      <c r="E15" s="1" t="s">
        <v>16</v>
      </c>
      <c r="F15" s="3"/>
      <c r="G15" s="4"/>
      <c r="H15" s="4"/>
      <c r="I15" s="6">
        <f>0.43/1000</f>
        <v>4.2999999999999999E-4</v>
      </c>
      <c r="J15" s="1">
        <f>4*(4+4+4) + 3 *4 + 3 *4 + 8 + 8 + 6 + 3 + 8 + 4 + 4 + 4 + 4 + 2 + 4 + 2</f>
        <v>129</v>
      </c>
      <c r="K15" s="5">
        <f>(Tabla2457[[#This Row],[Precio US$]] + Tabla2457[[#This Row],[Precio AR$]]/Totales!$I$2)*Tabla2457[[#This Row],[Cantidad]]</f>
        <v>0</v>
      </c>
      <c r="L15" s="7">
        <f>Tabla2457[[#This Row],[Peso '[kg']]]*Tabla2457[[#This Row],[Cantidad]]</f>
        <v>5.5469999999999998E-2</v>
      </c>
    </row>
    <row r="16" spans="1:12" x14ac:dyDescent="0.25">
      <c r="A16" s="9">
        <v>15</v>
      </c>
      <c r="B16" s="1" t="s">
        <v>48</v>
      </c>
      <c r="C16" s="1"/>
      <c r="D16" s="1" t="s">
        <v>41</v>
      </c>
      <c r="E16" s="1" t="s">
        <v>16</v>
      </c>
      <c r="F16" s="3"/>
      <c r="G16" s="4"/>
      <c r="H16" s="4"/>
      <c r="I16" s="6">
        <f>0.795/1000</f>
        <v>7.9500000000000003E-4</v>
      </c>
      <c r="J16" s="1">
        <f>4*4*4 + 4</f>
        <v>68</v>
      </c>
      <c r="K16" s="5">
        <f>(Tabla2457[[#This Row],[Precio US$]] + Tabla2457[[#This Row],[Precio AR$]]/Totales!$I$2)*Tabla2457[[#This Row],[Cantidad]]</f>
        <v>0</v>
      </c>
      <c r="L16" s="7">
        <f>Tabla2457[[#This Row],[Peso '[kg']]]*Tabla2457[[#This Row],[Cantidad]]</f>
        <v>5.4060000000000004E-2</v>
      </c>
    </row>
    <row r="17" spans="1:12" x14ac:dyDescent="0.25">
      <c r="A17" s="9">
        <v>16</v>
      </c>
      <c r="B17" s="1" t="s">
        <v>43</v>
      </c>
      <c r="C17" s="1"/>
      <c r="D17" s="1" t="s">
        <v>16</v>
      </c>
      <c r="E17" s="1" t="s">
        <v>16</v>
      </c>
      <c r="F17" s="3"/>
      <c r="G17" s="4"/>
      <c r="H17" s="4"/>
      <c r="I17" s="6">
        <f>0.275/1000</f>
        <v>2.7500000000000002E-4</v>
      </c>
      <c r="J17" s="1">
        <f>6*4</f>
        <v>24</v>
      </c>
      <c r="K17" s="5">
        <f>(Tabla2457[[#This Row],[Precio US$]] + Tabla2457[[#This Row],[Precio AR$]]/Totales!$I$2)*Tabla2457[[#This Row],[Cantidad]]</f>
        <v>0</v>
      </c>
      <c r="L17" s="7">
        <f>Tabla2457[[#This Row],[Peso '[kg']]]*Tabla2457[[#This Row],[Cantidad]]</f>
        <v>6.6E-3</v>
      </c>
    </row>
    <row r="18" spans="1:12" x14ac:dyDescent="0.25">
      <c r="A18" s="9">
        <v>17</v>
      </c>
      <c r="B18" s="1" t="s">
        <v>79</v>
      </c>
      <c r="C18" s="1"/>
      <c r="D18" s="1" t="s">
        <v>16</v>
      </c>
      <c r="E18" s="1" t="s">
        <v>44</v>
      </c>
      <c r="F18" s="3"/>
      <c r="G18" s="4"/>
      <c r="H18" s="4"/>
      <c r="I18" s="6">
        <f>0.468/1000</f>
        <v>4.6800000000000005E-4</v>
      </c>
      <c r="J18" s="1">
        <f>4*4</f>
        <v>16</v>
      </c>
      <c r="K18" s="5">
        <f>(Tabla2457[[#This Row],[Precio US$]] + Tabla2457[[#This Row],[Precio AR$]]/Totales!$I$2)*Tabla2457[[#This Row],[Cantidad]]</f>
        <v>0</v>
      </c>
      <c r="L18" s="7">
        <f>Tabla2457[[#This Row],[Peso '[kg']]]*Tabla2457[[#This Row],[Cantidad]]</f>
        <v>7.4880000000000007E-3</v>
      </c>
    </row>
    <row r="19" spans="1:12" x14ac:dyDescent="0.25">
      <c r="A19" s="9">
        <v>18</v>
      </c>
      <c r="B19" s="1" t="s">
        <v>46</v>
      </c>
      <c r="C19" s="1" t="s">
        <v>23</v>
      </c>
      <c r="D19" s="1" t="s">
        <v>16</v>
      </c>
      <c r="E19" s="1" t="s">
        <v>24</v>
      </c>
      <c r="F19" s="1"/>
      <c r="G19" s="4"/>
      <c r="H19" s="4">
        <f>19800*Tabla2457[[#This Row],[Peso '[kg']]]</f>
        <v>53.321400000000004</v>
      </c>
      <c r="I19" s="7">
        <f>0.002693</f>
        <v>2.6930000000000001E-3</v>
      </c>
      <c r="J19" s="1">
        <v>4</v>
      </c>
      <c r="K19" s="5">
        <f>(Tabla2457[[#This Row],[Precio US$]] + Tabla2457[[#This Row],[Precio AR$]]/Totales!$I$2)*Tabla2457[[#This Row],[Cantidad]]</f>
        <v>0.21401109762093498</v>
      </c>
      <c r="L19" s="7">
        <f>Tabla2457[[#This Row],[Peso '[kg']]]*Tabla2457[[#This Row],[Cantidad]]</f>
        <v>1.0772E-2</v>
      </c>
    </row>
    <row r="20" spans="1:12" x14ac:dyDescent="0.25">
      <c r="A20" s="9">
        <v>19</v>
      </c>
      <c r="B20" s="1" t="s">
        <v>69</v>
      </c>
      <c r="C20" s="1"/>
      <c r="D20" s="1" t="s">
        <v>16</v>
      </c>
      <c r="E20" s="1" t="s">
        <v>16</v>
      </c>
      <c r="F20" s="3"/>
      <c r="G20" s="4"/>
      <c r="H20" s="4"/>
      <c r="I20" s="7">
        <f>0.906/1000</f>
        <v>9.0600000000000001E-4</v>
      </c>
      <c r="J20" s="1">
        <f>3*4 + 3 + 4*4 + 4 + 2</f>
        <v>37</v>
      </c>
      <c r="K20" s="5">
        <f>(Tabla2457[[#This Row],[Precio US$]] + Tabla2457[[#This Row],[Precio AR$]]/Totales!$I$2)*Tabla2457[[#This Row],[Cantidad]]</f>
        <v>0</v>
      </c>
      <c r="L20" s="7">
        <f>Tabla2457[[#This Row],[Peso '[kg']]]*Tabla2457[[#This Row],[Cantidad]]</f>
        <v>3.3522000000000003E-2</v>
      </c>
    </row>
    <row r="21" spans="1:12" x14ac:dyDescent="0.25">
      <c r="A21" s="9">
        <v>20</v>
      </c>
      <c r="B21" s="1" t="s">
        <v>73</v>
      </c>
      <c r="C21" s="1" t="s">
        <v>23</v>
      </c>
      <c r="D21" s="1" t="s">
        <v>16</v>
      </c>
      <c r="E21" s="1" t="s">
        <v>64</v>
      </c>
      <c r="F21" s="1"/>
      <c r="G21" s="4"/>
      <c r="H21" s="4">
        <f>19800*Tabla2457[[#This Row],[Peso '[kg']]]</f>
        <v>47.203199999999995</v>
      </c>
      <c r="I21" s="7">
        <f>2.384/1000</f>
        <v>2.3839999999999998E-3</v>
      </c>
      <c r="J21" s="1">
        <v>4</v>
      </c>
      <c r="K21" s="5">
        <f>(Tabla2457[[#This Row],[Precio US$]] + Tabla2457[[#This Row],[Precio AR$]]/Totales!$I$2)*Tabla2457[[#This Row],[Cantidad]]</f>
        <v>0.18945505262841028</v>
      </c>
      <c r="L21" s="7">
        <f>Tabla2457[[#This Row],[Peso '[kg']]]*Tabla2457[[#This Row],[Cantidad]]</f>
        <v>9.5359999999999993E-3</v>
      </c>
    </row>
    <row r="22" spans="1:12" x14ac:dyDescent="0.25">
      <c r="A22" s="9">
        <v>21</v>
      </c>
      <c r="B22" s="1" t="s">
        <v>63</v>
      </c>
      <c r="C22" s="1" t="s">
        <v>23</v>
      </c>
      <c r="D22" s="1" t="s">
        <v>16</v>
      </c>
      <c r="E22" s="1" t="s">
        <v>64</v>
      </c>
      <c r="F22" s="1"/>
      <c r="G22" s="4"/>
      <c r="H22" s="4">
        <f>19800*Tabla2457[[#This Row],[Peso '[kg']]]</f>
        <v>40.609800000000007</v>
      </c>
      <c r="I22" s="7">
        <f>2.051/1000</f>
        <v>2.0510000000000003E-3</v>
      </c>
      <c r="J22" s="1">
        <v>4</v>
      </c>
      <c r="K22" s="5">
        <f>(Tabla2457[[#This Row],[Precio US$]] + Tabla2457[[#This Row],[Precio AR$]]/Totales!$I$2)*Tabla2457[[#This Row],[Cantidad]]</f>
        <v>0.16299174200539832</v>
      </c>
      <c r="L22" s="7">
        <f>Tabla2457[[#This Row],[Peso '[kg']]]*Tabla2457[[#This Row],[Cantidad]]</f>
        <v>8.2040000000000012E-3</v>
      </c>
    </row>
    <row r="23" spans="1:12" x14ac:dyDescent="0.25">
      <c r="A23" s="9">
        <v>22</v>
      </c>
      <c r="B23" s="1" t="s">
        <v>78</v>
      </c>
      <c r="C23" s="1"/>
      <c r="D23" s="1"/>
      <c r="E23" s="1" t="s">
        <v>16</v>
      </c>
      <c r="F23" s="3"/>
      <c r="G23" s="4"/>
      <c r="H23" s="4"/>
      <c r="I23" s="6">
        <f>0.663/1000</f>
        <v>6.6300000000000007E-4</v>
      </c>
      <c r="J23" s="1">
        <f>2*4</f>
        <v>8</v>
      </c>
      <c r="K23" s="5">
        <f>(Tabla2457[[#This Row],[Precio US$]] + Tabla2457[[#This Row],[Precio AR$]]/Totales!$I$2)*Tabla2457[[#This Row],[Cantidad]]</f>
        <v>0</v>
      </c>
      <c r="L23" s="7">
        <f>Tabla2457[[#This Row],[Peso '[kg']]]*Tabla2457[[#This Row],[Cantidad]]</f>
        <v>5.3040000000000006E-3</v>
      </c>
    </row>
    <row r="24" spans="1:12" x14ac:dyDescent="0.25">
      <c r="A24" s="9">
        <v>23</v>
      </c>
      <c r="B24" s="1" t="s">
        <v>65</v>
      </c>
      <c r="C24" s="1"/>
      <c r="D24" s="1" t="s">
        <v>16</v>
      </c>
      <c r="E24" s="1" t="s">
        <v>16</v>
      </c>
      <c r="F24" s="3"/>
      <c r="G24" s="4"/>
      <c r="H24" s="4"/>
      <c r="I24" s="6">
        <f>1.068/1000</f>
        <v>1.0680000000000002E-3</v>
      </c>
      <c r="J24" s="1">
        <f>3*4 + 8 + 8 + 6 + 4 + 4 + 4 + 4</f>
        <v>50</v>
      </c>
      <c r="K24" s="5">
        <f>(Tabla2457[[#This Row],[Precio US$]] + Tabla2457[[#This Row],[Precio AR$]]/Totales!$I$2)*Tabla2457[[#This Row],[Cantidad]]</f>
        <v>0</v>
      </c>
      <c r="L24" s="7">
        <f>Tabla2457[[#This Row],[Peso '[kg']]]*Tabla2457[[#This Row],[Cantidad]]</f>
        <v>5.340000000000001E-2</v>
      </c>
    </row>
    <row r="25" spans="1:12" x14ac:dyDescent="0.25">
      <c r="A25" s="9">
        <v>24</v>
      </c>
      <c r="B25" s="1" t="s">
        <v>86</v>
      </c>
      <c r="C25" s="1" t="s">
        <v>23</v>
      </c>
      <c r="D25" s="1"/>
      <c r="E25" s="1" t="s">
        <v>64</v>
      </c>
      <c r="F25" s="3"/>
      <c r="G25" s="4"/>
      <c r="H25" s="4">
        <f>19800*Tabla2457[[#This Row],[Peso '[kg']]]</f>
        <v>36.550800000000002</v>
      </c>
      <c r="I25" s="7">
        <v>1.846E-3</v>
      </c>
      <c r="J25" s="1">
        <v>8</v>
      </c>
      <c r="K25" s="5">
        <f>(Tabla2457[[#This Row],[Precio US$]] + Tabla2457[[#This Row],[Precio AR$]]/Totales!$I$2)*Tabla2457[[#This Row],[Cantidad]]</f>
        <v>0.29340102948997104</v>
      </c>
      <c r="L25" s="7">
        <f>Tabla2457[[#This Row],[Peso '[kg']]]*Tabla2457[[#This Row],[Cantidad]]</f>
        <v>1.4768E-2</v>
      </c>
    </row>
    <row r="26" spans="1:12" x14ac:dyDescent="0.25">
      <c r="A26" s="9">
        <v>25</v>
      </c>
      <c r="B26" s="1" t="s">
        <v>87</v>
      </c>
      <c r="C26" s="1" t="s">
        <v>23</v>
      </c>
      <c r="D26" s="1"/>
      <c r="E26" s="1" t="s">
        <v>64</v>
      </c>
      <c r="F26" s="3"/>
      <c r="G26" s="4"/>
      <c r="H26" s="4">
        <f>19800*Tabla2457[[#This Row],[Peso '[kg']]]</f>
        <v>17.4636</v>
      </c>
      <c r="I26" s="7">
        <f>0.882/1000</f>
        <v>8.8199999999999997E-4</v>
      </c>
      <c r="J26" s="1">
        <f>3*2*2</f>
        <v>12</v>
      </c>
      <c r="K26" s="5">
        <f>(Tabla2457[[#This Row],[Precio US$]] + Tabla2457[[#This Row],[Precio AR$]]/Totales!$I$2)*Tabla2457[[#This Row],[Cantidad]]</f>
        <v>0.21027603576123055</v>
      </c>
      <c r="L26" s="7">
        <f>Tabla2457[[#This Row],[Peso '[kg']]]*Tabla2457[[#This Row],[Cantidad]]</f>
        <v>1.0584E-2</v>
      </c>
    </row>
    <row r="27" spans="1:12" x14ac:dyDescent="0.25">
      <c r="A27" s="9">
        <v>26</v>
      </c>
      <c r="B27" s="1" t="s">
        <v>88</v>
      </c>
      <c r="C27" s="1" t="s">
        <v>23</v>
      </c>
      <c r="D27" s="1"/>
      <c r="E27" s="1" t="s">
        <v>64</v>
      </c>
      <c r="F27" s="3"/>
      <c r="G27" s="4"/>
      <c r="H27" s="4">
        <f>19800*Tabla2457[[#This Row],[Peso '[kg']]]</f>
        <v>143.45099999999999</v>
      </c>
      <c r="I27" s="7">
        <v>7.2449999999999997E-3</v>
      </c>
      <c r="J27" s="1">
        <v>4</v>
      </c>
      <c r="K27" s="5">
        <f>(Tabla2457[[#This Row],[Precio US$]] + Tabla2457[[#This Row],[Precio AR$]]/Totales!$I$2)*Tabla2457[[#This Row],[Cantidad]]</f>
        <v>0.57575581220336935</v>
      </c>
      <c r="L27" s="7">
        <f>Tabla2457[[#This Row],[Peso '[kg']]]*Tabla2457[[#This Row],[Cantidad]]</f>
        <v>2.8979999999999999E-2</v>
      </c>
    </row>
    <row r="28" spans="1:12" x14ac:dyDescent="0.25">
      <c r="A28" s="9">
        <v>27</v>
      </c>
      <c r="B28" s="1" t="s">
        <v>89</v>
      </c>
      <c r="C28" s="1" t="s">
        <v>23</v>
      </c>
      <c r="D28" s="1"/>
      <c r="E28" s="1" t="s">
        <v>64</v>
      </c>
      <c r="F28" s="1"/>
      <c r="G28" s="4"/>
      <c r="H28" s="4">
        <f>19800*Tabla2457[[#This Row],[Peso '[kg']]]</f>
        <v>1059.7554</v>
      </c>
      <c r="I28" s="7">
        <v>5.3523000000000001E-2</v>
      </c>
      <c r="J28" s="1">
        <v>1</v>
      </c>
      <c r="K28" s="5">
        <f>(Tabla2457[[#This Row],[Precio US$]] + Tabla2457[[#This Row],[Precio AR$]]/Totales!$I$2)*Tabla2457[[#This Row],[Cantidad]]</f>
        <v>1.0633601910476516</v>
      </c>
      <c r="L28" s="7">
        <f>Tabla2457[[#This Row],[Peso '[kg']]]*Tabla2457[[#This Row],[Cantidad]]</f>
        <v>5.3523000000000001E-2</v>
      </c>
    </row>
    <row r="29" spans="1:12" x14ac:dyDescent="0.25">
      <c r="A29" s="9">
        <v>28</v>
      </c>
      <c r="B29" s="1" t="s">
        <v>90</v>
      </c>
      <c r="C29" s="1" t="s">
        <v>23</v>
      </c>
      <c r="D29" s="1"/>
      <c r="E29" s="1" t="s">
        <v>64</v>
      </c>
      <c r="F29" s="3"/>
      <c r="G29" s="4"/>
      <c r="H29" s="4">
        <f>19800*Tabla2457[[#This Row],[Peso '[kg']]]</f>
        <v>989.505</v>
      </c>
      <c r="I29" s="7">
        <v>4.9974999999999999E-2</v>
      </c>
      <c r="J29" s="1">
        <v>1</v>
      </c>
      <c r="K29" s="5">
        <f>(Tabla2457[[#This Row],[Precio US$]] + Tabla2457[[#This Row],[Precio AR$]]/Totales!$I$2)*Tabla2457[[#This Row],[Cantidad]]</f>
        <v>0.99287083212088978</v>
      </c>
      <c r="L29" s="7">
        <f>Tabla2457[[#This Row],[Peso '[kg']]]*Tabla2457[[#This Row],[Cantidad]]</f>
        <v>4.9974999999999999E-2</v>
      </c>
    </row>
    <row r="30" spans="1:12" x14ac:dyDescent="0.25">
      <c r="A30" s="9">
        <v>29</v>
      </c>
      <c r="B30" s="1" t="s">
        <v>91</v>
      </c>
      <c r="C30" s="1" t="s">
        <v>23</v>
      </c>
      <c r="D30" s="1"/>
      <c r="E30" s="1" t="s">
        <v>64</v>
      </c>
      <c r="F30" s="3"/>
      <c r="G30" s="4"/>
      <c r="H30" s="4">
        <f>19800*Tabla2457[[#This Row],[Peso '[kg']]]</f>
        <v>402.73200000000003</v>
      </c>
      <c r="I30" s="7">
        <v>2.034E-2</v>
      </c>
      <c r="J30" s="1">
        <v>2</v>
      </c>
      <c r="K30" s="5">
        <f>(Tabla2457[[#This Row],[Precio US$]] + Tabla2457[[#This Row],[Precio AR$]]/Totales!$I$2)*Tabla2457[[#This Row],[Cantidad]]</f>
        <v>0.8082038109190155</v>
      </c>
      <c r="L30" s="7">
        <f>Tabla2457[[#This Row],[Peso '[kg']]]*Tabla2457[[#This Row],[Cantidad]]</f>
        <v>4.0680000000000001E-2</v>
      </c>
    </row>
    <row r="31" spans="1:12" x14ac:dyDescent="0.25">
      <c r="A31" s="9">
        <v>30</v>
      </c>
      <c r="B31" s="1" t="s">
        <v>84</v>
      </c>
      <c r="C31" s="1"/>
      <c r="D31" s="1"/>
      <c r="E31" s="1"/>
      <c r="F31" s="3"/>
      <c r="G31" s="4"/>
      <c r="H31" s="4"/>
      <c r="I31" s="7">
        <v>3.5000000000000001E-3</v>
      </c>
      <c r="J31" s="1">
        <v>3</v>
      </c>
      <c r="K31" s="5">
        <f>(Tabla2457[[#This Row],[Precio US$]] + Tabla2457[[#This Row],[Precio AR$]]/Totales!$I$2)*Tabla2457[[#This Row],[Cantidad]]</f>
        <v>0</v>
      </c>
      <c r="L31" s="7">
        <f>Tabla2457[[#This Row],[Peso '[kg']]]*Tabla2457[[#This Row],[Cantidad]]</f>
        <v>1.0500000000000001E-2</v>
      </c>
    </row>
    <row r="32" spans="1:12" x14ac:dyDescent="0.25">
      <c r="A32" s="9">
        <v>31</v>
      </c>
      <c r="B32" s="1" t="s">
        <v>82</v>
      </c>
      <c r="C32" s="1"/>
      <c r="D32" s="1"/>
      <c r="E32" s="1"/>
      <c r="F32" s="3"/>
      <c r="G32" s="4"/>
      <c r="H32" s="4"/>
      <c r="I32" s="7">
        <v>3.3279999999999998E-3</v>
      </c>
      <c r="J32" s="1">
        <v>8</v>
      </c>
      <c r="K32" s="5">
        <f>(Tabla2457[[#This Row],[Precio US$]] + Tabla2457[[#This Row],[Precio AR$]]/Totales!$I$2)*Tabla2457[[#This Row],[Cantidad]]</f>
        <v>0</v>
      </c>
      <c r="L32" s="7">
        <f>Tabla2457[[#This Row],[Peso '[kg']]]*Tabla2457[[#This Row],[Cantidad]]</f>
        <v>2.6623999999999998E-2</v>
      </c>
    </row>
    <row r="33" spans="1:12" x14ac:dyDescent="0.25">
      <c r="A33" s="9">
        <v>32</v>
      </c>
      <c r="B33" s="1" t="s">
        <v>93</v>
      </c>
      <c r="C33" s="1" t="s">
        <v>23</v>
      </c>
      <c r="D33" s="1"/>
      <c r="E33" s="1" t="s">
        <v>64</v>
      </c>
      <c r="F33" s="1"/>
      <c r="G33" s="4"/>
      <c r="H33" s="4">
        <f>19800*Tabla2457[[#This Row],[Peso '[kg']]]</f>
        <v>254.90520000000001</v>
      </c>
      <c r="I33" s="7">
        <v>1.2874E-2</v>
      </c>
      <c r="J33" s="1">
        <v>4</v>
      </c>
      <c r="K33" s="5">
        <f>(Tabla2457[[#This Row],[Precio US$]] + Tabla2457[[#This Row],[Precio AR$]]/Totales!$I$2)*Tabla2457[[#This Row],[Cantidad]]</f>
        <v>1.0230890719539238</v>
      </c>
      <c r="L33" s="7">
        <f>Tabla2457[[#This Row],[Peso '[kg']]]*Tabla2457[[#This Row],[Cantidad]]</f>
        <v>5.1496E-2</v>
      </c>
    </row>
    <row r="34" spans="1:12" x14ac:dyDescent="0.25">
      <c r="A34" s="9">
        <v>33</v>
      </c>
      <c r="B34" s="1" t="s">
        <v>81</v>
      </c>
      <c r="C34" s="1"/>
      <c r="D34" s="1"/>
      <c r="E34" s="1"/>
      <c r="F34" s="1"/>
      <c r="G34" s="4"/>
      <c r="H34" s="4"/>
      <c r="I34" s="7">
        <f>0.53/1000</f>
        <v>5.2999999999999998E-4</v>
      </c>
      <c r="J34" s="1">
        <f>3*2*4 + 4*4</f>
        <v>40</v>
      </c>
      <c r="K34" s="5">
        <f>(Tabla2457[[#This Row],[Precio US$]] + Tabla2457[[#This Row],[Precio AR$]]/Totales!$I$2)*Tabla2457[[#This Row],[Cantidad]]</f>
        <v>0</v>
      </c>
      <c r="L34" s="7">
        <f>Tabla2457[[#This Row],[Peso '[kg']]]*Tabla2457[[#This Row],[Cantidad]]</f>
        <v>2.12E-2</v>
      </c>
    </row>
    <row r="35" spans="1:12" x14ac:dyDescent="0.25">
      <c r="A35" s="9">
        <v>34</v>
      </c>
      <c r="B35" s="1" t="s">
        <v>36</v>
      </c>
      <c r="C35" s="1" t="s">
        <v>40</v>
      </c>
      <c r="D35" s="1" t="s">
        <v>16</v>
      </c>
      <c r="E35" s="1" t="s">
        <v>16</v>
      </c>
      <c r="F35" s="3"/>
      <c r="G35" s="4"/>
      <c r="H35" s="4"/>
      <c r="I35" s="6">
        <f>(1/2278)</f>
        <v>4.3898156277436348E-4</v>
      </c>
      <c r="J35" s="1">
        <v>4</v>
      </c>
      <c r="K35" s="5">
        <f>(Tabla2457[[#This Row],[Precio US$]] + Tabla2457[[#This Row],[Precio AR$]]/Totales!$I$2)*Tabla2457[[#This Row],[Cantidad]]</f>
        <v>0</v>
      </c>
      <c r="L35" s="7">
        <f>Tabla2457[[#This Row],[Peso '[kg']]]*Tabla2457[[#This Row],[Cantidad]]</f>
        <v>1.7559262510974539E-3</v>
      </c>
    </row>
    <row r="36" spans="1:12" x14ac:dyDescent="0.25">
      <c r="A36" s="9">
        <v>35</v>
      </c>
      <c r="B36" s="1" t="s">
        <v>50</v>
      </c>
      <c r="C36" s="1"/>
      <c r="D36" s="1" t="s">
        <v>16</v>
      </c>
      <c r="E36" s="1" t="s">
        <v>16</v>
      </c>
      <c r="F36" s="3"/>
      <c r="G36" s="4"/>
      <c r="H36" s="4"/>
      <c r="I36" s="7">
        <f>0.801/1000</f>
        <v>8.0100000000000006E-4</v>
      </c>
      <c r="J36" s="1">
        <f>3*4 + 4*2</f>
        <v>20</v>
      </c>
      <c r="K36" s="5">
        <f>(Tabla2457[[#This Row],[Precio US$]] + Tabla2457[[#This Row],[Precio AR$]]/Totales!$I$2)*Tabla2457[[#This Row],[Cantidad]]</f>
        <v>0</v>
      </c>
      <c r="L36" s="7">
        <f>Tabla2457[[#This Row],[Peso '[kg']]]*Tabla2457[[#This Row],[Cantidad]]</f>
        <v>1.602E-2</v>
      </c>
    </row>
    <row r="37" spans="1:12" x14ac:dyDescent="0.25">
      <c r="A37" s="9">
        <v>36</v>
      </c>
      <c r="B37" s="1" t="s">
        <v>84</v>
      </c>
      <c r="C37" s="1"/>
      <c r="D37" s="1"/>
      <c r="E37" s="1"/>
      <c r="F37" s="3"/>
      <c r="G37" s="4"/>
      <c r="H37" s="4"/>
      <c r="I37" s="7">
        <v>3.5000000000000001E-3</v>
      </c>
      <c r="J37" s="1">
        <f>3*4</f>
        <v>12</v>
      </c>
      <c r="K37" s="5">
        <f>(Tabla2457[[#This Row],[Precio US$]] + Tabla2457[[#This Row],[Precio AR$]]/Totales!$I$2)*Tabla2457[[#This Row],[Cantidad]]</f>
        <v>0</v>
      </c>
      <c r="L37" s="7">
        <f>Tabla2457[[#This Row],[Peso '[kg']]]*Tabla2457[[#This Row],[Cantidad]]</f>
        <v>4.2000000000000003E-2</v>
      </c>
    </row>
    <row r="38" spans="1:12" x14ac:dyDescent="0.25">
      <c r="A38" s="9">
        <v>37</v>
      </c>
      <c r="B38" s="1" t="s">
        <v>94</v>
      </c>
      <c r="C38" s="1" t="s">
        <v>23</v>
      </c>
      <c r="D38" s="1"/>
      <c r="E38" s="1" t="s">
        <v>64</v>
      </c>
      <c r="F38" s="1"/>
      <c r="G38" s="4"/>
      <c r="H38" s="4">
        <f>19800*Tabla2457[[#This Row],[Peso '[kg']]]</f>
        <v>109.55340000000001</v>
      </c>
      <c r="I38" s="7">
        <f>5.533/1000</f>
        <v>5.5330000000000006E-3</v>
      </c>
      <c r="J38" s="1">
        <v>1</v>
      </c>
      <c r="K38" s="5">
        <f>(Tabla2457[[#This Row],[Precio US$]] + Tabla2457[[#This Row],[Precio AR$]]/Totales!$I$2)*Tabla2457[[#This Row],[Cantidad]]</f>
        <v>0.10992604930715125</v>
      </c>
      <c r="L38" s="7">
        <f>Tabla2457[[#This Row],[Peso '[kg']]]*Tabla2457[[#This Row],[Cantidad]]</f>
        <v>5.5330000000000006E-3</v>
      </c>
    </row>
    <row r="39" spans="1:12" x14ac:dyDescent="0.25">
      <c r="A39" s="9">
        <v>38</v>
      </c>
      <c r="B39" s="1" t="s">
        <v>95</v>
      </c>
      <c r="C39" s="1" t="s">
        <v>23</v>
      </c>
      <c r="D39" s="1"/>
      <c r="E39" s="1" t="s">
        <v>64</v>
      </c>
      <c r="F39" s="3"/>
      <c r="G39" s="4"/>
      <c r="H39" s="4">
        <f>19800*Tabla2457[[#This Row],[Peso '[kg']]]</f>
        <v>258.84539999999998</v>
      </c>
      <c r="I39" s="7">
        <f>13.073/1000</f>
        <v>1.3073E-2</v>
      </c>
      <c r="J39" s="1">
        <v>2</v>
      </c>
      <c r="K39" s="5">
        <f>(Tabla2457[[#This Row],[Precio US$]] + Tabla2457[[#This Row],[Precio AR$]]/Totales!$I$2)*Tabla2457[[#This Row],[Cantidad]]</f>
        <v>0.51945174140335737</v>
      </c>
      <c r="L39" s="7">
        <f>Tabla2457[[#This Row],[Peso '[kg']]]*Tabla2457[[#This Row],[Cantidad]]</f>
        <v>2.6145999999999999E-2</v>
      </c>
    </row>
    <row r="40" spans="1:12" x14ac:dyDescent="0.25">
      <c r="A40" s="9">
        <v>39</v>
      </c>
      <c r="B40" s="1" t="s">
        <v>96</v>
      </c>
      <c r="C40" s="1" t="s">
        <v>23</v>
      </c>
      <c r="D40" s="1"/>
      <c r="E40" s="1" t="s">
        <v>64</v>
      </c>
      <c r="F40" s="3"/>
      <c r="G40" s="4"/>
      <c r="H40" s="4">
        <f>19800*Tabla2457[[#This Row],[Peso '[kg']]]</f>
        <v>275.89319999999998</v>
      </c>
      <c r="I40" s="7">
        <f>13.934/1000</f>
        <v>1.3933999999999998E-2</v>
      </c>
      <c r="J40" s="1">
        <v>2</v>
      </c>
      <c r="K40" s="5">
        <f>(Tabla2457[[#This Row],[Precio US$]] + Tabla2457[[#This Row],[Precio AR$]]/Totales!$I$2)*Tabla2457[[#This Row],[Cantidad]]</f>
        <v>0.55366331865022422</v>
      </c>
      <c r="L40" s="7">
        <f>Tabla2457[[#This Row],[Peso '[kg']]]*Tabla2457[[#This Row],[Cantidad]]</f>
        <v>2.7867999999999997E-2</v>
      </c>
    </row>
    <row r="41" spans="1:12" x14ac:dyDescent="0.25">
      <c r="A41" s="9">
        <v>40</v>
      </c>
      <c r="B41" s="1" t="s">
        <v>97</v>
      </c>
      <c r="C41" s="1" t="s">
        <v>23</v>
      </c>
      <c r="D41" s="1"/>
      <c r="E41" s="1" t="s">
        <v>64</v>
      </c>
      <c r="F41" s="1"/>
      <c r="G41" s="4"/>
      <c r="H41" s="4">
        <f>19800*Tabla2457[[#This Row],[Peso '[kg']]]</f>
        <v>432.61020000000002</v>
      </c>
      <c r="I41" s="7">
        <f>21.849/1000</f>
        <v>2.1849E-2</v>
      </c>
      <c r="J41" s="1">
        <v>2</v>
      </c>
      <c r="K41" s="5">
        <f>(Tabla2457[[#This Row],[Precio US$]] + Tabla2457[[#This Row],[Precio AR$]]/Totales!$I$2)*Tabla2457[[#This Row],[Cantidad]]</f>
        <v>0.86816347417746165</v>
      </c>
      <c r="L41" s="7">
        <f>Tabla2457[[#This Row],[Peso '[kg']]]*Tabla2457[[#This Row],[Cantidad]]</f>
        <v>4.3698000000000001E-2</v>
      </c>
    </row>
    <row r="42" spans="1:12" x14ac:dyDescent="0.25">
      <c r="A42" s="9">
        <v>41</v>
      </c>
      <c r="B42" s="1" t="s">
        <v>98</v>
      </c>
      <c r="C42" s="1" t="s">
        <v>23</v>
      </c>
      <c r="D42" s="1"/>
      <c r="E42" s="1" t="s">
        <v>64</v>
      </c>
      <c r="F42" s="1"/>
      <c r="G42" s="4"/>
      <c r="H42" s="4">
        <f>19800*Tabla2457[[#This Row],[Peso '[kg']]]</f>
        <v>350.61839999999995</v>
      </c>
      <c r="I42" s="7">
        <f>17.708/1000</f>
        <v>1.7707999999999998E-2</v>
      </c>
      <c r="J42" s="1">
        <v>2</v>
      </c>
      <c r="K42" s="5">
        <f>(Tabla2457[[#This Row],[Precio US$]] + Tabla2457[[#This Row],[Precio AR$]]/Totales!$I$2)*Tabla2457[[#This Row],[Cantidad]]</f>
        <v>0.70362207884729222</v>
      </c>
      <c r="L42" s="7">
        <f>Tabla2457[[#This Row],[Peso '[kg']]]*Tabla2457[[#This Row],[Cantidad]]</f>
        <v>3.5415999999999996E-2</v>
      </c>
    </row>
    <row r="43" spans="1:12" x14ac:dyDescent="0.25">
      <c r="A43" s="9">
        <v>42</v>
      </c>
      <c r="B43" s="1" t="s">
        <v>99</v>
      </c>
      <c r="C43" s="1"/>
      <c r="D43" s="1"/>
      <c r="E43" s="1"/>
      <c r="F43" s="1"/>
      <c r="G43" s="4">
        <f>490+255</f>
        <v>745</v>
      </c>
      <c r="H43" s="4"/>
      <c r="I43" s="7">
        <f>(45 + 172)/1000</f>
        <v>0.217</v>
      </c>
      <c r="J43" s="1">
        <v>1</v>
      </c>
      <c r="K43" s="5">
        <f>(Tabla2457[[#This Row],[Precio US$]] + Tabla2457[[#This Row],[Precio AR$]]/Totales!$I$2)*Tabla2457[[#This Row],[Cantidad]]</f>
        <v>745</v>
      </c>
      <c r="L43" s="7">
        <f>Tabla2457[[#This Row],[Peso '[kg']]]*Tabla2457[[#This Row],[Cantidad]]</f>
        <v>0.217</v>
      </c>
    </row>
    <row r="44" spans="1:12" x14ac:dyDescent="0.25">
      <c r="A44" s="9">
        <v>43</v>
      </c>
      <c r="B44" s="1" t="s">
        <v>100</v>
      </c>
      <c r="C44" s="1" t="s">
        <v>23</v>
      </c>
      <c r="D44" s="1"/>
      <c r="E44" s="1" t="s">
        <v>64</v>
      </c>
      <c r="F44" s="1"/>
      <c r="G44" s="4"/>
      <c r="H44" s="4">
        <f>19800*Tabla2457[[#This Row],[Peso '[kg']]]</f>
        <v>468.72539999999998</v>
      </c>
      <c r="I44" s="7">
        <v>2.3673E-2</v>
      </c>
      <c r="J44" s="1">
        <v>1</v>
      </c>
      <c r="K44" s="5">
        <f>(Tabla2457[[#This Row],[Precio US$]] + Tabla2457[[#This Row],[Precio AR$]]/Totales!$I$2)*Tabla2457[[#This Row],[Cantidad]]</f>
        <v>0.47031978406799047</v>
      </c>
      <c r="L44" s="7">
        <f>Tabla2457[[#This Row],[Peso '[kg']]]*Tabla2457[[#This Row],[Cantidad]]</f>
        <v>2.3673E-2</v>
      </c>
    </row>
    <row r="45" spans="1:12" x14ac:dyDescent="0.25">
      <c r="A45" s="9">
        <v>44</v>
      </c>
      <c r="B45" s="1" t="s">
        <v>101</v>
      </c>
      <c r="C45" s="1" t="s">
        <v>23</v>
      </c>
      <c r="D45" s="1"/>
      <c r="E45" s="1" t="s">
        <v>64</v>
      </c>
      <c r="F45" s="1"/>
      <c r="G45" s="4"/>
      <c r="H45" s="4">
        <f>19800*Tabla2457[[#This Row],[Peso '[kg']]]</f>
        <v>237.4614</v>
      </c>
      <c r="I45" s="7">
        <v>1.1993E-2</v>
      </c>
      <c r="J45" s="1">
        <v>1</v>
      </c>
      <c r="K45" s="5">
        <f>(Tabla2457[[#This Row],[Precio US$]] + Tabla2457[[#This Row],[Precio AR$]]/Totales!$I$2)*Tabla2457[[#This Row],[Cantidad]]</f>
        <v>0.23826913235869598</v>
      </c>
      <c r="L45" s="7">
        <f>Tabla2457[[#This Row],[Peso '[kg']]]*Tabla2457[[#This Row],[Cantidad]]</f>
        <v>1.1993E-2</v>
      </c>
    </row>
    <row r="46" spans="1:12" x14ac:dyDescent="0.25">
      <c r="A46" s="9">
        <v>45</v>
      </c>
      <c r="B46" s="1" t="s">
        <v>102</v>
      </c>
      <c r="C46" s="1" t="s">
        <v>23</v>
      </c>
      <c r="D46" s="1"/>
      <c r="E46" s="1" t="s">
        <v>64</v>
      </c>
      <c r="F46" s="1"/>
      <c r="G46" s="4"/>
      <c r="H46" s="4">
        <f>19800*Tabla2457[[#This Row],[Peso '[kg']]]</f>
        <v>252.351</v>
      </c>
      <c r="I46" s="7">
        <v>1.2744999999999999E-2</v>
      </c>
      <c r="J46" s="1">
        <v>1</v>
      </c>
      <c r="K46" s="5">
        <f>(Tabla2457[[#This Row],[Precio US$]] + Tabla2457[[#This Row],[Precio AR$]]/Totales!$I$2)*Tabla2457[[#This Row],[Cantidad]]</f>
        <v>0.25320937979751357</v>
      </c>
      <c r="L46" s="7">
        <f>Tabla2457[[#This Row],[Peso '[kg']]]*Tabla2457[[#This Row],[Cantidad]]</f>
        <v>1.2744999999999999E-2</v>
      </c>
    </row>
    <row r="47" spans="1:12" x14ac:dyDescent="0.25">
      <c r="A47" s="9">
        <v>46</v>
      </c>
      <c r="B47" s="1" t="s">
        <v>103</v>
      </c>
      <c r="C47" s="1" t="s">
        <v>23</v>
      </c>
      <c r="D47" s="1"/>
      <c r="E47" s="1" t="s">
        <v>64</v>
      </c>
      <c r="F47" s="1"/>
      <c r="G47" s="4"/>
      <c r="H47" s="4">
        <f>19800*Tabla2457[[#This Row],[Peso '[kg']]]</f>
        <v>265.91399999999999</v>
      </c>
      <c r="I47" s="7">
        <v>1.3429999999999999E-2</v>
      </c>
      <c r="J47" s="1">
        <v>1</v>
      </c>
      <c r="K47" s="5">
        <f>(Tabla2457[[#This Row],[Precio US$]] + Tabla2457[[#This Row],[Precio AR$]]/Totales!$I$2)*Tabla2457[[#This Row],[Cantidad]]</f>
        <v>0.26681851476505353</v>
      </c>
      <c r="L47" s="7">
        <f>Tabla2457[[#This Row],[Peso '[kg']]]*Tabla2457[[#This Row],[Cantidad]]</f>
        <v>1.3429999999999999E-2</v>
      </c>
    </row>
    <row r="48" spans="1:12" x14ac:dyDescent="0.25">
      <c r="A48" s="9">
        <v>47</v>
      </c>
      <c r="B48" s="1" t="s">
        <v>104</v>
      </c>
      <c r="C48" s="1" t="s">
        <v>23</v>
      </c>
      <c r="D48" s="1"/>
      <c r="E48" s="1" t="s">
        <v>64</v>
      </c>
      <c r="F48" s="1"/>
      <c r="G48" s="4"/>
      <c r="H48" s="4">
        <f>19800*Tabla2457[[#This Row],[Peso '[kg']]]</f>
        <v>528.64020000000005</v>
      </c>
      <c r="I48" s="7">
        <v>2.6699000000000001E-2</v>
      </c>
      <c r="J48" s="1">
        <v>4</v>
      </c>
      <c r="K48" s="5">
        <f>(Tabla2457[[#This Row],[Precio US$]] + Tabla2457[[#This Row],[Precio AR$]]/Totales!$I$2)*Tabla2457[[#This Row],[Cantidad]]</f>
        <v>2.1217535445159093</v>
      </c>
      <c r="L48" s="7">
        <f>Tabla2457[[#This Row],[Peso '[kg']]]*Tabla2457[[#This Row],[Cantidad]]</f>
        <v>0.106796</v>
      </c>
    </row>
    <row r="49" spans="1:12" x14ac:dyDescent="0.25">
      <c r="A49" s="9">
        <v>48</v>
      </c>
      <c r="B49" s="1" t="s">
        <v>105</v>
      </c>
      <c r="C49" s="1"/>
      <c r="D49" s="1"/>
      <c r="E49" s="1"/>
      <c r="F49" s="3"/>
      <c r="G49" s="4"/>
      <c r="H49" s="4"/>
      <c r="I49" s="7">
        <v>1.3500000000000001E-3</v>
      </c>
      <c r="J49" s="1">
        <v>2</v>
      </c>
      <c r="K49" s="5">
        <f>(Tabla2457[[#This Row],[Precio US$]] + Tabla2457[[#This Row],[Precio AR$]]/Totales!$I$2)*Tabla2457[[#This Row],[Cantidad]]</f>
        <v>0</v>
      </c>
      <c r="L49" s="7">
        <f>Tabla2457[[#This Row],[Peso '[kg']]]*Tabla2457[[#This Row],[Cantidad]]</f>
        <v>2.7000000000000001E-3</v>
      </c>
    </row>
    <row r="50" spans="1:12" x14ac:dyDescent="0.25">
      <c r="A50" s="9">
        <v>49</v>
      </c>
      <c r="B50" s="1" t="s">
        <v>106</v>
      </c>
      <c r="C50" s="1" t="s">
        <v>23</v>
      </c>
      <c r="D50" s="1"/>
      <c r="E50" s="1" t="s">
        <v>64</v>
      </c>
      <c r="F50" s="1"/>
      <c r="G50" s="4"/>
      <c r="H50" s="4">
        <f>19800*Tabla2457[[#This Row],[Peso '[kg']]]</f>
        <v>121.35419999999999</v>
      </c>
      <c r="I50" s="7">
        <f>6.129/1000</f>
        <v>6.1289999999999999E-3</v>
      </c>
      <c r="J50" s="1">
        <v>1</v>
      </c>
      <c r="K50" s="5">
        <f>(Tabla2457[[#This Row],[Precio US$]] + Tabla2457[[#This Row],[Precio AR$]]/Totales!$I$2)*Tabla2457[[#This Row],[Cantidad]]</f>
        <v>0.12176699009642687</v>
      </c>
      <c r="L50" s="7">
        <f>Tabla2457[[#This Row],[Peso '[kg']]]*Tabla2457[[#This Row],[Cantidad]]</f>
        <v>6.1289999999999999E-3</v>
      </c>
    </row>
    <row r="51" spans="1:12" x14ac:dyDescent="0.25">
      <c r="A51" s="9">
        <v>50</v>
      </c>
      <c r="B51" s="1" t="s">
        <v>77</v>
      </c>
      <c r="C51" s="1"/>
      <c r="D51" s="1"/>
      <c r="E51" s="1" t="s">
        <v>16</v>
      </c>
      <c r="F51" s="3"/>
      <c r="G51" s="4">
        <v>34.950000000000003</v>
      </c>
      <c r="H51" s="4"/>
      <c r="I51" s="7">
        <v>3.0000000000000001E-3</v>
      </c>
      <c r="J51" s="1">
        <v>1</v>
      </c>
      <c r="K51" s="5">
        <f>(Tabla2457[[#This Row],[Precio US$]] + Tabla2457[[#This Row],[Precio AR$]]/Totales!$I$2)*Tabla2457[[#This Row],[Cantidad]]</f>
        <v>34.950000000000003</v>
      </c>
      <c r="L51" s="7">
        <f>Tabla2457[[#This Row],[Peso '[kg']]]*Tabla2457[[#This Row],[Cantidad]]</f>
        <v>3.0000000000000001E-3</v>
      </c>
    </row>
    <row r="52" spans="1:12" x14ac:dyDescent="0.25">
      <c r="A52" s="9">
        <v>51</v>
      </c>
      <c r="B52" s="1" t="s">
        <v>107</v>
      </c>
      <c r="C52" s="1" t="s">
        <v>23</v>
      </c>
      <c r="D52" s="1"/>
      <c r="E52" s="1" t="s">
        <v>64</v>
      </c>
      <c r="F52" s="1"/>
      <c r="G52" s="4"/>
      <c r="H52" s="4">
        <f>19800*Tabla2457[[#This Row],[Peso '[kg']]]</f>
        <v>388.89179999999999</v>
      </c>
      <c r="I52" s="7">
        <v>1.9640999999999999E-2</v>
      </c>
      <c r="J52" s="1">
        <v>2</v>
      </c>
      <c r="K52" s="5">
        <f>(Tabla2457[[#This Row],[Precio US$]] + Tabla2457[[#This Row],[Precio AR$]]/Totales!$I$2)*Tabla2457[[#This Row],[Cantidad]]</f>
        <v>0.78042925517504336</v>
      </c>
      <c r="L52" s="7">
        <f>Tabla2457[[#This Row],[Peso '[kg']]]*Tabla2457[[#This Row],[Cantidad]]</f>
        <v>3.9281999999999997E-2</v>
      </c>
    </row>
    <row r="53" spans="1:12" x14ac:dyDescent="0.25">
      <c r="A53" s="9">
        <v>52</v>
      </c>
      <c r="B53" s="1" t="s">
        <v>108</v>
      </c>
      <c r="C53" s="1" t="s">
        <v>23</v>
      </c>
      <c r="D53" s="1"/>
      <c r="E53" s="1" t="s">
        <v>64</v>
      </c>
      <c r="F53" s="3"/>
      <c r="G53" s="4"/>
      <c r="H53" s="4">
        <f>19800*Tabla2457[[#This Row],[Peso '[kg']]]</f>
        <v>419.77980000000002</v>
      </c>
      <c r="I53" s="7">
        <v>2.1201000000000001E-2</v>
      </c>
      <c r="J53" s="1">
        <v>1</v>
      </c>
      <c r="K53" s="5">
        <f>(Tabla2457[[#This Row],[Precio US$]] + Tabla2457[[#This Row],[Precio AR$]]/Totales!$I$2)*Tabla2457[[#This Row],[Cantidad]]</f>
        <v>0.42120769408294118</v>
      </c>
      <c r="L53" s="7">
        <f>Tabla2457[[#This Row],[Peso '[kg']]]*Tabla2457[[#This Row],[Cantidad]]</f>
        <v>2.1201000000000001E-2</v>
      </c>
    </row>
    <row r="54" spans="1:12" x14ac:dyDescent="0.25">
      <c r="A54" s="9">
        <v>53</v>
      </c>
      <c r="B54" s="1" t="s">
        <v>109</v>
      </c>
      <c r="C54" s="1" t="s">
        <v>23</v>
      </c>
      <c r="D54" s="1"/>
      <c r="E54" s="1" t="s">
        <v>64</v>
      </c>
      <c r="F54" s="3"/>
      <c r="G54" s="4"/>
      <c r="H54" s="4">
        <f>19800*Tabla2457[[#This Row],[Peso '[kg']]]</f>
        <v>778.37760000000003</v>
      </c>
      <c r="I54" s="7">
        <v>3.9312E-2</v>
      </c>
      <c r="J54" s="1">
        <v>1</v>
      </c>
      <c r="K54" s="5">
        <f>(Tabla2457[[#This Row],[Precio US$]] + Tabla2457[[#This Row],[Precio AR$]]/Totales!$I$2)*Tabla2457[[#This Row],[Cantidad]]</f>
        <v>0.7810252756845707</v>
      </c>
      <c r="L54" s="7">
        <f>Tabla2457[[#This Row],[Peso '[kg']]]*Tabla2457[[#This Row],[Cantidad]]</f>
        <v>3.9312E-2</v>
      </c>
    </row>
    <row r="55" spans="1:12" x14ac:dyDescent="0.25">
      <c r="A55" s="9">
        <v>54</v>
      </c>
      <c r="B55" s="1"/>
      <c r="C55" s="1"/>
      <c r="D55" s="1"/>
      <c r="E55" s="1"/>
      <c r="F55" s="3"/>
      <c r="G55" s="4"/>
      <c r="H55" s="4"/>
      <c r="I55" s="7"/>
      <c r="J55" s="1"/>
      <c r="K55" s="5">
        <f>(Tabla2457[[#This Row],[Precio US$]] + Tabla2457[[#This Row],[Precio AR$]]/Totales!$I$2)*Tabla2457[[#This Row],[Cantidad]]</f>
        <v>0</v>
      </c>
      <c r="L55" s="7">
        <f>Tabla2457[[#This Row],[Peso '[kg']]]*Tabla2457[[#This Row],[Cantidad]]</f>
        <v>0</v>
      </c>
    </row>
    <row r="56" spans="1:12" x14ac:dyDescent="0.25">
      <c r="A56" s="9">
        <v>55</v>
      </c>
      <c r="B56" s="1"/>
      <c r="C56" s="1"/>
      <c r="D56" s="1"/>
      <c r="E56" s="1"/>
      <c r="F56" s="3"/>
      <c r="G56" s="4"/>
      <c r="H56" s="4"/>
      <c r="I56" s="7"/>
      <c r="J56" s="1"/>
      <c r="K56" s="5">
        <f>(Tabla2457[[#This Row],[Precio US$]] + Tabla2457[[#This Row],[Precio AR$]]/Totales!$I$2)*Tabla2457[[#This Row],[Cantidad]]</f>
        <v>0</v>
      </c>
      <c r="L56" s="7">
        <f>Tabla2457[[#This Row],[Peso '[kg']]]*Tabla2457[[#This Row],[Cantidad]]</f>
        <v>0</v>
      </c>
    </row>
    <row r="57" spans="1:12" x14ac:dyDescent="0.25">
      <c r="A57" s="9">
        <v>56</v>
      </c>
      <c r="B57" s="1"/>
      <c r="C57" s="1"/>
      <c r="D57" s="1"/>
      <c r="E57" s="1"/>
      <c r="F57" s="1"/>
      <c r="G57" s="4"/>
      <c r="H57" s="4"/>
      <c r="I57" s="7"/>
      <c r="J57" s="1"/>
      <c r="K57" s="5">
        <f>(Tabla2457[[#This Row],[Precio US$]] + Tabla2457[[#This Row],[Precio AR$]]/Totales!$I$2)*Tabla2457[[#This Row],[Cantidad]]</f>
        <v>0</v>
      </c>
      <c r="L57" s="7">
        <f>Tabla2457[[#This Row],[Peso '[kg']]]*Tabla2457[[#This Row],[Cantidad]]</f>
        <v>0</v>
      </c>
    </row>
    <row r="58" spans="1:12" x14ac:dyDescent="0.25">
      <c r="A58" s="1"/>
      <c r="B58" s="1"/>
      <c r="C58" s="1"/>
      <c r="D58" s="1"/>
      <c r="E58" s="1"/>
      <c r="F58" s="1"/>
      <c r="G58" s="8"/>
      <c r="H58" s="8"/>
      <c r="I58" s="1"/>
      <c r="J58" s="1"/>
      <c r="K58" s="5">
        <f>SUM(Tabla2457[Total Precio US$])</f>
        <v>2672.9694441211259</v>
      </c>
      <c r="L58" s="1">
        <f>SUM(Tabla2457[Total Peso '[kg']])</f>
        <v>3.6549689536070979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Totales</vt:lpstr>
      <vt:lpstr>Modulo Link 1</vt:lpstr>
      <vt:lpstr>Modulo Link 2</vt:lpstr>
      <vt:lpstr>Link 3</vt:lpstr>
      <vt:lpstr>Cuerpo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Tadeo Casiraghi</dc:creator>
  <cp:lastModifiedBy>Casiraghi, Tadeo</cp:lastModifiedBy>
  <dcterms:created xsi:type="dcterms:W3CDTF">2021-03-04T14:15:34Z</dcterms:created>
  <dcterms:modified xsi:type="dcterms:W3CDTF">2024-06-10T17:15:40Z</dcterms:modified>
</cp:coreProperties>
</file>