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it Saini\Desktop\SUN PHARMA\"/>
    </mc:Choice>
  </mc:AlternateContent>
  <xr:revisionPtr revIDLastSave="0" documentId="8_{5B491062-A2D4-4BF6-96C9-D9F2F51EE0D9}" xr6:coauthVersionLast="47" xr6:coauthVersionMax="47" xr10:uidLastSave="{00000000-0000-0000-0000-000000000000}"/>
  <bookViews>
    <workbookView xWindow="-98" yWindow="-98" windowWidth="21795" windowHeight="12975" activeTab="8" xr2:uid="{41E5085C-6C8D-4FD4-A309-0FD3FF4F3BF2}"/>
  </bookViews>
  <sheets>
    <sheet name="SUNPHARMA.NS (1)" sheetId="1" r:id="rId1"/>
    <sheet name="NIFTY" sheetId="2" r:id="rId2"/>
    <sheet name="b reg" sheetId="3" r:id="rId3"/>
    <sheet name="ROM" sheetId="4" r:id="rId4"/>
    <sheet name="Sheet4" sheetId="5" r:id="rId5"/>
    <sheet name="WACC" sheetId="6" r:id="rId6"/>
    <sheet name="Sheet1" sheetId="7" r:id="rId7"/>
    <sheet name="growth" sheetId="8" r:id="rId8"/>
    <sheet name="DCF" sheetId="9" r:id="rId9"/>
  </sheets>
  <definedNames>
    <definedName name="_xlnm._FilterDatabase" localSheetId="3" hidden="1">ROM!$B$7:$C$31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9" l="1"/>
  <c r="C28" i="9" l="1"/>
  <c r="C27" i="9"/>
  <c r="E16" i="9"/>
  <c r="F15" i="9"/>
  <c r="G15" i="9" s="1"/>
  <c r="E13" i="9"/>
  <c r="D10" i="9"/>
  <c r="E10" i="9" s="1"/>
  <c r="N31" i="8"/>
  <c r="N30" i="8"/>
  <c r="N28" i="8"/>
  <c r="M28" i="8"/>
  <c r="L28" i="8"/>
  <c r="K28" i="8"/>
  <c r="K25" i="8"/>
  <c r="N26" i="8"/>
  <c r="M26" i="8"/>
  <c r="L26" i="8"/>
  <c r="K26" i="8"/>
  <c r="J26" i="8"/>
  <c r="N25" i="8"/>
  <c r="M25" i="8"/>
  <c r="L25" i="8"/>
  <c r="N20" i="8"/>
  <c r="N19" i="8"/>
  <c r="N17" i="8"/>
  <c r="M17" i="8"/>
  <c r="L17" i="8"/>
  <c r="K17" i="8"/>
  <c r="N15" i="8"/>
  <c r="M15" i="8"/>
  <c r="L15" i="8"/>
  <c r="K15" i="8"/>
  <c r="N13" i="8"/>
  <c r="M13" i="8"/>
  <c r="L13" i="8"/>
  <c r="K13" i="8"/>
  <c r="J13" i="8"/>
  <c r="N11" i="8"/>
  <c r="M11" i="8"/>
  <c r="L11" i="8"/>
  <c r="K11" i="8"/>
  <c r="J11" i="8"/>
  <c r="N9" i="8"/>
  <c r="M9" i="8"/>
  <c r="L9" i="8"/>
  <c r="K9" i="8"/>
  <c r="N8" i="8"/>
  <c r="M8" i="8"/>
  <c r="L8" i="8"/>
  <c r="K8" i="8"/>
  <c r="J8" i="8"/>
  <c r="G39" i="8"/>
  <c r="F39" i="8"/>
  <c r="E39" i="8"/>
  <c r="D39" i="8"/>
  <c r="C39" i="8"/>
  <c r="F16" i="9" l="1"/>
  <c r="D12" i="9"/>
  <c r="D14" i="9" s="1"/>
  <c r="H15" i="9"/>
  <c r="G16" i="9"/>
  <c r="F10" i="9"/>
  <c r="E12" i="9"/>
  <c r="E14" i="9" s="1"/>
  <c r="E18" i="9" s="1"/>
  <c r="F13" i="9"/>
  <c r="G36" i="8"/>
  <c r="F36" i="8"/>
  <c r="E36" i="8"/>
  <c r="D36" i="8"/>
  <c r="C36" i="8"/>
  <c r="I15" i="9" l="1"/>
  <c r="I16" i="9" s="1"/>
  <c r="H16" i="9"/>
  <c r="G10" i="9"/>
  <c r="F12" i="9"/>
  <c r="G13" i="9"/>
  <c r="F14" i="9"/>
  <c r="F18" i="9" s="1"/>
  <c r="C34" i="8"/>
  <c r="G32" i="8"/>
  <c r="G34" i="8" s="1"/>
  <c r="F32" i="8"/>
  <c r="F34" i="8" s="1"/>
  <c r="E32" i="8"/>
  <c r="E34" i="8" s="1"/>
  <c r="D32" i="8"/>
  <c r="D34" i="8" s="1"/>
  <c r="C32" i="8"/>
  <c r="G21" i="8"/>
  <c r="F21" i="8"/>
  <c r="E21" i="8"/>
  <c r="G19" i="8"/>
  <c r="F19" i="8"/>
  <c r="E19" i="8"/>
  <c r="D19" i="8"/>
  <c r="D21" i="8" s="1"/>
  <c r="C19" i="8"/>
  <c r="C21" i="8" s="1"/>
  <c r="G13" i="8"/>
  <c r="F13" i="8"/>
  <c r="E13" i="8"/>
  <c r="D13" i="8"/>
  <c r="C13" i="8"/>
  <c r="E24" i="6"/>
  <c r="C34" i="6"/>
  <c r="C33" i="6"/>
  <c r="C35" i="6" s="1"/>
  <c r="I19" i="6"/>
  <c r="I18" i="6"/>
  <c r="H18" i="6"/>
  <c r="E33" i="6" s="1"/>
  <c r="F19" i="6"/>
  <c r="E25" i="6" s="1"/>
  <c r="J34" i="6" s="1"/>
  <c r="F18" i="6"/>
  <c r="J16" i="6"/>
  <c r="J15" i="6"/>
  <c r="H16" i="6"/>
  <c r="H15" i="6"/>
  <c r="H14" i="6"/>
  <c r="H13" i="6"/>
  <c r="H12" i="6"/>
  <c r="H19" i="6" s="1"/>
  <c r="G16" i="6"/>
  <c r="G15" i="6"/>
  <c r="G14" i="6"/>
  <c r="J14" i="6" s="1"/>
  <c r="G13" i="6"/>
  <c r="J13" i="6" s="1"/>
  <c r="G12" i="6"/>
  <c r="J12" i="6" s="1"/>
  <c r="H10" i="9" l="1"/>
  <c r="G12" i="9"/>
  <c r="H13" i="9"/>
  <c r="G14" i="9"/>
  <c r="G18" i="9" s="1"/>
  <c r="J43" i="6"/>
  <c r="E34" i="6"/>
  <c r="D34" i="6"/>
  <c r="D33" i="6"/>
  <c r="D37" i="6" s="1"/>
  <c r="E26" i="6"/>
  <c r="J42" i="6" s="1"/>
  <c r="G18" i="6"/>
  <c r="J19" i="6"/>
  <c r="J32" i="6" s="1"/>
  <c r="J18" i="6"/>
  <c r="G19" i="6"/>
  <c r="F8" i="4"/>
  <c r="F11" i="4" s="1"/>
  <c r="J25" i="6" s="1"/>
  <c r="J16" i="3"/>
  <c r="J10" i="3"/>
  <c r="M24" i="3"/>
  <c r="I10" i="9" l="1"/>
  <c r="I12" i="9" s="1"/>
  <c r="I14" i="9" s="1"/>
  <c r="H12" i="9"/>
  <c r="H14" i="9" s="1"/>
  <c r="H18" i="9" s="1"/>
  <c r="J40" i="6"/>
  <c r="E35" i="6"/>
  <c r="E37" i="6"/>
  <c r="J33" i="6" s="1"/>
  <c r="J35" i="6" s="1"/>
  <c r="J26" i="6" s="1"/>
  <c r="J27" i="6" s="1"/>
  <c r="J39" i="6" s="1"/>
  <c r="J45" i="6" s="1"/>
  <c r="D35" i="6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C26" i="9" l="1"/>
  <c r="C30" i="9" s="1"/>
  <c r="E25" i="9" s="1"/>
  <c r="I18" i="9"/>
  <c r="C35" i="9" s="1"/>
  <c r="M22" i="3"/>
  <c r="M23" i="3"/>
  <c r="C36" i="9" l="1"/>
  <c r="C37" i="9" s="1"/>
  <c r="C41" i="9" s="1"/>
  <c r="C44" i="9" s="1"/>
  <c r="C47" i="9" l="1"/>
  <c r="E34" i="9"/>
</calcChain>
</file>

<file path=xl/sharedStrings.xml><?xml version="1.0" encoding="utf-8"?>
<sst xmlns="http://schemas.openxmlformats.org/spreadsheetml/2006/main" count="278" uniqueCount="223">
  <si>
    <t>Date</t>
  </si>
  <si>
    <t>Adj Close</t>
  </si>
  <si>
    <t>BETA REGRESSION</t>
  </si>
  <si>
    <t>Two years Weekly</t>
  </si>
  <si>
    <t>Weekly Returns</t>
  </si>
  <si>
    <t>Sun Pharmaceuticals Industries Ltd Weekly Returns</t>
  </si>
  <si>
    <t>Closing Price</t>
  </si>
  <si>
    <t>Nifty Weekly Returns</t>
  </si>
  <si>
    <t>Beta Drifting</t>
  </si>
  <si>
    <t>Levered Raw Beta</t>
  </si>
  <si>
    <t>Raw Beta Weight</t>
  </si>
  <si>
    <t xml:space="preserve">Market Beta </t>
  </si>
  <si>
    <t>Market Beta Weight</t>
  </si>
  <si>
    <t>Adjusted Beta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</si>
  <si>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</si>
  <si>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</si>
  <si>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</si>
  <si>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</si>
  <si>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</si>
  <si>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</si>
  <si>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</si>
  <si>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</si>
  <si>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</si>
  <si>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</si>
  <si>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</si>
  <si>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</si>
  <si>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</si>
  <si>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</si>
  <si>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</si>
  <si>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</si>
  <si>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</si>
  <si>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</si>
  <si>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</si>
  <si>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</si>
  <si>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</si>
  <si>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</si>
  <si>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</si>
  <si>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</si>
  <si>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</si>
  <si>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Beta 1</t>
  </si>
  <si>
    <t>Beta 2</t>
  </si>
  <si>
    <t>Beta 3</t>
  </si>
  <si>
    <t>Slope</t>
  </si>
  <si>
    <t>Cov./var.</t>
  </si>
  <si>
    <t>Regresssion</t>
  </si>
  <si>
    <t>Beta Calculation</t>
  </si>
  <si>
    <t>Years</t>
  </si>
  <si>
    <t>Annual</t>
  </si>
  <si>
    <t>Returns On Market</t>
  </si>
  <si>
    <t>Avearge Return</t>
  </si>
  <si>
    <t>Dividend Yield</t>
  </si>
  <si>
    <t>Total Market Returns</t>
  </si>
  <si>
    <t>S.No.</t>
  </si>
  <si>
    <t>Name</t>
  </si>
  <si>
    <t>CMP Rs.</t>
  </si>
  <si>
    <t>Mar Cap Rs.Cr.</t>
  </si>
  <si>
    <t>Debt / Eq</t>
  </si>
  <si>
    <t>Debt Rs.Cr.</t>
  </si>
  <si>
    <t>Sun Pharma.Inds.</t>
  </si>
  <si>
    <t>Cipla</t>
  </si>
  <si>
    <t>Zydus Lifesci.</t>
  </si>
  <si>
    <t>Dr Reddy's Labs</t>
  </si>
  <si>
    <t>Mankind Pharma</t>
  </si>
  <si>
    <t>Weighted Average Cost of Capital</t>
  </si>
  <si>
    <t>All figures are in INR unless stated otherwise.</t>
  </si>
  <si>
    <t>Debt/</t>
  </si>
  <si>
    <t>Levered</t>
  </si>
  <si>
    <t>Unlevered</t>
  </si>
  <si>
    <t>Country</t>
  </si>
  <si>
    <t>Total Debt</t>
  </si>
  <si>
    <t>Total Equity</t>
  </si>
  <si>
    <t>Equity</t>
  </si>
  <si>
    <t>Capital</t>
  </si>
  <si>
    <r>
      <t>Tax Rate</t>
    </r>
    <r>
      <rPr>
        <vertAlign val="superscript"/>
        <sz val="11"/>
        <color theme="1"/>
        <rFont val="Calibri"/>
        <family val="2"/>
      </rPr>
      <t xml:space="preserve"> 1</t>
    </r>
  </si>
  <si>
    <r>
      <t xml:space="preserve">Beta </t>
    </r>
    <r>
      <rPr>
        <vertAlign val="superscript"/>
        <sz val="11"/>
        <color theme="1"/>
        <rFont val="Calibri"/>
        <family val="2"/>
      </rPr>
      <t>2</t>
    </r>
  </si>
  <si>
    <r>
      <t xml:space="preserve">Beta </t>
    </r>
    <r>
      <rPr>
        <vertAlign val="superscript"/>
        <sz val="11"/>
        <color theme="1"/>
        <rFont val="Calibri"/>
        <family val="2"/>
      </rPr>
      <t>3</t>
    </r>
  </si>
  <si>
    <t>India</t>
  </si>
  <si>
    <t>Peer Competitor Companies</t>
  </si>
  <si>
    <t>Avearge</t>
  </si>
  <si>
    <t>Median</t>
  </si>
  <si>
    <t>Cost of Debt</t>
  </si>
  <si>
    <t>Pre-tax Cost of Debt</t>
  </si>
  <si>
    <t>Tax Rate</t>
  </si>
  <si>
    <t>After Tax Cost of Debt</t>
  </si>
  <si>
    <t>Cost of Equity</t>
  </si>
  <si>
    <t>Risk Free Rate</t>
  </si>
  <si>
    <t>Equity Risk Premium</t>
  </si>
  <si>
    <t>Capital Structure</t>
  </si>
  <si>
    <t>Current</t>
  </si>
  <si>
    <t>Target</t>
  </si>
  <si>
    <t>Market Capitalization</t>
  </si>
  <si>
    <t>Total Capitalization</t>
  </si>
  <si>
    <t>Debt / Equity</t>
  </si>
  <si>
    <t xml:space="preserve">Levered Beta </t>
  </si>
  <si>
    <t>Comps Median Unlevered Beta</t>
  </si>
  <si>
    <t xml:space="preserve">Target Debt/ Equity  </t>
  </si>
  <si>
    <t>Levered Beta</t>
  </si>
  <si>
    <t>Equity Weight</t>
  </si>
  <si>
    <t>Debt Weight</t>
  </si>
  <si>
    <t>WACC</t>
  </si>
  <si>
    <r>
      <t xml:space="preserve">Levered Beta </t>
    </r>
    <r>
      <rPr>
        <vertAlign val="superscript"/>
        <sz val="11"/>
        <color theme="1"/>
        <rFont val="Calibri"/>
        <family val="2"/>
      </rPr>
      <t>4</t>
    </r>
  </si>
  <si>
    <t>1. Tax Rate considered as Marginal Tax Rate for the country</t>
  </si>
  <si>
    <t>2. Levered Beta is based on 5 year monthly data</t>
  </si>
  <si>
    <t>3. Unlevered Beta = Levered Beta/(1+(1-Tax Rate) x Debt/Equity)</t>
  </si>
  <si>
    <t>4. Levered Beta = Unlevered Beta/(1+(1-Tax Rate) x Debt/Equity)</t>
  </si>
  <si>
    <t>Equity Capital</t>
  </si>
  <si>
    <t>Reserves</t>
  </si>
  <si>
    <t>Borrowings -</t>
  </si>
  <si>
    <t>Long term Borrowings</t>
  </si>
  <si>
    <t>Short term Borrowings</t>
  </si>
  <si>
    <t>Lease Liabilities</t>
  </si>
  <si>
    <t>Other Borrowings</t>
  </si>
  <si>
    <t>Other Liabilities -</t>
  </si>
  <si>
    <t>Non controlling int</t>
  </si>
  <si>
    <t>Trade Payables</t>
  </si>
  <si>
    <t>Advance from Customers</t>
  </si>
  <si>
    <t>Other liability items</t>
  </si>
  <si>
    <t>Total Liabilities</t>
  </si>
  <si>
    <t>Fixed Assets -</t>
  </si>
  <si>
    <t>Land</t>
  </si>
  <si>
    <t>Building</t>
  </si>
  <si>
    <t>Plant Machinery</t>
  </si>
  <si>
    <t>Equipments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</si>
  <si>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</si>
  <si>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</si>
  <si>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</si>
  <si>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</si>
  <si>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</si>
  <si>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</si>
  <si>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</si>
  <si>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Investments</t>
  </si>
  <si>
    <t>Other Assets -</t>
  </si>
  <si>
    <t>Inventories</t>
  </si>
  <si>
    <t>Trade receivables</t>
  </si>
  <si>
    <t>Cash Equivalents</t>
  </si>
  <si>
    <t>Short term loans</t>
  </si>
  <si>
    <t>Other asset items</t>
  </si>
  <si>
    <t>Total Assets</t>
  </si>
  <si>
    <t>Cash from Operating Activity -</t>
  </si>
  <si>
    <t>Profit from operations</t>
  </si>
  <si>
    <t>Receivables</t>
  </si>
  <si>
    <t>Inventory</t>
  </si>
  <si>
    <t>Payables</t>
  </si>
  <si>
    <t>Loans Advances</t>
  </si>
  <si>
    <t>Other WC items</t>
  </si>
  <si>
    <t>Working capital changes</t>
  </si>
  <si>
    <t>Direct taxes</t>
  </si>
  <si>
    <t>Cash from Investing Activity -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</si>
  <si>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</si>
  <si>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</si>
  <si>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</si>
  <si>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</si>
  <si>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</si>
  <si>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</si>
  <si>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Investment in group cos</t>
  </si>
  <si>
    <t>Redemp n Canc of Shares</t>
  </si>
  <si>
    <t>Acquisition of companies</t>
  </si>
  <si>
    <t>Other investing items</t>
  </si>
  <si>
    <t>Cash from Financing Activity -</t>
  </si>
  <si>
    <t>Proceeds from shares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</si>
  <si>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</si>
  <si>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</si>
  <si>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</si>
  <si>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</si>
  <si>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</si>
  <si>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</si>
  <si>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Net Cash Flow</t>
  </si>
  <si>
    <t>Calculation of ROIC</t>
  </si>
  <si>
    <t>Particulars</t>
  </si>
  <si>
    <t>Current Assets</t>
  </si>
  <si>
    <t>Loans n Advances</t>
  </si>
  <si>
    <t>Total Current Assets</t>
  </si>
  <si>
    <t>Current Liabilities</t>
  </si>
  <si>
    <t>Total Current Liabilities</t>
  </si>
  <si>
    <t>Net Working Capital</t>
  </si>
  <si>
    <t>Non Current Assets</t>
  </si>
  <si>
    <t>Net Non Current Assets</t>
  </si>
  <si>
    <t>Invested Capital</t>
  </si>
  <si>
    <t>EBIT</t>
  </si>
  <si>
    <t>ROIC</t>
  </si>
  <si>
    <t xml:space="preserve"> </t>
  </si>
  <si>
    <t>Calculation of Reinvestment Rate</t>
  </si>
  <si>
    <t>Net Capex</t>
  </si>
  <si>
    <t>Change in Working Capital</t>
  </si>
  <si>
    <t>Marginal Tax Rate</t>
  </si>
  <si>
    <t>EBIT(1-T)</t>
  </si>
  <si>
    <t>Reinvestment</t>
  </si>
  <si>
    <t>Reinvestment Rate</t>
  </si>
  <si>
    <t>4 Year Median</t>
  </si>
  <si>
    <t>Intrinsic Growth</t>
  </si>
  <si>
    <t>Calculation of Intrinsic Growth</t>
  </si>
  <si>
    <t>4 Year Avearge</t>
  </si>
  <si>
    <t>Calculation of PV of FCFF</t>
  </si>
  <si>
    <t>Mar-25F</t>
  </si>
  <si>
    <t>Mar-26F</t>
  </si>
  <si>
    <t>Mar-27F</t>
  </si>
  <si>
    <t>Mar-24A</t>
  </si>
  <si>
    <t>Mar-28F</t>
  </si>
  <si>
    <t>Mar-29F</t>
  </si>
  <si>
    <t>Less: Reinvestment Rate</t>
  </si>
  <si>
    <t>Free Cash Flow to Firm (FCFF)</t>
  </si>
  <si>
    <t>Mid Year Convention</t>
  </si>
  <si>
    <t>Discounting Factor</t>
  </si>
  <si>
    <t>PV of FCFF</t>
  </si>
  <si>
    <t>Expected Growth</t>
  </si>
  <si>
    <t>Terminal Growth</t>
  </si>
  <si>
    <t>FCFF (n+1)</t>
  </si>
  <si>
    <t>Terminal Growth Rate</t>
  </si>
  <si>
    <t>Terminal Value</t>
  </si>
  <si>
    <t>PV of Terminal Value</t>
  </si>
  <si>
    <t>Value of Operating Assets</t>
  </si>
  <si>
    <t>Add: Cash</t>
  </si>
  <si>
    <t>Less: Debt</t>
  </si>
  <si>
    <t>Value of Equity</t>
  </si>
  <si>
    <t>No of Shares</t>
  </si>
  <si>
    <t>Equity Value per Share</t>
  </si>
  <si>
    <t>Calculation of Terminal Value</t>
  </si>
  <si>
    <t>Calculation of Equity Value per Share</t>
  </si>
  <si>
    <t>Share price</t>
  </si>
  <si>
    <t>Discount/Premium</t>
  </si>
  <si>
    <t>Sensitivity Analysis - Terminal Value</t>
  </si>
  <si>
    <t>Sensitivity Analysis - Equity Value per Share</t>
  </si>
  <si>
    <t>DCF 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</si>
</sst>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 * #,##0.00_ ;_ * \-#,##0.00_ ;_ * &quot;-&quot;??_ ;_ @_ "/>
    <numFmt numFmtId="164" formatCode="#,##0.0"/>
    <numFmt numFmtId="165" formatCode="0.000"/>
    <numFmt numFmtId="169" formatCode="_ * #,##0.00_ ;_ * \-#,##0.00_ ;_ * &quot;-&quot;??_ ;_ @_ "/>
    <numFmt numFmtId="174" formatCode="#,##0.0;\(#,##0.0\);\-"/>
    <numFmt numFmtId="189" formatCode="0.00\x"/>
    <numFmt numFmtId="190" formatCode="#,##0.0;\(#,##0.0\)"/>
    <numFmt numFmtId="193" formatCode="_(* #,##0.00_);_(* \(#,##0.00\);_(* &quot;-&quot;??_);_(@_)"/>
    <numFmt numFmtId="194" formatCode="#,##0.00;\(#,##0.00\)"/>
  </numFmts>
  <fonts count="3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i/>
      <sz val="11"/>
      <color theme="1"/>
      <name val="Calibri"/>
      <family val="2"/>
    </font>
    <font>
      <i/>
      <sz val="11"/>
      <color theme="1" tint="0.34998626667073579"/>
      <name val="Calibri"/>
      <family val="2"/>
    </font>
    <font>
      <b/>
      <sz val="14"/>
      <color theme="0"/>
      <name val="Calibri"/>
      <family val="2"/>
    </font>
    <font>
      <b/>
      <sz val="18"/>
      <color theme="0"/>
      <name val="Calibri"/>
      <family val="2"/>
    </font>
    <font>
      <i/>
      <sz val="11"/>
      <color theme="0" tint="-0.34998626667073579"/>
      <name val="Calibri"/>
      <family val="2"/>
    </font>
    <font>
      <vertAlign val="superscript"/>
      <sz val="11"/>
      <color theme="1"/>
      <name val="Calibri"/>
      <family val="2"/>
    </font>
    <font>
      <sz val="11"/>
      <color rgb="FF0000FF"/>
      <name val="Calibri"/>
      <family val="2"/>
    </font>
    <font>
      <b/>
      <sz val="14"/>
      <color theme="1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 Narrow"/>
      <family val="2"/>
    </font>
    <font>
      <i/>
      <sz val="9"/>
      <color theme="0" tint="-0.34998626667073579"/>
      <name val="calibri"/>
      <family val="2"/>
    </font>
    <font>
      <sz val="11"/>
      <color theme="0" tint="-0.34998626667073579"/>
      <name val="calibri"/>
      <family val="2"/>
    </font>
    <font>
      <sz val="11"/>
      <color theme="0" tint="-0.14999847407452621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thin">
        <color rgb="FF002060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5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169" fontId="27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8" fillId="29" borderId="0" applyNumberFormat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9" fillId="0" borderId="0"/>
  </cellStyleXfs>
  <cellXfs count="144">
    <xf numFmtId="0" fontId="0" fillId="0" borderId="0" xfId="0"/>
    <xf numFmtId="14" fontId="0" fillId="0" borderId="0" xfId="0" applyNumberFormat="1"/>
    <xf numFmtId="0" fontId="19" fillId="0" borderId="0" xfId="0" applyFont="1"/>
    <xf numFmtId="0" fontId="19" fillId="0" borderId="0" xfId="0" applyFont="1" applyAlignment="1">
      <alignment horizontal="left"/>
    </xf>
    <xf numFmtId="0" fontId="16" fillId="34" borderId="0" xfId="0" applyFont="1" applyFill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/>
    <xf numFmtId="10" fontId="0" fillId="0" borderId="0" xfId="1" applyNumberFormat="1" applyFont="1"/>
    <xf numFmtId="0" fontId="0" fillId="35" borderId="0" xfId="0" applyFill="1"/>
    <xf numFmtId="0" fontId="0" fillId="0" borderId="10" xfId="0" applyBorder="1"/>
    <xf numFmtId="0" fontId="18" fillId="0" borderId="12" xfId="0" applyFont="1" applyBorder="1" applyAlignment="1">
      <alignment horizontal="center"/>
    </xf>
    <xf numFmtId="0" fontId="18" fillId="0" borderId="12" xfId="0" applyFont="1" applyBorder="1" applyAlignment="1">
      <alignment horizontal="centerContinuous"/>
    </xf>
    <xf numFmtId="10" fontId="0" fillId="0" borderId="0" xfId="0" applyNumberFormat="1"/>
    <xf numFmtId="2" fontId="0" fillId="0" borderId="0" xfId="0" applyNumberFormat="1"/>
    <xf numFmtId="9" fontId="0" fillId="0" borderId="0" xfId="0" applyNumberFormat="1"/>
    <xf numFmtId="0" fontId="16" fillId="0" borderId="0" xfId="0" applyFont="1" applyAlignment="1">
      <alignment horizontal="right"/>
    </xf>
    <xf numFmtId="0" fontId="16" fillId="0" borderId="13" xfId="0" applyFont="1" applyBorder="1" applyAlignment="1">
      <alignment horizontal="left"/>
    </xf>
    <xf numFmtId="0" fontId="16" fillId="0" borderId="13" xfId="0" applyFont="1" applyBorder="1" applyAlignment="1">
      <alignment horizontal="right"/>
    </xf>
    <xf numFmtId="0" fontId="0" fillId="36" borderId="0" xfId="0" applyFill="1" applyAlignment="1">
      <alignment horizontal="right"/>
    </xf>
    <xf numFmtId="2" fontId="0" fillId="36" borderId="0" xfId="0" applyNumberFormat="1" applyFill="1"/>
    <xf numFmtId="2" fontId="0" fillId="36" borderId="0" xfId="0" applyNumberFormat="1" applyFill="1" applyAlignment="1">
      <alignment horizontal="right"/>
    </xf>
    <xf numFmtId="2" fontId="0" fillId="36" borderId="0" xfId="1" applyNumberFormat="1" applyFont="1" applyFill="1"/>
    <xf numFmtId="2" fontId="0" fillId="36" borderId="0" xfId="1" applyNumberFormat="1" applyFont="1" applyFill="1" applyAlignment="1">
      <alignment horizontal="right"/>
    </xf>
    <xf numFmtId="0" fontId="0" fillId="36" borderId="11" xfId="0" applyFill="1" applyBorder="1"/>
    <xf numFmtId="2" fontId="0" fillId="36" borderId="11" xfId="0" applyNumberFormat="1" applyFill="1" applyBorder="1"/>
    <xf numFmtId="0" fontId="16" fillId="0" borderId="0" xfId="0" applyFont="1"/>
    <xf numFmtId="0" fontId="0" fillId="0" borderId="13" xfId="0" applyBorder="1"/>
    <xf numFmtId="0" fontId="16" fillId="34" borderId="0" xfId="0" applyFont="1" applyFill="1" applyAlignment="1">
      <alignment horizontal="right"/>
    </xf>
    <xf numFmtId="10" fontId="0" fillId="36" borderId="11" xfId="0" applyNumberFormat="1" applyFill="1" applyBorder="1"/>
    <xf numFmtId="0" fontId="22" fillId="0" borderId="0" xfId="0" applyFont="1"/>
    <xf numFmtId="0" fontId="24" fillId="0" borderId="0" xfId="0" applyFont="1" applyAlignment="1">
      <alignment horizontal="left"/>
    </xf>
    <xf numFmtId="0" fontId="24" fillId="0" borderId="0" xfId="0" applyFont="1"/>
    <xf numFmtId="9" fontId="24" fillId="0" borderId="0" xfId="0" applyNumberFormat="1" applyFont="1"/>
    <xf numFmtId="0" fontId="0" fillId="0" borderId="14" xfId="0" applyBorder="1"/>
    <xf numFmtId="0" fontId="0" fillId="0" borderId="14" xfId="0" applyBorder="1" applyAlignment="1">
      <alignment horizontal="right"/>
    </xf>
    <xf numFmtId="0" fontId="0" fillId="0" borderId="13" xfId="0" applyBorder="1" applyAlignment="1">
      <alignment horizontal="left"/>
    </xf>
    <xf numFmtId="0" fontId="0" fillId="0" borderId="13" xfId="0" applyBorder="1" applyAlignment="1">
      <alignment horizontal="right"/>
    </xf>
    <xf numFmtId="164" fontId="24" fillId="0" borderId="0" xfId="0" applyNumberFormat="1" applyFont="1"/>
    <xf numFmtId="4" fontId="24" fillId="0" borderId="0" xfId="0" applyNumberFormat="1" applyFont="1"/>
    <xf numFmtId="0" fontId="16" fillId="0" borderId="15" xfId="0" applyFont="1" applyBorder="1"/>
    <xf numFmtId="10" fontId="0" fillId="0" borderId="15" xfId="0" applyNumberFormat="1" applyBorder="1"/>
    <xf numFmtId="0" fontId="16" fillId="0" borderId="16" xfId="0" applyFont="1" applyBorder="1"/>
    <xf numFmtId="10" fontId="0" fillId="0" borderId="16" xfId="0" applyNumberFormat="1" applyBorder="1"/>
    <xf numFmtId="10" fontId="24" fillId="0" borderId="0" xfId="0" applyNumberFormat="1" applyFont="1"/>
    <xf numFmtId="0" fontId="0" fillId="0" borderId="15" xfId="0" applyBorder="1"/>
    <xf numFmtId="0" fontId="16" fillId="34" borderId="13" xfId="0" applyFont="1" applyFill="1" applyBorder="1"/>
    <xf numFmtId="0" fontId="0" fillId="34" borderId="13" xfId="0" applyFill="1" applyBorder="1"/>
    <xf numFmtId="10" fontId="24" fillId="0" borderId="0" xfId="1" applyNumberFormat="1" applyFont="1"/>
    <xf numFmtId="165" fontId="0" fillId="0" borderId="0" xfId="0" applyNumberFormat="1"/>
    <xf numFmtId="10" fontId="0" fillId="36" borderId="15" xfId="1" applyNumberFormat="1" applyFont="1" applyFill="1" applyBorder="1"/>
    <xf numFmtId="0" fontId="0" fillId="35" borderId="15" xfId="0" applyFill="1" applyBorder="1"/>
    <xf numFmtId="165" fontId="0" fillId="36" borderId="15" xfId="1" applyNumberFormat="1" applyFont="1" applyFill="1" applyBorder="1"/>
    <xf numFmtId="10" fontId="0" fillId="35" borderId="0" xfId="1" applyNumberFormat="1" applyFont="1" applyFill="1"/>
    <xf numFmtId="4" fontId="0" fillId="35" borderId="0" xfId="0" applyNumberFormat="1" applyFill="1"/>
    <xf numFmtId="10" fontId="0" fillId="36" borderId="15" xfId="0" applyNumberFormat="1" applyFill="1" applyBorder="1"/>
    <xf numFmtId="2" fontId="0" fillId="36" borderId="15" xfId="0" applyNumberFormat="1" applyFill="1" applyBorder="1"/>
    <xf numFmtId="10" fontId="0" fillId="36" borderId="16" xfId="0" applyNumberFormat="1" applyFill="1" applyBorder="1"/>
    <xf numFmtId="2" fontId="0" fillId="36" borderId="16" xfId="0" applyNumberFormat="1" applyFill="1" applyBorder="1"/>
    <xf numFmtId="0" fontId="16" fillId="34" borderId="0" xfId="0" applyFont="1" applyFill="1" applyAlignment="1">
      <alignment horizontal="center"/>
    </xf>
    <xf numFmtId="0" fontId="21" fillId="33" borderId="0" xfId="0" applyFont="1" applyFill="1" applyAlignment="1">
      <alignment horizontal="center"/>
    </xf>
    <xf numFmtId="0" fontId="13" fillId="33" borderId="0" xfId="0" applyFont="1" applyFill="1" applyAlignment="1">
      <alignment horizontal="center"/>
    </xf>
    <xf numFmtId="0" fontId="16" fillId="34" borderId="13" xfId="0" applyFont="1" applyFill="1" applyBorder="1" applyAlignment="1">
      <alignment horizontal="center"/>
    </xf>
    <xf numFmtId="0" fontId="20" fillId="33" borderId="0" xfId="0" applyFont="1" applyFill="1" applyAlignment="1">
      <alignment horizontal="center"/>
    </xf>
    <xf numFmtId="0" fontId="31" fillId="0" borderId="0" xfId="0" applyFont="1"/>
    <xf numFmtId="0" fontId="30" fillId="0" borderId="0" xfId="0" applyFont="1"/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/>
    <xf numFmtId="17" fontId="0" fillId="0" borderId="0" xfId="0" applyNumberFormat="1"/>
    <xf numFmtId="0" fontId="13" fillId="33" borderId="0" xfId="0" applyFont="1" applyFill="1"/>
    <xf numFmtId="17" fontId="16" fillId="34" borderId="0" xfId="0" applyNumberFormat="1" applyFont="1" applyFill="1"/>
    <xf numFmtId="0" fontId="16" fillId="34" borderId="0" xfId="0" applyFont="1" applyFill="1"/>
    <xf numFmtId="0" fontId="0" fillId="0" borderId="0" xfId="0"/>
    <xf numFmtId="0" fontId="16" fillId="0" borderId="0" xfId="0" applyFont="1"/>
    <xf numFmtId="0" fontId="0" fillId="0" borderId="19" xfId="0" applyBorder="1"/>
    <xf numFmtId="0" fontId="16" fillId="0" borderId="17" xfId="0" applyFont="1" applyBorder="1"/>
    <xf numFmtId="0" fontId="16" fillId="0" borderId="20" xfId="0" applyFont="1" applyBorder="1"/>
    <xf numFmtId="0" fontId="0" fillId="0" borderId="0" xfId="0"/>
    <xf numFmtId="0" fontId="0" fillId="0" borderId="19" xfId="0" applyBorder="1"/>
    <xf numFmtId="0" fontId="16" fillId="0" borderId="20" xfId="0" applyFont="1" applyBorder="1"/>
    <xf numFmtId="10" fontId="16" fillId="0" borderId="20" xfId="1" applyNumberFormat="1" applyFont="1" applyBorder="1"/>
    <xf numFmtId="0" fontId="0" fillId="0" borderId="0" xfId="0"/>
    <xf numFmtId="0" fontId="0" fillId="0" borderId="0" xfId="0" applyAlignment="1">
      <alignment horizontal="left"/>
    </xf>
    <xf numFmtId="0" fontId="0" fillId="0" borderId="19" xfId="0" applyBorder="1"/>
    <xf numFmtId="174" fontId="0" fillId="0" borderId="19" xfId="0" applyNumberFormat="1" applyBorder="1"/>
    <xf numFmtId="174" fontId="0" fillId="0" borderId="0" xfId="0" applyNumberFormat="1"/>
    <xf numFmtId="174" fontId="16" fillId="0" borderId="0" xfId="0" applyNumberFormat="1" applyFont="1"/>
    <xf numFmtId="174" fontId="0" fillId="0" borderId="17" xfId="0" applyNumberFormat="1" applyBorder="1"/>
    <xf numFmtId="0" fontId="16" fillId="0" borderId="20" xfId="0" applyFont="1" applyBorder="1"/>
    <xf numFmtId="174" fontId="16" fillId="0" borderId="20" xfId="0" applyNumberFormat="1" applyFont="1" applyBorder="1"/>
    <xf numFmtId="10" fontId="0" fillId="0" borderId="19" xfId="0" applyNumberFormat="1" applyBorder="1"/>
    <xf numFmtId="10" fontId="16" fillId="0" borderId="20" xfId="0" applyNumberFormat="1" applyFont="1" applyBorder="1"/>
    <xf numFmtId="164" fontId="0" fillId="0" borderId="19" xfId="0" applyNumberFormat="1" applyBorder="1"/>
    <xf numFmtId="174" fontId="16" fillId="36" borderId="20" xfId="0" applyNumberFormat="1" applyFont="1" applyFill="1" applyBorder="1"/>
    <xf numFmtId="10" fontId="16" fillId="36" borderId="20" xfId="1" applyNumberFormat="1" applyFont="1" applyFill="1" applyBorder="1"/>
    <xf numFmtId="0" fontId="16" fillId="36" borderId="0" xfId="0" applyFont="1" applyFill="1"/>
    <xf numFmtId="10" fontId="16" fillId="36" borderId="0" xfId="0" applyNumberFormat="1" applyFont="1" applyFill="1"/>
    <xf numFmtId="10" fontId="24" fillId="0" borderId="19" xfId="0" applyNumberFormat="1" applyFont="1" applyBorder="1"/>
    <xf numFmtId="10" fontId="0" fillId="36" borderId="0" xfId="0" applyNumberFormat="1" applyFill="1"/>
    <xf numFmtId="0" fontId="24" fillId="0" borderId="19" xfId="0" applyFont="1" applyBorder="1"/>
    <xf numFmtId="0" fontId="0" fillId="36" borderId="0" xfId="0" applyFill="1"/>
    <xf numFmtId="0" fontId="0" fillId="0" borderId="0" xfId="0"/>
    <xf numFmtId="0" fontId="0" fillId="0" borderId="0" xfId="0" applyAlignment="1">
      <alignment horizontal="left"/>
    </xf>
    <xf numFmtId="0" fontId="0" fillId="0" borderId="19" xfId="0" applyBorder="1"/>
    <xf numFmtId="0" fontId="16" fillId="0" borderId="20" xfId="0" applyFont="1" applyBorder="1"/>
    <xf numFmtId="10" fontId="0" fillId="0" borderId="19" xfId="0" applyNumberFormat="1" applyBorder="1"/>
    <xf numFmtId="165" fontId="0" fillId="0" borderId="19" xfId="1" applyNumberFormat="1" applyFont="1" applyBorder="1"/>
    <xf numFmtId="190" fontId="16" fillId="0" borderId="20" xfId="0" applyNumberFormat="1" applyFont="1" applyBorder="1"/>
    <xf numFmtId="193" fontId="0" fillId="0" borderId="0" xfId="43" applyNumberFormat="1" applyFont="1" applyBorder="1"/>
    <xf numFmtId="194" fontId="16" fillId="0" borderId="0" xfId="0" applyNumberFormat="1" applyFont="1"/>
    <xf numFmtId="194" fontId="0" fillId="0" borderId="0" xfId="0" applyNumberFormat="1"/>
    <xf numFmtId="0" fontId="0" fillId="0" borderId="0" xfId="0"/>
    <xf numFmtId="10" fontId="0" fillId="0" borderId="0" xfId="0" applyNumberFormat="1"/>
    <xf numFmtId="0" fontId="16" fillId="0" borderId="20" xfId="0" applyFont="1" applyBorder="1"/>
    <xf numFmtId="0" fontId="0" fillId="0" borderId="0" xfId="0"/>
    <xf numFmtId="0" fontId="16" fillId="0" borderId="0" xfId="0" applyFont="1"/>
    <xf numFmtId="0" fontId="16" fillId="0" borderId="20" xfId="0" applyFont="1" applyBorder="1"/>
    <xf numFmtId="43" fontId="16" fillId="0" borderId="20" xfId="0" applyNumberFormat="1" applyFont="1" applyBorder="1"/>
    <xf numFmtId="194" fontId="0" fillId="0" borderId="19" xfId="0" applyNumberFormat="1" applyBorder="1"/>
    <xf numFmtId="194" fontId="0" fillId="0" borderId="0" xfId="0" applyNumberFormat="1" applyBorder="1"/>
    <xf numFmtId="194" fontId="16" fillId="0" borderId="20" xfId="0" applyNumberFormat="1" applyFont="1" applyBorder="1"/>
    <xf numFmtId="194" fontId="13" fillId="33" borderId="0" xfId="0" applyNumberFormat="1" applyFont="1" applyFill="1"/>
    <xf numFmtId="10" fontId="0" fillId="0" borderId="21" xfId="0" applyNumberFormat="1" applyBorder="1"/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194" fontId="0" fillId="0" borderId="22" xfId="0" applyNumberFormat="1" applyBorder="1"/>
    <xf numFmtId="10" fontId="0" fillId="0" borderId="23" xfId="0" applyNumberFormat="1" applyBorder="1"/>
    <xf numFmtId="194" fontId="0" fillId="0" borderId="10" xfId="0" applyNumberFormat="1" applyBorder="1"/>
    <xf numFmtId="194" fontId="0" fillId="0" borderId="24" xfId="0" applyNumberFormat="1" applyBorder="1"/>
    <xf numFmtId="4" fontId="32" fillId="0" borderId="25" xfId="0" applyNumberFormat="1" applyFont="1" applyBorder="1"/>
    <xf numFmtId="10" fontId="0" fillId="0" borderId="26" xfId="0" applyNumberFormat="1" applyBorder="1"/>
    <xf numFmtId="10" fontId="0" fillId="0" borderId="27" xfId="0" applyNumberFormat="1" applyBorder="1"/>
    <xf numFmtId="43" fontId="32" fillId="0" borderId="25" xfId="0" applyNumberFormat="1" applyFont="1" applyBorder="1"/>
    <xf numFmtId="194" fontId="16" fillId="34" borderId="0" xfId="0" applyNumberFormat="1" applyFont="1" applyFill="1"/>
    <xf numFmtId="10" fontId="16" fillId="34" borderId="0" xfId="0" applyNumberFormat="1" applyFont="1" applyFill="1"/>
    <xf numFmtId="189" fontId="0" fillId="36" borderId="0" xfId="0" applyNumberFormat="1" applyFill="1"/>
    <xf numFmtId="194" fontId="0" fillId="36" borderId="19" xfId="0" applyNumberFormat="1" applyFill="1" applyBorder="1"/>
    <xf numFmtId="10" fontId="24" fillId="36" borderId="19" xfId="0" applyNumberFormat="1" applyFont="1" applyFill="1" applyBorder="1"/>
    <xf numFmtId="10" fontId="0" fillId="36" borderId="19" xfId="0" applyNumberFormat="1" applyFill="1" applyBorder="1"/>
    <xf numFmtId="0" fontId="0" fillId="36" borderId="19" xfId="0" applyFill="1" applyBorder="1"/>
    <xf numFmtId="194" fontId="0" fillId="36" borderId="0" xfId="0" applyNumberFormat="1" applyFill="1"/>
    <xf numFmtId="0" fontId="25" fillId="36" borderId="18" xfId="0" applyFont="1" applyFill="1" applyBorder="1" applyAlignment="1">
      <alignment horizontal="center"/>
    </xf>
  </cellXfs>
  <cellStyles count="50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ccent6 2" xfId="46" xr:uid="{8EE7A49C-9764-4C9F-8272-1B96441D5C7F}"/>
    <cellStyle name="Bad" xfId="8" builtinId="27" customBuiltin="1"/>
    <cellStyle name="Calculation" xfId="12" builtinId="22" customBuiltin="1"/>
    <cellStyle name="Check Cell" xfId="14" builtinId="23" customBuiltin="1"/>
    <cellStyle name="Comma" xfId="43" builtinId="3"/>
    <cellStyle name="Comma 2" xfId="44" xr:uid="{9226B322-161D-43FE-9825-72590CCD2A45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45" xr:uid="{A705732E-8840-4277-B5BD-DB9D8CEC51A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9" xr:uid="{97602375-92D9-491D-AB8F-0CAB57B8BF70}"/>
    <cellStyle name="Normal 3" xfId="47" xr:uid="{C42E5755-A4D5-47CF-8FB5-03D02130FAD1}"/>
    <cellStyle name="Note" xfId="16" builtinId="10" customBuiltin="1"/>
    <cellStyle name="Output" xfId="11" builtinId="21" customBuiltin="1"/>
    <cellStyle name="Percent" xfId="1" builtinId="5"/>
    <cellStyle name="Percent 3" xfId="48" xr:uid="{4FE1B527-7A53-465F-92C8-875FB3D56678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176306750664438"/>
          <c:y val="6.0565654600271447E-2"/>
          <c:w val="0.75562969140950798"/>
          <c:h val="0.86675555987940278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ROM!$B$8:$B$31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</c:numCache>
            </c:numRef>
          </c:cat>
          <c:val>
            <c:numRef>
              <c:f>ROM!$C$8:$C$31</c:f>
              <c:numCache>
                <c:formatCode>0.00%</c:formatCode>
                <c:ptCount val="24"/>
                <c:pt idx="0">
                  <c:v>-0.14649999999999999</c:v>
                </c:pt>
                <c:pt idx="1">
                  <c:v>-0.1618</c:v>
                </c:pt>
                <c:pt idx="2">
                  <c:v>3.2500000000000001E-2</c:v>
                </c:pt>
                <c:pt idx="3">
                  <c:v>0.71899999999999997</c:v>
                </c:pt>
                <c:pt idx="4">
                  <c:v>0.10680000000000001</c:v>
                </c:pt>
                <c:pt idx="5">
                  <c:v>0.3634</c:v>
                </c:pt>
                <c:pt idx="6">
                  <c:v>0.39829999999999999</c:v>
                </c:pt>
                <c:pt idx="7">
                  <c:v>0.54769999999999996</c:v>
                </c:pt>
                <c:pt idx="8">
                  <c:v>-0.51790000000000003</c:v>
                </c:pt>
                <c:pt idx="9">
                  <c:v>0.75760000000000005</c:v>
                </c:pt>
                <c:pt idx="10">
                  <c:v>0.17949999999999999</c:v>
                </c:pt>
                <c:pt idx="11">
                  <c:v>-0.2462</c:v>
                </c:pt>
                <c:pt idx="12">
                  <c:v>0.27700000000000002</c:v>
                </c:pt>
                <c:pt idx="13">
                  <c:v>6.7599999999999993E-2</c:v>
                </c:pt>
                <c:pt idx="14">
                  <c:v>0.31390000000000001</c:v>
                </c:pt>
                <c:pt idx="15">
                  <c:v>-4.0599999999999997E-2</c:v>
                </c:pt>
                <c:pt idx="16">
                  <c:v>3.0099999999999998E-2</c:v>
                </c:pt>
                <c:pt idx="17">
                  <c:v>0.28649999999999998</c:v>
                </c:pt>
                <c:pt idx="18">
                  <c:v>3.15E-2</c:v>
                </c:pt>
                <c:pt idx="19">
                  <c:v>0.1202</c:v>
                </c:pt>
                <c:pt idx="20">
                  <c:v>0.14899999999999999</c:v>
                </c:pt>
                <c:pt idx="21">
                  <c:v>0.2412</c:v>
                </c:pt>
                <c:pt idx="22">
                  <c:v>4.3200000000000002E-2</c:v>
                </c:pt>
                <c:pt idx="23">
                  <c:v>0.19420000000000001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E6-41C1-A7F0-C8E83D961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9415039"/>
        <c:axId val="1049414559"/>
      </c:lineChart>
      <c:catAx>
        <c:axId val="1049415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414559"/>
        <c:crosses val="autoZero"/>
        <c:auto val="1"/>
        <c:lblAlgn val="ctr"/>
        <c:lblOffset val="100"/>
        <c:noMultiLvlLbl val="0"/>
      </c:catAx>
      <c:valAx>
        <c:axId val="1049414559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415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552450</xdr:colOff>
      <xdr:row>4</xdr:row>
      <xdr:rowOff>1191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9CA7EA-66A5-CD85-7824-AFEE59F8A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2450" cy="7250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552450</xdr:colOff>
      <xdr:row>4</xdr:row>
      <xdr:rowOff>1191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48F97B-1855-4F33-94AD-FE2CA661C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0"/>
          <a:ext cx="552450" cy="725091"/>
        </a:xfrm>
        <a:prstGeom prst="rect">
          <a:avLst/>
        </a:prstGeom>
      </xdr:spPr>
    </xdr:pic>
    <xdr:clientData/>
  </xdr:twoCellAnchor>
  <xdr:twoCellAnchor>
    <xdr:from>
      <xdr:col>3</xdr:col>
      <xdr:colOff>291865</xdr:colOff>
      <xdr:row>14</xdr:row>
      <xdr:rowOff>61171</xdr:rowOff>
    </xdr:from>
    <xdr:to>
      <xdr:col>6</xdr:col>
      <xdr:colOff>620435</xdr:colOff>
      <xdr:row>26</xdr:row>
      <xdr:rowOff>8390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C67F3E-292F-1B4E-221C-BBFAB00B0A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552450</xdr:colOff>
      <xdr:row>4</xdr:row>
      <xdr:rowOff>1191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60ABAB-7517-4B2F-826B-977430D99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0"/>
          <a:ext cx="552450" cy="72509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552450</xdr:colOff>
      <xdr:row>4</xdr:row>
      <xdr:rowOff>1191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D472E8-EAF4-4666-9A41-5339C1AA2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0"/>
          <a:ext cx="552450" cy="72509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552450</xdr:colOff>
      <xdr:row>4</xdr:row>
      <xdr:rowOff>1191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C6D515-F090-4602-9397-AE1CC4E6C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0"/>
          <a:ext cx="552450" cy="7250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17A71-0E68-490D-85B9-CB88245F6373}">
  <dimension ref="A1:B107"/>
  <sheetViews>
    <sheetView topLeftCell="A74" workbookViewId="0">
      <selection sqref="A1:B106"/>
    </sheetView>
  </sheetViews>
  <sheetFormatPr defaultRowHeight="14.25" x14ac:dyDescent="0.45"/>
  <cols>
    <col min="1" max="1" width="10.1992187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44760</v>
      </c>
      <c r="B2">
        <v>854.497253</v>
      </c>
    </row>
    <row r="3" spans="1:2" x14ac:dyDescent="0.45">
      <c r="A3" s="1">
        <v>44767</v>
      </c>
      <c r="B3">
        <v>921.62591599999996</v>
      </c>
    </row>
    <row r="4" spans="1:2" x14ac:dyDescent="0.45">
      <c r="A4" s="1">
        <v>44774</v>
      </c>
      <c r="B4">
        <v>894.99920699999996</v>
      </c>
    </row>
    <row r="5" spans="1:2" x14ac:dyDescent="0.45">
      <c r="A5" s="1">
        <v>44781</v>
      </c>
      <c r="B5">
        <v>892.55633499999999</v>
      </c>
    </row>
    <row r="6" spans="1:2" x14ac:dyDescent="0.45">
      <c r="A6" s="1">
        <v>44788</v>
      </c>
      <c r="B6">
        <v>880.73321499999997</v>
      </c>
    </row>
    <row r="7" spans="1:2" x14ac:dyDescent="0.45">
      <c r="A7" s="1">
        <v>44795</v>
      </c>
      <c r="B7">
        <v>862.84167500000001</v>
      </c>
    </row>
    <row r="8" spans="1:2" x14ac:dyDescent="0.45">
      <c r="A8" s="1">
        <v>44802</v>
      </c>
      <c r="B8">
        <v>852.45007299999997</v>
      </c>
    </row>
    <row r="9" spans="1:2" x14ac:dyDescent="0.45">
      <c r="A9" s="1">
        <v>44809</v>
      </c>
      <c r="B9">
        <v>872.49792500000001</v>
      </c>
    </row>
    <row r="10" spans="1:2" x14ac:dyDescent="0.45">
      <c r="A10" s="1">
        <v>44816</v>
      </c>
      <c r="B10">
        <v>850.97955300000001</v>
      </c>
    </row>
    <row r="11" spans="1:2" x14ac:dyDescent="0.45">
      <c r="A11" s="1">
        <v>44823</v>
      </c>
      <c r="B11">
        <v>902.98632799999996</v>
      </c>
    </row>
    <row r="12" spans="1:2" x14ac:dyDescent="0.45">
      <c r="A12" s="1">
        <v>44830</v>
      </c>
      <c r="B12">
        <v>929.99456799999996</v>
      </c>
    </row>
    <row r="13" spans="1:2" x14ac:dyDescent="0.45">
      <c r="A13" s="1">
        <v>44837</v>
      </c>
      <c r="B13">
        <v>936.36682099999996</v>
      </c>
    </row>
    <row r="14" spans="1:2" x14ac:dyDescent="0.45">
      <c r="A14" s="1">
        <v>44844</v>
      </c>
      <c r="B14">
        <v>957.10082999999997</v>
      </c>
    </row>
    <row r="15" spans="1:2" x14ac:dyDescent="0.45">
      <c r="A15" s="1">
        <v>44851</v>
      </c>
      <c r="B15">
        <v>958.47332800000004</v>
      </c>
    </row>
    <row r="16" spans="1:2" x14ac:dyDescent="0.45">
      <c r="A16" s="1">
        <v>44858</v>
      </c>
      <c r="B16">
        <v>970.53143299999999</v>
      </c>
    </row>
    <row r="17" spans="1:2" x14ac:dyDescent="0.45">
      <c r="A17" s="1">
        <v>44865</v>
      </c>
      <c r="B17">
        <v>1019.450134</v>
      </c>
    </row>
    <row r="18" spans="1:2" x14ac:dyDescent="0.45">
      <c r="A18" s="1">
        <v>44872</v>
      </c>
      <c r="B18">
        <v>993.61822500000005</v>
      </c>
    </row>
    <row r="19" spans="1:2" x14ac:dyDescent="0.45">
      <c r="A19" s="1">
        <v>44879</v>
      </c>
      <c r="B19">
        <v>989.74597200000005</v>
      </c>
    </row>
    <row r="20" spans="1:2" x14ac:dyDescent="0.45">
      <c r="A20" s="1">
        <v>44886</v>
      </c>
      <c r="B20">
        <v>1013.519043</v>
      </c>
    </row>
    <row r="21" spans="1:2" x14ac:dyDescent="0.45">
      <c r="A21" s="1">
        <v>44893</v>
      </c>
      <c r="B21">
        <v>1019.548096</v>
      </c>
    </row>
    <row r="22" spans="1:2" x14ac:dyDescent="0.45">
      <c r="A22" s="1">
        <v>44900</v>
      </c>
      <c r="B22">
        <v>973.32531700000004</v>
      </c>
    </row>
    <row r="23" spans="1:2" x14ac:dyDescent="0.45">
      <c r="A23" s="1">
        <v>44907</v>
      </c>
      <c r="B23">
        <v>974.10961899999995</v>
      </c>
    </row>
    <row r="24" spans="1:2" x14ac:dyDescent="0.45">
      <c r="A24" s="1">
        <v>44914</v>
      </c>
      <c r="B24">
        <v>981.85424799999998</v>
      </c>
    </row>
    <row r="25" spans="1:2" x14ac:dyDescent="0.45">
      <c r="A25" s="1">
        <v>44921</v>
      </c>
      <c r="B25">
        <v>981.70721400000002</v>
      </c>
    </row>
    <row r="26" spans="1:2" x14ac:dyDescent="0.45">
      <c r="A26" s="1">
        <v>44928</v>
      </c>
      <c r="B26">
        <v>988.86370799999997</v>
      </c>
    </row>
    <row r="27" spans="1:2" x14ac:dyDescent="0.45">
      <c r="A27" s="1">
        <v>44935</v>
      </c>
      <c r="B27">
        <v>1011.313293</v>
      </c>
    </row>
    <row r="28" spans="1:2" x14ac:dyDescent="0.45">
      <c r="A28" s="1">
        <v>44942</v>
      </c>
      <c r="B28">
        <v>1010.087891</v>
      </c>
    </row>
    <row r="29" spans="1:2" x14ac:dyDescent="0.45">
      <c r="A29" s="1">
        <v>44949</v>
      </c>
      <c r="B29">
        <v>1022.881348</v>
      </c>
    </row>
    <row r="30" spans="1:2" x14ac:dyDescent="0.45">
      <c r="A30" s="1">
        <v>44956</v>
      </c>
      <c r="B30">
        <v>1007.931274</v>
      </c>
    </row>
    <row r="31" spans="1:2" x14ac:dyDescent="0.45">
      <c r="A31" s="1">
        <v>44963</v>
      </c>
      <c r="B31">
        <v>986.80493200000001</v>
      </c>
    </row>
    <row r="32" spans="1:2" x14ac:dyDescent="0.45">
      <c r="A32" s="1">
        <v>44970</v>
      </c>
      <c r="B32">
        <v>972.38610800000004</v>
      </c>
    </row>
    <row r="33" spans="1:2" x14ac:dyDescent="0.45">
      <c r="A33" s="1">
        <v>44977</v>
      </c>
      <c r="B33">
        <v>958.55835000000002</v>
      </c>
    </row>
    <row r="34" spans="1:2" x14ac:dyDescent="0.45">
      <c r="A34" s="1">
        <v>44984</v>
      </c>
      <c r="B34">
        <v>955.00268600000004</v>
      </c>
    </row>
    <row r="35" spans="1:2" x14ac:dyDescent="0.45">
      <c r="A35" s="1">
        <v>44991</v>
      </c>
      <c r="B35">
        <v>943.79229699999996</v>
      </c>
    </row>
    <row r="36" spans="1:2" x14ac:dyDescent="0.45">
      <c r="A36" s="1">
        <v>44998</v>
      </c>
      <c r="B36">
        <v>945.91589399999998</v>
      </c>
    </row>
    <row r="37" spans="1:2" x14ac:dyDescent="0.45">
      <c r="A37" s="1">
        <v>45005</v>
      </c>
      <c r="B37">
        <v>960.87939500000005</v>
      </c>
    </row>
    <row r="38" spans="1:2" x14ac:dyDescent="0.45">
      <c r="A38" s="1">
        <v>45012</v>
      </c>
      <c r="B38">
        <v>971.00329599999998</v>
      </c>
    </row>
    <row r="39" spans="1:2" x14ac:dyDescent="0.45">
      <c r="A39" s="1">
        <v>45019</v>
      </c>
      <c r="B39">
        <v>999.64642300000003</v>
      </c>
    </row>
    <row r="40" spans="1:2" x14ac:dyDescent="0.45">
      <c r="A40" s="1">
        <v>45026</v>
      </c>
      <c r="B40">
        <v>991.15234399999997</v>
      </c>
    </row>
    <row r="41" spans="1:2" x14ac:dyDescent="0.45">
      <c r="A41" s="1">
        <v>45033</v>
      </c>
      <c r="B41">
        <v>977.27520800000002</v>
      </c>
    </row>
    <row r="42" spans="1:2" x14ac:dyDescent="0.45">
      <c r="A42" s="1">
        <v>45040</v>
      </c>
      <c r="B42">
        <v>975.49737500000003</v>
      </c>
    </row>
    <row r="43" spans="1:2" x14ac:dyDescent="0.45">
      <c r="A43" s="1">
        <v>45047</v>
      </c>
      <c r="B43">
        <v>958.50897199999997</v>
      </c>
    </row>
    <row r="44" spans="1:2" x14ac:dyDescent="0.45">
      <c r="A44" s="1">
        <v>45054</v>
      </c>
      <c r="B44">
        <v>944.23681599999998</v>
      </c>
    </row>
    <row r="45" spans="1:2" x14ac:dyDescent="0.45">
      <c r="A45" s="1">
        <v>45061</v>
      </c>
      <c r="B45">
        <v>914.45770300000004</v>
      </c>
    </row>
    <row r="46" spans="1:2" x14ac:dyDescent="0.45">
      <c r="A46" s="1">
        <v>45068</v>
      </c>
      <c r="B46">
        <v>957.96575900000005</v>
      </c>
    </row>
    <row r="47" spans="1:2" x14ac:dyDescent="0.45">
      <c r="A47" s="1">
        <v>45075</v>
      </c>
      <c r="B47">
        <v>987.30029300000001</v>
      </c>
    </row>
    <row r="48" spans="1:2" x14ac:dyDescent="0.45">
      <c r="A48" s="1">
        <v>45082</v>
      </c>
      <c r="B48">
        <v>971.84283400000004</v>
      </c>
    </row>
    <row r="49" spans="1:2" x14ac:dyDescent="0.45">
      <c r="A49" s="1">
        <v>45089</v>
      </c>
      <c r="B49">
        <v>979.79382299999997</v>
      </c>
    </row>
    <row r="50" spans="1:2" x14ac:dyDescent="0.45">
      <c r="A50" s="1">
        <v>45096</v>
      </c>
      <c r="B50">
        <v>979.25061000000005</v>
      </c>
    </row>
    <row r="51" spans="1:2" x14ac:dyDescent="0.45">
      <c r="A51" s="1">
        <v>45103</v>
      </c>
      <c r="B51">
        <v>1038.6604</v>
      </c>
    </row>
    <row r="52" spans="1:2" x14ac:dyDescent="0.45">
      <c r="A52" s="1">
        <v>45110</v>
      </c>
      <c r="B52">
        <v>1022.955994</v>
      </c>
    </row>
    <row r="53" spans="1:2" x14ac:dyDescent="0.45">
      <c r="A53" s="1">
        <v>45117</v>
      </c>
      <c r="B53">
        <v>1059.7476810000001</v>
      </c>
    </row>
    <row r="54" spans="1:2" x14ac:dyDescent="0.45">
      <c r="A54" s="1">
        <v>45124</v>
      </c>
      <c r="B54">
        <v>1083.650024</v>
      </c>
    </row>
    <row r="55" spans="1:2" x14ac:dyDescent="0.45">
      <c r="A55" s="1">
        <v>45131</v>
      </c>
      <c r="B55">
        <v>1124.540649</v>
      </c>
    </row>
    <row r="56" spans="1:2" x14ac:dyDescent="0.45">
      <c r="A56" s="1">
        <v>45138</v>
      </c>
      <c r="B56">
        <v>1128.914307</v>
      </c>
    </row>
    <row r="57" spans="1:2" x14ac:dyDescent="0.45">
      <c r="A57" s="1">
        <v>45145</v>
      </c>
      <c r="B57">
        <v>1122.372437</v>
      </c>
    </row>
    <row r="58" spans="1:2" x14ac:dyDescent="0.45">
      <c r="A58" s="1">
        <v>45152</v>
      </c>
      <c r="B58">
        <v>1124.900024</v>
      </c>
    </row>
    <row r="59" spans="1:2" x14ac:dyDescent="0.45">
      <c r="A59" s="1">
        <v>45159</v>
      </c>
      <c r="B59">
        <v>1096.552124</v>
      </c>
    </row>
    <row r="60" spans="1:2" x14ac:dyDescent="0.45">
      <c r="A60" s="1">
        <v>45166</v>
      </c>
      <c r="B60">
        <v>1099.2282709999999</v>
      </c>
    </row>
    <row r="61" spans="1:2" x14ac:dyDescent="0.45">
      <c r="A61" s="1">
        <v>45173</v>
      </c>
      <c r="B61">
        <v>1120.4891359999999</v>
      </c>
    </row>
    <row r="62" spans="1:2" x14ac:dyDescent="0.45">
      <c r="A62" s="1">
        <v>45180</v>
      </c>
      <c r="B62">
        <v>1139.6687010000001</v>
      </c>
    </row>
    <row r="63" spans="1:2" x14ac:dyDescent="0.45">
      <c r="A63" s="1">
        <v>45187</v>
      </c>
      <c r="B63">
        <v>1122.372437</v>
      </c>
    </row>
    <row r="64" spans="1:2" x14ac:dyDescent="0.45">
      <c r="A64" s="1">
        <v>45194</v>
      </c>
      <c r="B64">
        <v>1148.4407960000001</v>
      </c>
    </row>
    <row r="65" spans="1:2" x14ac:dyDescent="0.45">
      <c r="A65" s="1">
        <v>45201</v>
      </c>
      <c r="B65">
        <v>1117.3670649999999</v>
      </c>
    </row>
    <row r="66" spans="1:2" x14ac:dyDescent="0.45">
      <c r="A66" s="1">
        <v>45208</v>
      </c>
      <c r="B66">
        <v>1135.208496</v>
      </c>
    </row>
    <row r="67" spans="1:2" x14ac:dyDescent="0.45">
      <c r="A67" s="1">
        <v>45215</v>
      </c>
      <c r="B67">
        <v>1132.13562</v>
      </c>
    </row>
    <row r="68" spans="1:2" x14ac:dyDescent="0.45">
      <c r="A68" s="1">
        <v>45222</v>
      </c>
      <c r="B68">
        <v>1101.5079350000001</v>
      </c>
    </row>
    <row r="69" spans="1:2" x14ac:dyDescent="0.45">
      <c r="A69" s="1">
        <v>45229</v>
      </c>
      <c r="B69">
        <v>1131.0454099999999</v>
      </c>
    </row>
    <row r="70" spans="1:2" x14ac:dyDescent="0.45">
      <c r="A70" s="1">
        <v>45236</v>
      </c>
      <c r="B70">
        <v>1168.958374</v>
      </c>
    </row>
    <row r="71" spans="1:2" x14ac:dyDescent="0.45">
      <c r="A71" s="1">
        <v>45243</v>
      </c>
      <c r="B71">
        <v>1184.073975</v>
      </c>
    </row>
    <row r="72" spans="1:2" x14ac:dyDescent="0.45">
      <c r="A72" s="1">
        <v>45250</v>
      </c>
      <c r="B72">
        <v>1184.9163820000001</v>
      </c>
    </row>
    <row r="73" spans="1:2" x14ac:dyDescent="0.45">
      <c r="A73" s="1">
        <v>45257</v>
      </c>
      <c r="B73">
        <v>1220.401001</v>
      </c>
    </row>
    <row r="74" spans="1:2" x14ac:dyDescent="0.45">
      <c r="A74" s="1">
        <v>45264</v>
      </c>
      <c r="B74">
        <v>1224.9110109999999</v>
      </c>
    </row>
    <row r="75" spans="1:2" x14ac:dyDescent="0.45">
      <c r="A75" s="1">
        <v>45271</v>
      </c>
      <c r="B75">
        <v>1224.8614500000001</v>
      </c>
    </row>
    <row r="76" spans="1:2" x14ac:dyDescent="0.45">
      <c r="A76" s="1">
        <v>45278</v>
      </c>
      <c r="B76">
        <v>1232.6917719999999</v>
      </c>
    </row>
    <row r="77" spans="1:2" x14ac:dyDescent="0.45">
      <c r="A77" s="1">
        <v>45285</v>
      </c>
      <c r="B77">
        <v>1248.352539</v>
      </c>
    </row>
    <row r="78" spans="1:2" x14ac:dyDescent="0.45">
      <c r="A78" s="1">
        <v>45292</v>
      </c>
      <c r="B78">
        <v>1288.74353</v>
      </c>
    </row>
    <row r="79" spans="1:2" x14ac:dyDescent="0.45">
      <c r="A79" s="1">
        <v>45299</v>
      </c>
      <c r="B79">
        <v>1314.2666019999999</v>
      </c>
    </row>
    <row r="80" spans="1:2" x14ac:dyDescent="0.45">
      <c r="A80" s="1">
        <v>45306</v>
      </c>
      <c r="B80">
        <v>1323.831543</v>
      </c>
    </row>
    <row r="81" spans="1:2" x14ac:dyDescent="0.45">
      <c r="A81" s="1">
        <v>45313</v>
      </c>
      <c r="B81">
        <v>1356.24353</v>
      </c>
    </row>
    <row r="82" spans="1:2" x14ac:dyDescent="0.45">
      <c r="A82" s="1">
        <v>45320</v>
      </c>
      <c r="B82">
        <v>1404.1674800000001</v>
      </c>
    </row>
    <row r="83" spans="1:2" x14ac:dyDescent="0.45">
      <c r="A83" s="1">
        <v>45327</v>
      </c>
      <c r="B83">
        <v>1521.2764890000001</v>
      </c>
    </row>
    <row r="84" spans="1:2" x14ac:dyDescent="0.45">
      <c r="A84" s="1">
        <v>45334</v>
      </c>
      <c r="B84">
        <v>1505.17688</v>
      </c>
    </row>
    <row r="85" spans="1:2" x14ac:dyDescent="0.45">
      <c r="A85" s="1">
        <v>45341</v>
      </c>
      <c r="B85">
        <v>1556.3148189999999</v>
      </c>
    </row>
    <row r="86" spans="1:2" x14ac:dyDescent="0.45">
      <c r="A86" s="1">
        <v>45348</v>
      </c>
      <c r="B86">
        <v>1554.3210449999999</v>
      </c>
    </row>
    <row r="87" spans="1:2" x14ac:dyDescent="0.45">
      <c r="A87" s="1">
        <v>45355</v>
      </c>
      <c r="B87">
        <v>1600.624268</v>
      </c>
    </row>
    <row r="88" spans="1:2" x14ac:dyDescent="0.45">
      <c r="A88" s="1">
        <v>45362</v>
      </c>
      <c r="B88">
        <v>1543.30603</v>
      </c>
    </row>
    <row r="89" spans="1:2" x14ac:dyDescent="0.45">
      <c r="A89" s="1">
        <v>45369</v>
      </c>
      <c r="B89">
        <v>1603.8142089999999</v>
      </c>
    </row>
    <row r="90" spans="1:2" x14ac:dyDescent="0.45">
      <c r="A90" s="1">
        <v>45376</v>
      </c>
      <c r="B90">
        <v>1615.4273679999999</v>
      </c>
    </row>
    <row r="91" spans="1:2" x14ac:dyDescent="0.45">
      <c r="A91" s="1">
        <v>45383</v>
      </c>
      <c r="B91">
        <v>1603.913818</v>
      </c>
    </row>
    <row r="92" spans="1:2" x14ac:dyDescent="0.45">
      <c r="A92" s="1">
        <v>45390</v>
      </c>
      <c r="B92">
        <v>1535.1319579999999</v>
      </c>
    </row>
    <row r="93" spans="1:2" x14ac:dyDescent="0.45">
      <c r="A93" s="1">
        <v>45397</v>
      </c>
      <c r="B93">
        <v>1517.986328</v>
      </c>
    </row>
    <row r="94" spans="1:2" x14ac:dyDescent="0.45">
      <c r="A94" s="1">
        <v>45404</v>
      </c>
      <c r="B94">
        <v>1501.78772</v>
      </c>
    </row>
    <row r="95" spans="1:2" x14ac:dyDescent="0.45">
      <c r="A95" s="1">
        <v>45411</v>
      </c>
      <c r="B95">
        <v>1506.373169</v>
      </c>
    </row>
    <row r="96" spans="1:2" x14ac:dyDescent="0.45">
      <c r="A96" s="1">
        <v>45418</v>
      </c>
      <c r="B96">
        <v>1501.78772</v>
      </c>
    </row>
    <row r="97" spans="1:2" x14ac:dyDescent="0.45">
      <c r="A97" s="1">
        <v>45425</v>
      </c>
      <c r="B97">
        <v>1527.0576169999999</v>
      </c>
    </row>
    <row r="98" spans="1:2" x14ac:dyDescent="0.45">
      <c r="A98" s="1">
        <v>45432</v>
      </c>
      <c r="B98">
        <v>1482.000366</v>
      </c>
    </row>
    <row r="99" spans="1:2" x14ac:dyDescent="0.45">
      <c r="A99" s="1">
        <v>45439</v>
      </c>
      <c r="B99">
        <v>1455.185547</v>
      </c>
    </row>
    <row r="100" spans="1:2" x14ac:dyDescent="0.45">
      <c r="A100" s="1">
        <v>45446</v>
      </c>
      <c r="B100">
        <v>1502.0866699999999</v>
      </c>
    </row>
    <row r="101" spans="1:2" x14ac:dyDescent="0.45">
      <c r="A101" s="1">
        <v>45453</v>
      </c>
      <c r="B101">
        <v>1511.207764</v>
      </c>
    </row>
    <row r="102" spans="1:2" x14ac:dyDescent="0.45">
      <c r="A102" s="1">
        <v>45460</v>
      </c>
      <c r="B102">
        <v>1462.611938</v>
      </c>
    </row>
    <row r="103" spans="1:2" x14ac:dyDescent="0.45">
      <c r="A103" s="1">
        <v>45467</v>
      </c>
      <c r="B103">
        <v>1516.0424800000001</v>
      </c>
    </row>
    <row r="104" spans="1:2" x14ac:dyDescent="0.45">
      <c r="A104" s="1">
        <v>45474</v>
      </c>
      <c r="B104">
        <v>1563.442139</v>
      </c>
    </row>
    <row r="105" spans="1:2" x14ac:dyDescent="0.45">
      <c r="A105" s="1">
        <v>45481</v>
      </c>
      <c r="B105">
        <v>1572.314087</v>
      </c>
    </row>
    <row r="106" spans="1:2" x14ac:dyDescent="0.45">
      <c r="A106" s="1">
        <v>45488</v>
      </c>
      <c r="B106">
        <v>1568.650024</v>
      </c>
    </row>
    <row r="107" spans="1:2" x14ac:dyDescent="0.45">
      <c r="A10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0F1E7-A13F-4C4A-8164-E091DB8298A0}">
  <dimension ref="A1:B106"/>
  <sheetViews>
    <sheetView topLeftCell="A73" workbookViewId="0">
      <selection activeCell="B2" sqref="B2:B106"/>
    </sheetView>
  </sheetViews>
  <sheetFormatPr defaultRowHeight="14.25" x14ac:dyDescent="0.45"/>
  <cols>
    <col min="1" max="1" width="10.398437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44760</v>
      </c>
      <c r="B2">
        <v>16719.449218999998</v>
      </c>
    </row>
    <row r="3" spans="1:2" x14ac:dyDescent="0.45">
      <c r="A3" s="1">
        <v>44767</v>
      </c>
      <c r="B3">
        <v>17158.25</v>
      </c>
    </row>
    <row r="4" spans="1:2" x14ac:dyDescent="0.45">
      <c r="A4" s="1">
        <v>44774</v>
      </c>
      <c r="B4">
        <v>17397.5</v>
      </c>
    </row>
    <row r="5" spans="1:2" x14ac:dyDescent="0.45">
      <c r="A5" s="1">
        <v>44781</v>
      </c>
      <c r="B5">
        <v>17698.150390999999</v>
      </c>
    </row>
    <row r="6" spans="1:2" x14ac:dyDescent="0.45">
      <c r="A6" s="1">
        <v>44788</v>
      </c>
      <c r="B6">
        <v>17758.449218999998</v>
      </c>
    </row>
    <row r="7" spans="1:2" x14ac:dyDescent="0.45">
      <c r="A7" s="1">
        <v>44795</v>
      </c>
      <c r="B7">
        <v>17558.900390999999</v>
      </c>
    </row>
    <row r="8" spans="1:2" x14ac:dyDescent="0.45">
      <c r="A8" s="1">
        <v>44802</v>
      </c>
      <c r="B8">
        <v>17539.449218999998</v>
      </c>
    </row>
    <row r="9" spans="1:2" x14ac:dyDescent="0.45">
      <c r="A9" s="1">
        <v>44809</v>
      </c>
      <c r="B9">
        <v>17833.349609000001</v>
      </c>
    </row>
    <row r="10" spans="1:2" x14ac:dyDescent="0.45">
      <c r="A10" s="1">
        <v>44816</v>
      </c>
      <c r="B10">
        <v>17530.849609000001</v>
      </c>
    </row>
    <row r="11" spans="1:2" x14ac:dyDescent="0.45">
      <c r="A11" s="1">
        <v>44823</v>
      </c>
      <c r="B11">
        <v>17327.349609000001</v>
      </c>
    </row>
    <row r="12" spans="1:2" x14ac:dyDescent="0.45">
      <c r="A12" s="1">
        <v>44830</v>
      </c>
      <c r="B12">
        <v>17094.349609000001</v>
      </c>
    </row>
    <row r="13" spans="1:2" x14ac:dyDescent="0.45">
      <c r="A13" s="1">
        <v>44837</v>
      </c>
      <c r="B13">
        <v>17314.650390999999</v>
      </c>
    </row>
    <row r="14" spans="1:2" x14ac:dyDescent="0.45">
      <c r="A14" s="1">
        <v>44844</v>
      </c>
      <c r="B14">
        <v>17185.699218999998</v>
      </c>
    </row>
    <row r="15" spans="1:2" x14ac:dyDescent="0.45">
      <c r="A15" s="1">
        <v>44851</v>
      </c>
      <c r="B15">
        <v>17576.300781000002</v>
      </c>
    </row>
    <row r="16" spans="1:2" x14ac:dyDescent="0.45">
      <c r="A16" s="1">
        <v>44858</v>
      </c>
      <c r="B16">
        <v>17786.800781000002</v>
      </c>
    </row>
    <row r="17" spans="1:2" x14ac:dyDescent="0.45">
      <c r="A17" s="1">
        <v>44865</v>
      </c>
      <c r="B17">
        <v>18117.150390999999</v>
      </c>
    </row>
    <row r="18" spans="1:2" x14ac:dyDescent="0.45">
      <c r="A18" s="1">
        <v>44872</v>
      </c>
      <c r="B18">
        <v>18349.699218999998</v>
      </c>
    </row>
    <row r="19" spans="1:2" x14ac:dyDescent="0.45">
      <c r="A19" s="1">
        <v>44879</v>
      </c>
      <c r="B19">
        <v>18307.650390999999</v>
      </c>
    </row>
    <row r="20" spans="1:2" x14ac:dyDescent="0.45">
      <c r="A20" s="1">
        <v>44886</v>
      </c>
      <c r="B20">
        <v>18512.75</v>
      </c>
    </row>
    <row r="21" spans="1:2" x14ac:dyDescent="0.45">
      <c r="A21" s="1">
        <v>44893</v>
      </c>
      <c r="B21">
        <v>18696.099609000001</v>
      </c>
    </row>
    <row r="22" spans="1:2" x14ac:dyDescent="0.45">
      <c r="A22" s="1">
        <v>44900</v>
      </c>
      <c r="B22">
        <v>18496.599609000001</v>
      </c>
    </row>
    <row r="23" spans="1:2" x14ac:dyDescent="0.45">
      <c r="A23" s="1">
        <v>44907</v>
      </c>
      <c r="B23">
        <v>18269</v>
      </c>
    </row>
    <row r="24" spans="1:2" x14ac:dyDescent="0.45">
      <c r="A24" s="1">
        <v>44914</v>
      </c>
      <c r="B24">
        <v>17806.800781000002</v>
      </c>
    </row>
    <row r="25" spans="1:2" x14ac:dyDescent="0.45">
      <c r="A25" s="1">
        <v>44921</v>
      </c>
      <c r="B25">
        <v>18105.300781000002</v>
      </c>
    </row>
    <row r="26" spans="1:2" x14ac:dyDescent="0.45">
      <c r="A26" s="1">
        <v>44928</v>
      </c>
      <c r="B26">
        <v>17859.449218999998</v>
      </c>
    </row>
    <row r="27" spans="1:2" x14ac:dyDescent="0.45">
      <c r="A27" s="1">
        <v>44935</v>
      </c>
      <c r="B27">
        <v>17956.599609000001</v>
      </c>
    </row>
    <row r="28" spans="1:2" x14ac:dyDescent="0.45">
      <c r="A28" s="1">
        <v>44942</v>
      </c>
      <c r="B28">
        <v>18027.650390999999</v>
      </c>
    </row>
    <row r="29" spans="1:2" x14ac:dyDescent="0.45">
      <c r="A29" s="1">
        <v>44949</v>
      </c>
      <c r="B29">
        <v>17604.349609000001</v>
      </c>
    </row>
    <row r="30" spans="1:2" x14ac:dyDescent="0.45">
      <c r="A30" s="1">
        <v>44956</v>
      </c>
      <c r="B30">
        <v>17854.050781000002</v>
      </c>
    </row>
    <row r="31" spans="1:2" x14ac:dyDescent="0.45">
      <c r="A31" s="1">
        <v>44963</v>
      </c>
      <c r="B31">
        <v>17856.5</v>
      </c>
    </row>
    <row r="32" spans="1:2" x14ac:dyDescent="0.45">
      <c r="A32" s="1">
        <v>44970</v>
      </c>
      <c r="B32">
        <v>17944.199218999998</v>
      </c>
    </row>
    <row r="33" spans="1:2" x14ac:dyDescent="0.45">
      <c r="A33" s="1">
        <v>44977</v>
      </c>
      <c r="B33">
        <v>17465.800781000002</v>
      </c>
    </row>
    <row r="34" spans="1:2" x14ac:dyDescent="0.45">
      <c r="A34" s="1">
        <v>44984</v>
      </c>
      <c r="B34">
        <v>17594.349609000001</v>
      </c>
    </row>
    <row r="35" spans="1:2" x14ac:dyDescent="0.45">
      <c r="A35" s="1">
        <v>44991</v>
      </c>
      <c r="B35">
        <v>17412.900390999999</v>
      </c>
    </row>
    <row r="36" spans="1:2" x14ac:dyDescent="0.45">
      <c r="A36" s="1">
        <v>44998</v>
      </c>
      <c r="B36">
        <v>17100.050781000002</v>
      </c>
    </row>
    <row r="37" spans="1:2" x14ac:dyDescent="0.45">
      <c r="A37" s="1">
        <v>45005</v>
      </c>
      <c r="B37">
        <v>16945.050781000002</v>
      </c>
    </row>
    <row r="38" spans="1:2" x14ac:dyDescent="0.45">
      <c r="A38" s="1">
        <v>45012</v>
      </c>
      <c r="B38">
        <v>17359.75</v>
      </c>
    </row>
    <row r="39" spans="1:2" x14ac:dyDescent="0.45">
      <c r="A39" s="1">
        <v>45019</v>
      </c>
      <c r="B39">
        <v>17599.150390999999</v>
      </c>
    </row>
    <row r="40" spans="1:2" x14ac:dyDescent="0.45">
      <c r="A40" s="1">
        <v>45026</v>
      </c>
      <c r="B40">
        <v>17828</v>
      </c>
    </row>
    <row r="41" spans="1:2" x14ac:dyDescent="0.45">
      <c r="A41" s="1">
        <v>45033</v>
      </c>
      <c r="B41">
        <v>17624.050781000002</v>
      </c>
    </row>
    <row r="42" spans="1:2" x14ac:dyDescent="0.45">
      <c r="A42" s="1">
        <v>45040</v>
      </c>
      <c r="B42">
        <v>18065</v>
      </c>
    </row>
    <row r="43" spans="1:2" x14ac:dyDescent="0.45">
      <c r="A43" s="1">
        <v>45047</v>
      </c>
      <c r="B43">
        <v>18069</v>
      </c>
    </row>
    <row r="44" spans="1:2" x14ac:dyDescent="0.45">
      <c r="A44" s="1">
        <v>45054</v>
      </c>
      <c r="B44">
        <v>18314.800781000002</v>
      </c>
    </row>
    <row r="45" spans="1:2" x14ac:dyDescent="0.45">
      <c r="A45" s="1">
        <v>45061</v>
      </c>
      <c r="B45">
        <v>18203.400390999999</v>
      </c>
    </row>
    <row r="46" spans="1:2" x14ac:dyDescent="0.45">
      <c r="A46" s="1">
        <v>45068</v>
      </c>
      <c r="B46">
        <v>18499.349609000001</v>
      </c>
    </row>
    <row r="47" spans="1:2" x14ac:dyDescent="0.45">
      <c r="A47" s="1">
        <v>45075</v>
      </c>
      <c r="B47">
        <v>18534.099609000001</v>
      </c>
    </row>
    <row r="48" spans="1:2" x14ac:dyDescent="0.45">
      <c r="A48" s="1">
        <v>45082</v>
      </c>
      <c r="B48">
        <v>18563.400390999999</v>
      </c>
    </row>
    <row r="49" spans="1:2" x14ac:dyDescent="0.45">
      <c r="A49" s="1">
        <v>45089</v>
      </c>
      <c r="B49">
        <v>18826</v>
      </c>
    </row>
    <row r="50" spans="1:2" x14ac:dyDescent="0.45">
      <c r="A50" s="1">
        <v>45096</v>
      </c>
      <c r="B50">
        <v>18665.5</v>
      </c>
    </row>
    <row r="51" spans="1:2" x14ac:dyDescent="0.45">
      <c r="A51" s="1">
        <v>45103</v>
      </c>
      <c r="B51">
        <v>19189.050781000002</v>
      </c>
    </row>
    <row r="52" spans="1:2" x14ac:dyDescent="0.45">
      <c r="A52" s="1">
        <v>45110</v>
      </c>
      <c r="B52">
        <v>19331.800781000002</v>
      </c>
    </row>
    <row r="53" spans="1:2" x14ac:dyDescent="0.45">
      <c r="A53" s="1">
        <v>45117</v>
      </c>
      <c r="B53">
        <v>19564.5</v>
      </c>
    </row>
    <row r="54" spans="1:2" x14ac:dyDescent="0.45">
      <c r="A54" s="1">
        <v>45124</v>
      </c>
      <c r="B54">
        <v>19745</v>
      </c>
    </row>
    <row r="55" spans="1:2" x14ac:dyDescent="0.45">
      <c r="A55" s="1">
        <v>45131</v>
      </c>
      <c r="B55">
        <v>19646.050781000002</v>
      </c>
    </row>
    <row r="56" spans="1:2" x14ac:dyDescent="0.45">
      <c r="A56" s="1">
        <v>45138</v>
      </c>
      <c r="B56">
        <v>19517</v>
      </c>
    </row>
    <row r="57" spans="1:2" x14ac:dyDescent="0.45">
      <c r="A57" s="1">
        <v>45145</v>
      </c>
      <c r="B57">
        <v>19428.300781000002</v>
      </c>
    </row>
    <row r="58" spans="1:2" x14ac:dyDescent="0.45">
      <c r="A58" s="1">
        <v>45152</v>
      </c>
      <c r="B58">
        <v>19310.150390999999</v>
      </c>
    </row>
    <row r="59" spans="1:2" x14ac:dyDescent="0.45">
      <c r="A59" s="1">
        <v>45159</v>
      </c>
      <c r="B59">
        <v>19265.800781000002</v>
      </c>
    </row>
    <row r="60" spans="1:2" x14ac:dyDescent="0.45">
      <c r="A60" s="1">
        <v>45166</v>
      </c>
      <c r="B60">
        <v>19435.300781000002</v>
      </c>
    </row>
    <row r="61" spans="1:2" x14ac:dyDescent="0.45">
      <c r="A61" s="1">
        <v>45173</v>
      </c>
      <c r="B61">
        <v>19819.949218999998</v>
      </c>
    </row>
    <row r="62" spans="1:2" x14ac:dyDescent="0.45">
      <c r="A62" s="1">
        <v>45180</v>
      </c>
      <c r="B62">
        <v>20192.349609000001</v>
      </c>
    </row>
    <row r="63" spans="1:2" x14ac:dyDescent="0.45">
      <c r="A63" s="1">
        <v>45187</v>
      </c>
      <c r="B63">
        <v>19674.25</v>
      </c>
    </row>
    <row r="64" spans="1:2" x14ac:dyDescent="0.45">
      <c r="A64" s="1">
        <v>45194</v>
      </c>
      <c r="B64">
        <v>19638.300781000002</v>
      </c>
    </row>
    <row r="65" spans="1:2" x14ac:dyDescent="0.45">
      <c r="A65" s="1">
        <v>45201</v>
      </c>
      <c r="B65">
        <v>19653.5</v>
      </c>
    </row>
    <row r="66" spans="1:2" x14ac:dyDescent="0.45">
      <c r="A66" s="1">
        <v>45208</v>
      </c>
      <c r="B66">
        <v>19751.050781000002</v>
      </c>
    </row>
    <row r="67" spans="1:2" x14ac:dyDescent="0.45">
      <c r="A67" s="1">
        <v>45215</v>
      </c>
      <c r="B67">
        <v>19542.650390999999</v>
      </c>
    </row>
    <row r="68" spans="1:2" x14ac:dyDescent="0.45">
      <c r="A68" s="1">
        <v>45222</v>
      </c>
      <c r="B68">
        <v>19047.25</v>
      </c>
    </row>
    <row r="69" spans="1:2" x14ac:dyDescent="0.45">
      <c r="A69" s="1">
        <v>45229</v>
      </c>
      <c r="B69">
        <v>19230.599609000001</v>
      </c>
    </row>
    <row r="70" spans="1:2" x14ac:dyDescent="0.45">
      <c r="A70" s="1">
        <v>45236</v>
      </c>
      <c r="B70">
        <v>19425.349609000001</v>
      </c>
    </row>
    <row r="71" spans="1:2" x14ac:dyDescent="0.45">
      <c r="A71" s="1">
        <v>45243</v>
      </c>
      <c r="B71">
        <v>19731.800781000002</v>
      </c>
    </row>
    <row r="72" spans="1:2" x14ac:dyDescent="0.45">
      <c r="A72" s="1">
        <v>45250</v>
      </c>
      <c r="B72">
        <v>19794.699218999998</v>
      </c>
    </row>
    <row r="73" spans="1:2" x14ac:dyDescent="0.45">
      <c r="A73" s="1">
        <v>45257</v>
      </c>
      <c r="B73">
        <v>20267.900390999999</v>
      </c>
    </row>
    <row r="74" spans="1:2" x14ac:dyDescent="0.45">
      <c r="A74" s="1">
        <v>45264</v>
      </c>
      <c r="B74">
        <v>20969.400390999999</v>
      </c>
    </row>
    <row r="75" spans="1:2" x14ac:dyDescent="0.45">
      <c r="A75" s="1">
        <v>45271</v>
      </c>
      <c r="B75">
        <v>21456.650390999999</v>
      </c>
    </row>
    <row r="76" spans="1:2" x14ac:dyDescent="0.45">
      <c r="A76" s="1">
        <v>45278</v>
      </c>
      <c r="B76">
        <v>21349.400390999999</v>
      </c>
    </row>
    <row r="77" spans="1:2" x14ac:dyDescent="0.45">
      <c r="A77" s="1">
        <v>45285</v>
      </c>
      <c r="B77">
        <v>21731.400390999999</v>
      </c>
    </row>
    <row r="78" spans="1:2" x14ac:dyDescent="0.45">
      <c r="A78" s="1">
        <v>45292</v>
      </c>
      <c r="B78">
        <v>21710.800781000002</v>
      </c>
    </row>
    <row r="79" spans="1:2" x14ac:dyDescent="0.45">
      <c r="A79" s="1">
        <v>45299</v>
      </c>
      <c r="B79">
        <v>21894.550781000002</v>
      </c>
    </row>
    <row r="80" spans="1:2" x14ac:dyDescent="0.45">
      <c r="A80" s="1">
        <v>45306</v>
      </c>
      <c r="B80">
        <v>21622.400390999999</v>
      </c>
    </row>
    <row r="81" spans="1:2" x14ac:dyDescent="0.45">
      <c r="A81" s="1">
        <v>45313</v>
      </c>
      <c r="B81">
        <v>21352.599609000001</v>
      </c>
    </row>
    <row r="82" spans="1:2" x14ac:dyDescent="0.45">
      <c r="A82" s="1">
        <v>45320</v>
      </c>
      <c r="B82">
        <v>21853.800781000002</v>
      </c>
    </row>
    <row r="83" spans="1:2" x14ac:dyDescent="0.45">
      <c r="A83" s="1">
        <v>45327</v>
      </c>
      <c r="B83">
        <v>21782.5</v>
      </c>
    </row>
    <row r="84" spans="1:2" x14ac:dyDescent="0.45">
      <c r="A84" s="1">
        <v>45334</v>
      </c>
      <c r="B84">
        <v>22040.699218999998</v>
      </c>
    </row>
    <row r="85" spans="1:2" x14ac:dyDescent="0.45">
      <c r="A85" s="1">
        <v>45341</v>
      </c>
      <c r="B85">
        <v>22212.699218999998</v>
      </c>
    </row>
    <row r="86" spans="1:2" x14ac:dyDescent="0.45">
      <c r="A86" s="1">
        <v>45348</v>
      </c>
      <c r="B86">
        <v>22338.75</v>
      </c>
    </row>
    <row r="87" spans="1:2" x14ac:dyDescent="0.45">
      <c r="A87" s="1">
        <v>45355</v>
      </c>
      <c r="B87">
        <v>22493.550781000002</v>
      </c>
    </row>
    <row r="88" spans="1:2" x14ac:dyDescent="0.45">
      <c r="A88" s="1">
        <v>45362</v>
      </c>
      <c r="B88">
        <v>22023.349609000001</v>
      </c>
    </row>
    <row r="89" spans="1:2" x14ac:dyDescent="0.45">
      <c r="A89" s="1">
        <v>45369</v>
      </c>
      <c r="B89">
        <v>22096.75</v>
      </c>
    </row>
    <row r="90" spans="1:2" x14ac:dyDescent="0.45">
      <c r="A90" s="1">
        <v>45376</v>
      </c>
      <c r="B90">
        <v>22326.900390999999</v>
      </c>
    </row>
    <row r="91" spans="1:2" x14ac:dyDescent="0.45">
      <c r="A91" s="1">
        <v>45383</v>
      </c>
      <c r="B91">
        <v>22513.699218999998</v>
      </c>
    </row>
    <row r="92" spans="1:2" x14ac:dyDescent="0.45">
      <c r="A92" s="1">
        <v>45390</v>
      </c>
      <c r="B92">
        <v>22519.400390999999</v>
      </c>
    </row>
    <row r="93" spans="1:2" x14ac:dyDescent="0.45">
      <c r="A93" s="1">
        <v>45397</v>
      </c>
      <c r="B93">
        <v>22147</v>
      </c>
    </row>
    <row r="94" spans="1:2" x14ac:dyDescent="0.45">
      <c r="A94" s="1">
        <v>45404</v>
      </c>
      <c r="B94">
        <v>22419.949218999998</v>
      </c>
    </row>
    <row r="95" spans="1:2" x14ac:dyDescent="0.45">
      <c r="A95" s="1">
        <v>45411</v>
      </c>
      <c r="B95">
        <v>22475.849609000001</v>
      </c>
    </row>
    <row r="96" spans="1:2" x14ac:dyDescent="0.45">
      <c r="A96" s="1">
        <v>45418</v>
      </c>
      <c r="B96">
        <v>22055.199218999998</v>
      </c>
    </row>
    <row r="97" spans="1:2" x14ac:dyDescent="0.45">
      <c r="A97" s="1">
        <v>45425</v>
      </c>
      <c r="B97">
        <v>22466.099609000001</v>
      </c>
    </row>
    <row r="98" spans="1:2" x14ac:dyDescent="0.45">
      <c r="A98" s="1">
        <v>45432</v>
      </c>
      <c r="B98">
        <v>22957.099609000001</v>
      </c>
    </row>
    <row r="99" spans="1:2" x14ac:dyDescent="0.45">
      <c r="A99" s="1">
        <v>45439</v>
      </c>
      <c r="B99">
        <v>22530.699218999998</v>
      </c>
    </row>
    <row r="100" spans="1:2" x14ac:dyDescent="0.45">
      <c r="A100" s="1">
        <v>45446</v>
      </c>
      <c r="B100">
        <v>23290.150390999999</v>
      </c>
    </row>
    <row r="101" spans="1:2" x14ac:dyDescent="0.45">
      <c r="A101" s="1">
        <v>45453</v>
      </c>
      <c r="B101">
        <v>23465.599609000001</v>
      </c>
    </row>
    <row r="102" spans="1:2" x14ac:dyDescent="0.45">
      <c r="A102" s="1">
        <v>45460</v>
      </c>
      <c r="B102">
        <v>23501.099609000001</v>
      </c>
    </row>
    <row r="103" spans="1:2" x14ac:dyDescent="0.45">
      <c r="A103" s="1">
        <v>45467</v>
      </c>
      <c r="B103">
        <v>24010.599609000001</v>
      </c>
    </row>
    <row r="104" spans="1:2" x14ac:dyDescent="0.45">
      <c r="A104" s="1">
        <v>45474</v>
      </c>
      <c r="B104">
        <v>24323.849609000001</v>
      </c>
    </row>
    <row r="105" spans="1:2" x14ac:dyDescent="0.45">
      <c r="A105" s="1">
        <v>45481</v>
      </c>
      <c r="B105">
        <v>24502.150390999999</v>
      </c>
    </row>
    <row r="106" spans="1:2" x14ac:dyDescent="0.45">
      <c r="A106" s="1">
        <v>45488</v>
      </c>
      <c r="B106">
        <v>24530.900390999999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5026F-0472-4B7B-971A-958E38E3506C}">
  <dimension ref="B5:Q115"/>
  <sheetViews>
    <sheetView showGridLines="0" topLeftCell="A3" zoomScale="85" workbookViewId="0">
      <selection activeCell="Q11" sqref="Q11"/>
    </sheetView>
  </sheetViews>
  <sheetFormatPr defaultRowHeight="14.25" x14ac:dyDescent="0.45"/>
  <cols>
    <col min="1" max="1" width="2.1328125" customWidth="1"/>
    <col min="2" max="2" width="14.59765625" style="5" customWidth="1"/>
    <col min="3" max="3" width="13.46484375" customWidth="1"/>
    <col min="4" max="4" width="14.59765625" customWidth="1"/>
    <col min="5" max="5" width="9.06640625" customWidth="1"/>
    <col min="6" max="6" width="10.9296875" customWidth="1"/>
    <col min="7" max="7" width="14.265625" customWidth="1"/>
    <col min="9" max="9" width="16.86328125" customWidth="1"/>
    <col min="13" max="13" width="13.33203125" customWidth="1"/>
    <col min="14" max="14" width="11.33203125" customWidth="1"/>
    <col min="16" max="16" width="10.796875" customWidth="1"/>
    <col min="17" max="17" width="10.6640625" customWidth="1"/>
  </cols>
  <sheetData>
    <row r="5" spans="2:17" ht="20" customHeight="1" x14ac:dyDescent="0.7">
      <c r="B5" s="60" t="s">
        <v>2</v>
      </c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</row>
    <row r="6" spans="2:17" x14ac:dyDescent="0.45">
      <c r="B6" s="3" t="s">
        <v>3</v>
      </c>
      <c r="C6" s="2"/>
    </row>
    <row r="8" spans="2:17" x14ac:dyDescent="0.45">
      <c r="B8" s="59" t="s">
        <v>5</v>
      </c>
      <c r="C8" s="59"/>
      <c r="D8" s="59"/>
      <c r="E8" s="9"/>
      <c r="F8" s="59" t="s">
        <v>7</v>
      </c>
      <c r="G8" s="59"/>
      <c r="I8" s="59" t="s">
        <v>8</v>
      </c>
      <c r="J8" s="59"/>
    </row>
    <row r="10" spans="2:17" ht="14.65" thickBot="1" x14ac:dyDescent="0.5">
      <c r="B10" s="17" t="s">
        <v>0</v>
      </c>
      <c r="C10" s="18" t="s">
        <v>6</v>
      </c>
      <c r="D10" s="18" t="s">
        <v>4</v>
      </c>
      <c r="E10" s="26"/>
      <c r="F10" s="18" t="s">
        <v>6</v>
      </c>
      <c r="G10" s="18" t="s">
        <v>4</v>
      </c>
      <c r="I10" t="s">
        <v>9</v>
      </c>
      <c r="J10" s="14">
        <f>M24</f>
        <v>0.55757108561713775</v>
      </c>
    </row>
    <row r="11" spans="2:17" ht="14.65" thickTop="1" x14ac:dyDescent="0.45">
      <c r="B11" s="6">
        <v>44760</v>
      </c>
      <c r="C11" s="7">
        <v>854.497253</v>
      </c>
      <c r="F11" s="7">
        <v>16719.449218999998</v>
      </c>
      <c r="I11" t="s">
        <v>10</v>
      </c>
      <c r="J11" s="15">
        <v>0.75</v>
      </c>
    </row>
    <row r="12" spans="2:17" x14ac:dyDescent="0.45">
      <c r="B12" s="6">
        <v>44767</v>
      </c>
      <c r="C12" s="7">
        <v>921.62591599999996</v>
      </c>
      <c r="D12" s="8">
        <f>C12/C11-1</f>
        <v>7.8559249622303984E-2</v>
      </c>
      <c r="F12" s="7">
        <v>17158.25</v>
      </c>
      <c r="G12" s="8">
        <f>F12/F11-1</f>
        <v>2.6244930395275645E-2</v>
      </c>
    </row>
    <row r="13" spans="2:17" x14ac:dyDescent="0.45">
      <c r="B13" s="6">
        <v>44774</v>
      </c>
      <c r="C13" s="7">
        <v>894.99920699999996</v>
      </c>
      <c r="D13" s="8">
        <f t="shared" ref="D13:D76" si="0">C13/C12-1</f>
        <v>-2.8891015907586581E-2</v>
      </c>
      <c r="F13" s="7">
        <v>17397.5</v>
      </c>
      <c r="G13" s="8">
        <f t="shared" ref="G13:G76" si="1">F13/F12-1</f>
        <v>1.3943729692713402E-2</v>
      </c>
      <c r="I13" t="s">
        <v>11</v>
      </c>
      <c r="J13">
        <v>1</v>
      </c>
    </row>
    <row r="14" spans="2:17" x14ac:dyDescent="0.45">
      <c r="B14" s="6">
        <v>44781</v>
      </c>
      <c r="C14" s="7">
        <v>892.55633499999999</v>
      </c>
      <c r="D14" s="8">
        <f t="shared" si="0"/>
        <v>-2.7294683401880571E-3</v>
      </c>
      <c r="F14" s="7">
        <v>17698.150390999999</v>
      </c>
      <c r="G14" s="8">
        <f t="shared" si="1"/>
        <v>1.7281241040379314E-2</v>
      </c>
      <c r="I14" t="s">
        <v>12</v>
      </c>
      <c r="J14" s="15">
        <v>0.25</v>
      </c>
    </row>
    <row r="15" spans="2:17" x14ac:dyDescent="0.45">
      <c r="B15" s="6">
        <v>44788</v>
      </c>
      <c r="C15" s="7">
        <v>880.73321499999997</v>
      </c>
      <c r="D15" s="8">
        <f t="shared" si="0"/>
        <v>-1.3246357161310174E-2</v>
      </c>
      <c r="F15" s="7">
        <v>17758.449218999998</v>
      </c>
      <c r="G15" s="8">
        <f t="shared" si="1"/>
        <v>3.4070694771959342E-3</v>
      </c>
    </row>
    <row r="16" spans="2:17" x14ac:dyDescent="0.45">
      <c r="B16" s="6">
        <v>44795</v>
      </c>
      <c r="C16" s="7">
        <v>862.84167500000001</v>
      </c>
      <c r="D16" s="8">
        <f t="shared" si="0"/>
        <v>-2.0314369544925048E-2</v>
      </c>
      <c r="F16" s="7">
        <v>17558.900390999999</v>
      </c>
      <c r="G16" s="8">
        <f t="shared" si="1"/>
        <v>-1.1236838619134604E-2</v>
      </c>
      <c r="I16" s="24" t="s">
        <v>13</v>
      </c>
      <c r="J16" s="25">
        <f>J10*J11+J13*J14</f>
        <v>0.66817831421285334</v>
      </c>
    </row>
    <row r="17" spans="2:14" x14ac:dyDescent="0.45">
      <c r="B17" s="6">
        <v>44802</v>
      </c>
      <c r="C17" s="7">
        <v>852.45007299999997</v>
      </c>
      <c r="D17" s="8">
        <f t="shared" si="0"/>
        <v>-1.2043463246023678E-2</v>
      </c>
      <c r="F17" s="7">
        <v>17539.449218999998</v>
      </c>
      <c r="G17" s="8">
        <f t="shared" si="1"/>
        <v>-1.1077670905844661E-3</v>
      </c>
    </row>
    <row r="18" spans="2:14" x14ac:dyDescent="0.45">
      <c r="B18" s="6">
        <v>44809</v>
      </c>
      <c r="C18" s="7">
        <v>872.49792500000001</v>
      </c>
      <c r="D18" s="8">
        <f t="shared" si="0"/>
        <v>2.3517919271736742E-2</v>
      </c>
      <c r="F18" s="7">
        <v>17833.349609000001</v>
      </c>
      <c r="G18" s="8">
        <f t="shared" si="1"/>
        <v>1.6756534730955508E-2</v>
      </c>
      <c r="I18" s="59" t="s">
        <v>45</v>
      </c>
      <c r="J18" s="59"/>
    </row>
    <row r="19" spans="2:14" x14ac:dyDescent="0.45">
      <c r="B19" s="6">
        <v>44816</v>
      </c>
      <c r="C19" s="7">
        <v>850.97955300000001</v>
      </c>
      <c r="D19" s="8">
        <f t="shared" si="0"/>
        <v>-2.4662949198417827E-2</v>
      </c>
      <c r="F19" s="7">
        <v>17530.849609000001</v>
      </c>
      <c r="G19" s="8">
        <f t="shared" si="1"/>
        <v>-1.6962601341440453E-2</v>
      </c>
    </row>
    <row r="20" spans="2:14" ht="14.65" thickBot="1" x14ac:dyDescent="0.5">
      <c r="B20" s="6">
        <v>44823</v>
      </c>
      <c r="C20" s="7">
        <v>902.98632799999996</v>
      </c>
      <c r="D20" s="8">
        <f t="shared" si="0"/>
        <v>6.1114012453833855E-2</v>
      </c>
      <c r="F20" s="7">
        <v>17327.349609000001</v>
      </c>
      <c r="G20" s="8">
        <f t="shared" si="1"/>
        <v>-1.1608108251383698E-2</v>
      </c>
      <c r="I20" s="27" t="s">
        <v>14</v>
      </c>
    </row>
    <row r="21" spans="2:14" ht="15" thickTop="1" thickBot="1" x14ac:dyDescent="0.5">
      <c r="B21" s="6">
        <v>44830</v>
      </c>
      <c r="C21" s="7">
        <v>929.99456799999996</v>
      </c>
      <c r="D21" s="8">
        <f t="shared" si="0"/>
        <v>2.9909910219592994E-2</v>
      </c>
      <c r="F21" s="7">
        <v>17094.349609000001</v>
      </c>
      <c r="G21" s="8">
        <f t="shared" si="1"/>
        <v>-1.3446949779265527E-2</v>
      </c>
    </row>
    <row r="22" spans="2:14" x14ac:dyDescent="0.45">
      <c r="B22" s="6">
        <v>44837</v>
      </c>
      <c r="C22" s="7">
        <v>936.36682099999996</v>
      </c>
      <c r="D22" s="8">
        <f t="shared" si="0"/>
        <v>6.8519249673724136E-3</v>
      </c>
      <c r="F22" s="7">
        <v>17314.650390999999</v>
      </c>
      <c r="G22" s="8">
        <f t="shared" si="1"/>
        <v>1.2887345060733635E-2</v>
      </c>
      <c r="I22" s="12" t="s">
        <v>15</v>
      </c>
      <c r="J22" s="12"/>
      <c r="L22" s="19" t="s">
        <v>39</v>
      </c>
      <c r="M22" s="20">
        <f>SLOPE(D12:D115,G12:G115)</f>
        <v>0.55757108561713764</v>
      </c>
      <c r="N22" s="21" t="s">
        <v>42</v>
      </c>
    </row>
    <row r="23" spans="2:14" x14ac:dyDescent="0.45">
      <c r="B23" s="6">
        <v>44844</v>
      </c>
      <c r="C23" s="7">
        <v>957.10082999999997</v>
      </c>
      <c r="D23" s="8">
        <f t="shared" si="0"/>
        <v>2.2143041097779426E-2</v>
      </c>
      <c r="F23" s="7">
        <v>17185.699218999998</v>
      </c>
      <c r="G23" s="8">
        <f t="shared" si="1"/>
        <v>-7.4475180894804094E-3</v>
      </c>
      <c r="I23" t="s">
        <v>16</v>
      </c>
      <c r="J23">
        <v>0.32035997072146738</v>
      </c>
      <c r="L23" s="19" t="s">
        <v>40</v>
      </c>
      <c r="M23" s="22">
        <f>_xlfn.COVARIANCE.S(D12:D115,G12:G115)/_xlfn.VAR.S(G12:G115)</f>
        <v>0.55757108561713764</v>
      </c>
      <c r="N23" s="23" t="s">
        <v>43</v>
      </c>
    </row>
    <row r="24" spans="2:14" x14ac:dyDescent="0.45">
      <c r="B24" s="6">
        <v>44851</v>
      </c>
      <c r="C24" s="7">
        <v>958.47332800000004</v>
      </c>
      <c r="D24" s="8">
        <f t="shared" si="0"/>
        <v>1.434016100477109E-3</v>
      </c>
      <c r="F24" s="7">
        <v>17576.300781000002</v>
      </c>
      <c r="G24" s="8">
        <f t="shared" si="1"/>
        <v>2.2728290366455628E-2</v>
      </c>
      <c r="I24" t="s">
        <v>17</v>
      </c>
      <c r="J24">
        <v>0.10263051084065943</v>
      </c>
      <c r="L24" s="19" t="s">
        <v>41</v>
      </c>
      <c r="M24" s="20">
        <f>J37</f>
        <v>0.55757108561713775</v>
      </c>
      <c r="N24" s="21" t="s">
        <v>44</v>
      </c>
    </row>
    <row r="25" spans="2:14" x14ac:dyDescent="0.45">
      <c r="B25" s="6">
        <v>44858</v>
      </c>
      <c r="C25" s="7">
        <v>970.53143299999999</v>
      </c>
      <c r="D25" s="8">
        <f t="shared" si="0"/>
        <v>1.2580532653069243E-2</v>
      </c>
      <c r="F25" s="7">
        <v>17786.800781000002</v>
      </c>
      <c r="G25" s="8">
        <f t="shared" si="1"/>
        <v>1.197635399068453E-2</v>
      </c>
      <c r="I25" t="s">
        <v>18</v>
      </c>
      <c r="J25">
        <v>9.3832770750861966E-2</v>
      </c>
    </row>
    <row r="26" spans="2:14" x14ac:dyDescent="0.45">
      <c r="B26" s="6">
        <v>44865</v>
      </c>
      <c r="C26" s="7">
        <v>1019.450134</v>
      </c>
      <c r="D26" s="8">
        <f t="shared" si="0"/>
        <v>5.0404035703189853E-2</v>
      </c>
      <c r="F26" s="7">
        <v>18117.150390999999</v>
      </c>
      <c r="G26" s="8">
        <f t="shared" si="1"/>
        <v>1.8572739081492262E-2</v>
      </c>
      <c r="I26" t="s">
        <v>19</v>
      </c>
      <c r="J26">
        <v>2.3401446872823525E-2</v>
      </c>
    </row>
    <row r="27" spans="2:14" ht="14.65" thickBot="1" x14ac:dyDescent="0.5">
      <c r="B27" s="6">
        <v>44872</v>
      </c>
      <c r="C27" s="7">
        <v>993.61822500000005</v>
      </c>
      <c r="D27" s="8">
        <f t="shared" si="0"/>
        <v>-2.5339060870632091E-2</v>
      </c>
      <c r="F27" s="7">
        <v>18349.699218999998</v>
      </c>
      <c r="G27" s="8">
        <f t="shared" si="1"/>
        <v>1.2835839134808014E-2</v>
      </c>
      <c r="I27" s="10" t="s">
        <v>20</v>
      </c>
      <c r="J27" s="10">
        <v>104</v>
      </c>
    </row>
    <row r="28" spans="2:14" x14ac:dyDescent="0.45">
      <c r="B28" s="6">
        <v>44879</v>
      </c>
      <c r="C28" s="7">
        <v>989.74597200000005</v>
      </c>
      <c r="D28" s="8">
        <f t="shared" si="0"/>
        <v>-3.8971235657437875E-3</v>
      </c>
      <c r="F28" s="7">
        <v>18307.650390999999</v>
      </c>
      <c r="G28" s="8">
        <f t="shared" si="1"/>
        <v>-2.2915268254892762E-3</v>
      </c>
    </row>
    <row r="29" spans="2:14" ht="14.65" thickBot="1" x14ac:dyDescent="0.5">
      <c r="B29" s="6">
        <v>44886</v>
      </c>
      <c r="C29" s="7">
        <v>1013.519043</v>
      </c>
      <c r="D29" s="8">
        <f t="shared" si="0"/>
        <v>2.401936625411194E-2</v>
      </c>
      <c r="F29" s="7">
        <v>18512.75</v>
      </c>
      <c r="G29" s="8">
        <f t="shared" si="1"/>
        <v>1.1202945469224623E-2</v>
      </c>
      <c r="I29" t="s">
        <v>21</v>
      </c>
    </row>
    <row r="30" spans="2:14" x14ac:dyDescent="0.45">
      <c r="B30" s="6">
        <v>44893</v>
      </c>
      <c r="C30" s="7">
        <v>1019.548096</v>
      </c>
      <c r="D30" s="8">
        <f t="shared" si="0"/>
        <v>5.948633172351725E-3</v>
      </c>
      <c r="F30" s="7">
        <v>18696.099609000001</v>
      </c>
      <c r="G30" s="8">
        <f t="shared" si="1"/>
        <v>9.9039639707769744E-3</v>
      </c>
      <c r="I30" s="11"/>
      <c r="J30" s="11" t="s">
        <v>26</v>
      </c>
      <c r="K30" s="11" t="s">
        <v>27</v>
      </c>
      <c r="L30" s="11" t="s">
        <v>28</v>
      </c>
      <c r="M30" s="11" t="s">
        <v>29</v>
      </c>
      <c r="N30" s="11" t="s">
        <v>30</v>
      </c>
    </row>
    <row r="31" spans="2:14" x14ac:dyDescent="0.45">
      <c r="B31" s="6">
        <v>44900</v>
      </c>
      <c r="C31" s="7">
        <v>973.32531700000004</v>
      </c>
      <c r="D31" s="8">
        <f t="shared" si="0"/>
        <v>-4.5336536041159947E-2</v>
      </c>
      <c r="F31" s="7">
        <v>18496.599609000001</v>
      </c>
      <c r="G31" s="8">
        <f t="shared" si="1"/>
        <v>-1.0670674855838058E-2</v>
      </c>
      <c r="I31" t="s">
        <v>22</v>
      </c>
      <c r="J31">
        <v>1</v>
      </c>
      <c r="K31">
        <v>6.3883806117709385E-3</v>
      </c>
      <c r="L31">
        <v>6.3883806117709385E-3</v>
      </c>
      <c r="M31">
        <v>11.665553857368183</v>
      </c>
      <c r="N31">
        <v>9.1515306342715484E-4</v>
      </c>
    </row>
    <row r="32" spans="2:14" x14ac:dyDescent="0.45">
      <c r="B32" s="6">
        <v>44907</v>
      </c>
      <c r="C32" s="7">
        <v>974.10961899999995</v>
      </c>
      <c r="D32" s="8">
        <f t="shared" si="0"/>
        <v>8.0579636253297338E-4</v>
      </c>
      <c r="F32" s="7">
        <v>18269</v>
      </c>
      <c r="G32" s="8">
        <f t="shared" si="1"/>
        <v>-1.2304943276668867E-2</v>
      </c>
      <c r="I32" t="s">
        <v>23</v>
      </c>
      <c r="J32">
        <v>102</v>
      </c>
      <c r="K32">
        <v>5.585802700564136E-2</v>
      </c>
      <c r="L32">
        <v>5.4762771574158196E-4</v>
      </c>
    </row>
    <row r="33" spans="2:17" ht="14.65" thickBot="1" x14ac:dyDescent="0.5">
      <c r="B33" s="6">
        <v>44914</v>
      </c>
      <c r="C33" s="7">
        <v>981.85424799999998</v>
      </c>
      <c r="D33" s="8">
        <f t="shared" si="0"/>
        <v>7.950469689387285E-3</v>
      </c>
      <c r="F33" s="7">
        <v>17806.800781000002</v>
      </c>
      <c r="G33" s="8">
        <f t="shared" si="1"/>
        <v>-2.529964524604511E-2</v>
      </c>
      <c r="I33" s="10" t="s">
        <v>24</v>
      </c>
      <c r="J33" s="10">
        <v>103</v>
      </c>
      <c r="K33" s="10">
        <v>6.2246407617412298E-2</v>
      </c>
      <c r="L33" s="10"/>
      <c r="M33" s="10"/>
      <c r="N33" s="10"/>
    </row>
    <row r="34" spans="2:17" ht="14.65" thickBot="1" x14ac:dyDescent="0.5">
      <c r="B34" s="6">
        <v>44921</v>
      </c>
      <c r="C34" s="7">
        <v>981.70721400000002</v>
      </c>
      <c r="D34" s="8">
        <f t="shared" si="0"/>
        <v>-1.4975135087458291E-4</v>
      </c>
      <c r="F34" s="7">
        <v>18105.300781000002</v>
      </c>
      <c r="G34" s="8">
        <f t="shared" si="1"/>
        <v>1.6763258244484991E-2</v>
      </c>
    </row>
    <row r="35" spans="2:17" x14ac:dyDescent="0.45">
      <c r="B35" s="6">
        <v>44928</v>
      </c>
      <c r="C35" s="7">
        <v>988.86370799999997</v>
      </c>
      <c r="D35" s="8">
        <f t="shared" si="0"/>
        <v>7.289845585264132E-3</v>
      </c>
      <c r="F35" s="7">
        <v>17859.449218999998</v>
      </c>
      <c r="G35" s="8">
        <f t="shared" si="1"/>
        <v>-1.3578982474458767E-2</v>
      </c>
      <c r="I35" s="11"/>
      <c r="J35" s="11" t="s">
        <v>31</v>
      </c>
      <c r="K35" s="11" t="s">
        <v>19</v>
      </c>
      <c r="L35" s="11" t="s">
        <v>32</v>
      </c>
      <c r="M35" s="11" t="s">
        <v>33</v>
      </c>
      <c r="N35" s="11" t="s">
        <v>34</v>
      </c>
      <c r="O35" s="11" t="s">
        <v>35</v>
      </c>
      <c r="P35" s="11" t="s">
        <v>36</v>
      </c>
      <c r="Q35" s="11" t="s">
        <v>37</v>
      </c>
    </row>
    <row r="36" spans="2:17" x14ac:dyDescent="0.45">
      <c r="B36" s="6">
        <v>44935</v>
      </c>
      <c r="C36" s="7">
        <v>1011.313293</v>
      </c>
      <c r="D36" s="8">
        <f t="shared" si="0"/>
        <v>2.2702405618065358E-2</v>
      </c>
      <c r="F36" s="7">
        <v>17956.599609000001</v>
      </c>
      <c r="G36" s="8">
        <f t="shared" si="1"/>
        <v>5.4397192661825855E-3</v>
      </c>
      <c r="I36" t="s">
        <v>25</v>
      </c>
      <c r="J36">
        <v>4.039063736684838E-3</v>
      </c>
      <c r="K36">
        <v>2.3767152968117342E-3</v>
      </c>
      <c r="L36">
        <v>1.6994310349679138</v>
      </c>
      <c r="M36">
        <v>9.2285872552072198E-2</v>
      </c>
      <c r="N36">
        <v>-6.7513978549510727E-4</v>
      </c>
      <c r="O36">
        <v>8.7532672588647824E-3</v>
      </c>
      <c r="P36">
        <v>-6.7513978549510727E-4</v>
      </c>
      <c r="Q36">
        <v>8.7532672588647824E-3</v>
      </c>
    </row>
    <row r="37" spans="2:17" ht="14.65" thickBot="1" x14ac:dyDescent="0.5">
      <c r="B37" s="6">
        <v>44942</v>
      </c>
      <c r="C37" s="7">
        <v>1010.087891</v>
      </c>
      <c r="D37" s="8">
        <f t="shared" si="0"/>
        <v>-1.2116937535399108E-3</v>
      </c>
      <c r="F37" s="7">
        <v>18027.650390999999</v>
      </c>
      <c r="G37" s="8">
        <f t="shared" si="1"/>
        <v>3.9568060516528281E-3</v>
      </c>
      <c r="I37" s="10" t="s">
        <v>38</v>
      </c>
      <c r="J37" s="10">
        <v>0.55757108561713775</v>
      </c>
      <c r="K37" s="10">
        <v>0.16324788471387919</v>
      </c>
      <c r="L37" s="10">
        <v>3.4154873528338805</v>
      </c>
      <c r="M37" s="10">
        <v>9.1515306342714921E-4</v>
      </c>
      <c r="N37" s="10">
        <v>0.23376968031673856</v>
      </c>
      <c r="O37" s="10">
        <v>0.88137249091753689</v>
      </c>
      <c r="P37" s="10">
        <v>0.23376968031673856</v>
      </c>
      <c r="Q37" s="10">
        <v>0.88137249091753689</v>
      </c>
    </row>
    <row r="38" spans="2:17" x14ac:dyDescent="0.45">
      <c r="B38" s="6">
        <v>44949</v>
      </c>
      <c r="C38" s="7">
        <v>1022.881348</v>
      </c>
      <c r="D38" s="8">
        <f t="shared" si="0"/>
        <v>1.2665686930801945E-2</v>
      </c>
      <c r="F38" s="7">
        <v>17604.349609000001</v>
      </c>
      <c r="G38" s="8">
        <f t="shared" si="1"/>
        <v>-2.3480640727941093E-2</v>
      </c>
    </row>
    <row r="39" spans="2:17" x14ac:dyDescent="0.45">
      <c r="B39" s="6">
        <v>44956</v>
      </c>
      <c r="C39" s="7">
        <v>1007.931274</v>
      </c>
      <c r="D39" s="8">
        <f t="shared" si="0"/>
        <v>-1.4615648265784986E-2</v>
      </c>
      <c r="F39" s="7">
        <v>17854.050781000002</v>
      </c>
      <c r="G39" s="8">
        <f t="shared" si="1"/>
        <v>1.4184061186352848E-2</v>
      </c>
    </row>
    <row r="40" spans="2:17" x14ac:dyDescent="0.45">
      <c r="B40" s="6">
        <v>44963</v>
      </c>
      <c r="C40" s="7">
        <v>986.80493200000001</v>
      </c>
      <c r="D40" s="8">
        <f t="shared" si="0"/>
        <v>-2.0960101690425392E-2</v>
      </c>
      <c r="F40" s="7">
        <v>17856.5</v>
      </c>
      <c r="G40" s="8">
        <f t="shared" si="1"/>
        <v>1.371800175793414E-4</v>
      </c>
    </row>
    <row r="41" spans="2:17" x14ac:dyDescent="0.45">
      <c r="B41" s="6">
        <v>44970</v>
      </c>
      <c r="C41" s="7">
        <v>972.38610800000004</v>
      </c>
      <c r="D41" s="8">
        <f t="shared" si="0"/>
        <v>-1.4611625390619776E-2</v>
      </c>
      <c r="F41" s="7">
        <v>17944.199218999998</v>
      </c>
      <c r="G41" s="8">
        <f t="shared" si="1"/>
        <v>4.9113330719905424E-3</v>
      </c>
    </row>
    <row r="42" spans="2:17" x14ac:dyDescent="0.45">
      <c r="B42" s="6">
        <v>44977</v>
      </c>
      <c r="C42" s="7">
        <v>958.55835000000002</v>
      </c>
      <c r="D42" s="8">
        <f t="shared" si="0"/>
        <v>-1.4220439685672659E-2</v>
      </c>
      <c r="F42" s="7">
        <v>17465.800781000002</v>
      </c>
      <c r="G42" s="8">
        <f t="shared" si="1"/>
        <v>-2.6660339208308015E-2</v>
      </c>
    </row>
    <row r="43" spans="2:17" x14ac:dyDescent="0.45">
      <c r="B43" s="6">
        <v>44984</v>
      </c>
      <c r="C43" s="7">
        <v>955.00268600000004</v>
      </c>
      <c r="D43" s="8">
        <f t="shared" si="0"/>
        <v>-3.7093871228600639E-3</v>
      </c>
      <c r="F43" s="7">
        <v>17594.349609000001</v>
      </c>
      <c r="G43" s="8">
        <f t="shared" si="1"/>
        <v>7.3600305884538031E-3</v>
      </c>
    </row>
    <row r="44" spans="2:17" x14ac:dyDescent="0.45">
      <c r="B44" s="6">
        <v>44991</v>
      </c>
      <c r="C44" s="7">
        <v>943.79229699999996</v>
      </c>
      <c r="D44" s="8">
        <f t="shared" si="0"/>
        <v>-1.1738594209566577E-2</v>
      </c>
      <c r="F44" s="7">
        <v>17412.900390999999</v>
      </c>
      <c r="G44" s="8">
        <f t="shared" si="1"/>
        <v>-1.0312925571695164E-2</v>
      </c>
    </row>
    <row r="45" spans="2:17" x14ac:dyDescent="0.45">
      <c r="B45" s="6">
        <v>44998</v>
      </c>
      <c r="C45" s="7">
        <v>945.91589399999998</v>
      </c>
      <c r="D45" s="8">
        <f t="shared" si="0"/>
        <v>2.2500681630377439E-3</v>
      </c>
      <c r="F45" s="7">
        <v>17100.050781000002</v>
      </c>
      <c r="G45" s="8">
        <f t="shared" si="1"/>
        <v>-1.7966542217268788E-2</v>
      </c>
    </row>
    <row r="46" spans="2:17" x14ac:dyDescent="0.45">
      <c r="B46" s="6">
        <v>45005</v>
      </c>
      <c r="C46" s="7">
        <v>960.87939500000005</v>
      </c>
      <c r="D46" s="8">
        <f t="shared" si="0"/>
        <v>1.5819060758905046E-2</v>
      </c>
      <c r="F46" s="7">
        <v>16945.050781000002</v>
      </c>
      <c r="G46" s="8">
        <f t="shared" si="1"/>
        <v>-9.0643005675878907E-3</v>
      </c>
    </row>
    <row r="47" spans="2:17" x14ac:dyDescent="0.45">
      <c r="B47" s="6">
        <v>45012</v>
      </c>
      <c r="C47" s="7">
        <v>971.00329599999998</v>
      </c>
      <c r="D47" s="8">
        <f t="shared" si="0"/>
        <v>1.0536078776046454E-2</v>
      </c>
      <c r="F47" s="7">
        <v>17359.75</v>
      </c>
      <c r="G47" s="8">
        <f t="shared" si="1"/>
        <v>2.4473176525678486E-2</v>
      </c>
    </row>
    <row r="48" spans="2:17" x14ac:dyDescent="0.45">
      <c r="B48" s="6">
        <v>45019</v>
      </c>
      <c r="C48" s="7">
        <v>999.64642300000003</v>
      </c>
      <c r="D48" s="8">
        <f t="shared" si="0"/>
        <v>2.9498485863018065E-2</v>
      </c>
      <c r="F48" s="7">
        <v>17599.150390999999</v>
      </c>
      <c r="G48" s="8">
        <f t="shared" si="1"/>
        <v>1.3790543700226143E-2</v>
      </c>
    </row>
    <row r="49" spans="2:7" x14ac:dyDescent="0.45">
      <c r="B49" s="6">
        <v>45026</v>
      </c>
      <c r="C49" s="7">
        <v>991.15234399999997</v>
      </c>
      <c r="D49" s="8">
        <f t="shared" si="0"/>
        <v>-8.4970833732479489E-3</v>
      </c>
      <c r="F49" s="7">
        <v>17828</v>
      </c>
      <c r="G49" s="8">
        <f t="shared" si="1"/>
        <v>1.3003446411653519E-2</v>
      </c>
    </row>
    <row r="50" spans="2:7" x14ac:dyDescent="0.45">
      <c r="B50" s="6">
        <v>45033</v>
      </c>
      <c r="C50" s="7">
        <v>977.27520800000002</v>
      </c>
      <c r="D50" s="8">
        <f t="shared" si="0"/>
        <v>-1.4001012139058133E-2</v>
      </c>
      <c r="F50" s="7">
        <v>17624.050781000002</v>
      </c>
      <c r="G50" s="8">
        <f t="shared" si="1"/>
        <v>-1.1439826060130054E-2</v>
      </c>
    </row>
    <row r="51" spans="2:7" x14ac:dyDescent="0.45">
      <c r="B51" s="6">
        <v>45040</v>
      </c>
      <c r="C51" s="7">
        <v>975.49737500000003</v>
      </c>
      <c r="D51" s="8">
        <f t="shared" si="0"/>
        <v>-1.8191733356649475E-3</v>
      </c>
      <c r="F51" s="7">
        <v>18065</v>
      </c>
      <c r="G51" s="8">
        <f t="shared" si="1"/>
        <v>2.5019742877464557E-2</v>
      </c>
    </row>
    <row r="52" spans="2:7" x14ac:dyDescent="0.45">
      <c r="B52" s="6">
        <v>45047</v>
      </c>
      <c r="C52" s="7">
        <v>958.50897199999997</v>
      </c>
      <c r="D52" s="8">
        <f t="shared" si="0"/>
        <v>-1.7415119133457502E-2</v>
      </c>
      <c r="F52" s="7">
        <v>18069</v>
      </c>
      <c r="G52" s="8">
        <f t="shared" si="1"/>
        <v>2.2142264046509652E-4</v>
      </c>
    </row>
    <row r="53" spans="2:7" x14ac:dyDescent="0.45">
      <c r="B53" s="6">
        <v>45054</v>
      </c>
      <c r="C53" s="7">
        <v>944.23681599999998</v>
      </c>
      <c r="D53" s="8">
        <f t="shared" si="0"/>
        <v>-1.488995556319106E-2</v>
      </c>
      <c r="F53" s="7">
        <v>18314.800781000002</v>
      </c>
      <c r="G53" s="8">
        <f t="shared" si="1"/>
        <v>1.3603452376999448E-2</v>
      </c>
    </row>
    <row r="54" spans="2:7" x14ac:dyDescent="0.45">
      <c r="B54" s="6">
        <v>45061</v>
      </c>
      <c r="C54" s="7">
        <v>914.45770300000004</v>
      </c>
      <c r="D54" s="8">
        <f t="shared" si="0"/>
        <v>-3.1537758849682462E-2</v>
      </c>
      <c r="F54" s="7">
        <v>18203.400390999999</v>
      </c>
      <c r="G54" s="8">
        <f t="shared" si="1"/>
        <v>-6.0825335384249168E-3</v>
      </c>
    </row>
    <row r="55" spans="2:7" x14ac:dyDescent="0.45">
      <c r="B55" s="6">
        <v>45068</v>
      </c>
      <c r="C55" s="7">
        <v>957.96575900000005</v>
      </c>
      <c r="D55" s="8">
        <f t="shared" si="0"/>
        <v>4.7577986228631408E-2</v>
      </c>
      <c r="F55" s="7">
        <v>18499.349609000001</v>
      </c>
      <c r="G55" s="8">
        <f t="shared" si="1"/>
        <v>1.6257908502980811E-2</v>
      </c>
    </row>
    <row r="56" spans="2:7" x14ac:dyDescent="0.45">
      <c r="B56" s="6">
        <v>45075</v>
      </c>
      <c r="C56" s="7">
        <v>987.30029300000001</v>
      </c>
      <c r="D56" s="8">
        <f t="shared" si="0"/>
        <v>3.062169365074352E-2</v>
      </c>
      <c r="F56" s="7">
        <v>18534.099609000001</v>
      </c>
      <c r="G56" s="8">
        <f t="shared" si="1"/>
        <v>1.8784444174779757E-3</v>
      </c>
    </row>
    <row r="57" spans="2:7" x14ac:dyDescent="0.45">
      <c r="B57" s="6">
        <v>45082</v>
      </c>
      <c r="C57" s="7">
        <v>971.84283400000004</v>
      </c>
      <c r="D57" s="8">
        <f t="shared" si="0"/>
        <v>-1.565628928664764E-2</v>
      </c>
      <c r="F57" s="7">
        <v>18563.400390999999</v>
      </c>
      <c r="G57" s="8">
        <f t="shared" si="1"/>
        <v>1.5809120819534339E-3</v>
      </c>
    </row>
    <row r="58" spans="2:7" x14ac:dyDescent="0.45">
      <c r="B58" s="6">
        <v>45089</v>
      </c>
      <c r="C58" s="7">
        <v>979.79382299999997</v>
      </c>
      <c r="D58" s="8">
        <f t="shared" si="0"/>
        <v>8.1813527062544189E-3</v>
      </c>
      <c r="F58" s="7">
        <v>18826</v>
      </c>
      <c r="G58" s="8">
        <f t="shared" si="1"/>
        <v>1.4146094113625551E-2</v>
      </c>
    </row>
    <row r="59" spans="2:7" x14ac:dyDescent="0.45">
      <c r="B59" s="6">
        <v>45096</v>
      </c>
      <c r="C59" s="7">
        <v>979.25061000000005</v>
      </c>
      <c r="D59" s="8">
        <f t="shared" si="0"/>
        <v>-5.5441562015223766E-4</v>
      </c>
      <c r="F59" s="7">
        <v>18665.5</v>
      </c>
      <c r="G59" s="8">
        <f t="shared" si="1"/>
        <v>-8.5254435355359703E-3</v>
      </c>
    </row>
    <row r="60" spans="2:7" x14ac:dyDescent="0.45">
      <c r="B60" s="6">
        <v>45103</v>
      </c>
      <c r="C60" s="7">
        <v>1038.6604</v>
      </c>
      <c r="D60" s="8">
        <f t="shared" si="0"/>
        <v>6.0668627002438136E-2</v>
      </c>
      <c r="F60" s="7">
        <v>19189.050781000002</v>
      </c>
      <c r="G60" s="8">
        <f t="shared" si="1"/>
        <v>2.804911633762841E-2</v>
      </c>
    </row>
    <row r="61" spans="2:7" x14ac:dyDescent="0.45">
      <c r="B61" s="6">
        <v>45110</v>
      </c>
      <c r="C61" s="7">
        <v>1022.955994</v>
      </c>
      <c r="D61" s="8">
        <f t="shared" si="0"/>
        <v>-1.5119865935006249E-2</v>
      </c>
      <c r="F61" s="7">
        <v>19331.800781000002</v>
      </c>
      <c r="G61" s="8">
        <f t="shared" si="1"/>
        <v>7.4391381642151533E-3</v>
      </c>
    </row>
    <row r="62" spans="2:7" x14ac:dyDescent="0.45">
      <c r="B62" s="6">
        <v>45117</v>
      </c>
      <c r="C62" s="7">
        <v>1059.7476810000001</v>
      </c>
      <c r="D62" s="8">
        <f t="shared" si="0"/>
        <v>3.5966050559160134E-2</v>
      </c>
      <c r="F62" s="7">
        <v>19564.5</v>
      </c>
      <c r="G62" s="8">
        <f t="shared" si="1"/>
        <v>1.2037120681933855E-2</v>
      </c>
    </row>
    <row r="63" spans="2:7" x14ac:dyDescent="0.45">
      <c r="B63" s="6">
        <v>45124</v>
      </c>
      <c r="C63" s="7">
        <v>1083.650024</v>
      </c>
      <c r="D63" s="8">
        <f t="shared" si="0"/>
        <v>2.2554749048797396E-2</v>
      </c>
      <c r="F63" s="7">
        <v>19745</v>
      </c>
      <c r="G63" s="8">
        <f t="shared" si="1"/>
        <v>9.225893838329613E-3</v>
      </c>
    </row>
    <row r="64" spans="2:7" x14ac:dyDescent="0.45">
      <c r="B64" s="6">
        <v>45131</v>
      </c>
      <c r="C64" s="7">
        <v>1124.540649</v>
      </c>
      <c r="D64" s="8">
        <f t="shared" si="0"/>
        <v>3.773416148607045E-2</v>
      </c>
      <c r="F64" s="7">
        <v>19646.050781000002</v>
      </c>
      <c r="G64" s="8">
        <f t="shared" si="1"/>
        <v>-5.0113557356291638E-3</v>
      </c>
    </row>
    <row r="65" spans="2:7" x14ac:dyDescent="0.45">
      <c r="B65" s="6">
        <v>45138</v>
      </c>
      <c r="C65" s="7">
        <v>1128.914307</v>
      </c>
      <c r="D65" s="8">
        <f t="shared" si="0"/>
        <v>3.8892840413453644E-3</v>
      </c>
      <c r="F65" s="7">
        <v>19517</v>
      </c>
      <c r="G65" s="8">
        <f t="shared" si="1"/>
        <v>-6.568789953694365E-3</v>
      </c>
    </row>
    <row r="66" spans="2:7" x14ac:dyDescent="0.45">
      <c r="B66" s="6">
        <v>45145</v>
      </c>
      <c r="C66" s="7">
        <v>1122.372437</v>
      </c>
      <c r="D66" s="8">
        <f t="shared" si="0"/>
        <v>-5.7948331059639591E-3</v>
      </c>
      <c r="F66" s="7">
        <v>19428.300781000002</v>
      </c>
      <c r="G66" s="8">
        <f t="shared" si="1"/>
        <v>-4.5447158374749552E-3</v>
      </c>
    </row>
    <row r="67" spans="2:7" x14ac:dyDescent="0.45">
      <c r="B67" s="6">
        <v>45152</v>
      </c>
      <c r="C67" s="7">
        <v>1124.900024</v>
      </c>
      <c r="D67" s="8">
        <f t="shared" si="0"/>
        <v>2.252003806112679E-3</v>
      </c>
      <c r="F67" s="7">
        <v>19310.150390999999</v>
      </c>
      <c r="G67" s="8">
        <f t="shared" si="1"/>
        <v>-6.0813547891717112E-3</v>
      </c>
    </row>
    <row r="68" spans="2:7" x14ac:dyDescent="0.45">
      <c r="B68" s="6">
        <v>45159</v>
      </c>
      <c r="C68" s="7">
        <v>1096.552124</v>
      </c>
      <c r="D68" s="8">
        <f t="shared" si="0"/>
        <v>-2.5200372828865669E-2</v>
      </c>
      <c r="F68" s="7">
        <v>19265.800781000002</v>
      </c>
      <c r="G68" s="8">
        <f t="shared" si="1"/>
        <v>-2.2966993576947203E-3</v>
      </c>
    </row>
    <row r="69" spans="2:7" x14ac:dyDescent="0.45">
      <c r="B69" s="6">
        <v>45166</v>
      </c>
      <c r="C69" s="7">
        <v>1099.2282709999999</v>
      </c>
      <c r="D69" s="8">
        <f t="shared" si="0"/>
        <v>2.4405105251521508E-3</v>
      </c>
      <c r="F69" s="7">
        <v>19435.300781000002</v>
      </c>
      <c r="G69" s="8">
        <f t="shared" si="1"/>
        <v>8.797973254616176E-3</v>
      </c>
    </row>
    <row r="70" spans="2:7" x14ac:dyDescent="0.45">
      <c r="B70" s="6">
        <v>45173</v>
      </c>
      <c r="C70" s="7">
        <v>1120.4891359999999</v>
      </c>
      <c r="D70" s="8">
        <f t="shared" si="0"/>
        <v>1.9341628632475238E-2</v>
      </c>
      <c r="F70" s="7">
        <v>19819.949218999998</v>
      </c>
      <c r="G70" s="8">
        <f t="shared" si="1"/>
        <v>1.9791226404688889E-2</v>
      </c>
    </row>
    <row r="71" spans="2:7" x14ac:dyDescent="0.45">
      <c r="B71" s="6">
        <v>45180</v>
      </c>
      <c r="C71" s="7">
        <v>1139.6687010000001</v>
      </c>
      <c r="D71" s="8">
        <f t="shared" si="0"/>
        <v>1.7117136064762395E-2</v>
      </c>
      <c r="F71" s="7">
        <v>20192.349609000001</v>
      </c>
      <c r="G71" s="8">
        <f t="shared" si="1"/>
        <v>1.8789169734249711E-2</v>
      </c>
    </row>
    <row r="72" spans="2:7" x14ac:dyDescent="0.45">
      <c r="B72" s="6">
        <v>45187</v>
      </c>
      <c r="C72" s="7">
        <v>1122.372437</v>
      </c>
      <c r="D72" s="8">
        <f t="shared" si="0"/>
        <v>-1.5176571914999104E-2</v>
      </c>
      <c r="F72" s="7">
        <v>19674.25</v>
      </c>
      <c r="G72" s="8">
        <f t="shared" si="1"/>
        <v>-2.5658213087251469E-2</v>
      </c>
    </row>
    <row r="73" spans="2:7" x14ac:dyDescent="0.45">
      <c r="B73" s="6">
        <v>45194</v>
      </c>
      <c r="C73" s="7">
        <v>1148.4407960000001</v>
      </c>
      <c r="D73" s="8">
        <f t="shared" si="0"/>
        <v>2.3226121865286053E-2</v>
      </c>
      <c r="F73" s="7">
        <v>19638.300781000002</v>
      </c>
      <c r="G73" s="8">
        <f t="shared" si="1"/>
        <v>-1.8272218254824502E-3</v>
      </c>
    </row>
    <row r="74" spans="2:7" x14ac:dyDescent="0.45">
      <c r="B74" s="6">
        <v>45201</v>
      </c>
      <c r="C74" s="7">
        <v>1117.3670649999999</v>
      </c>
      <c r="D74" s="8">
        <f t="shared" si="0"/>
        <v>-2.7057320767626347E-2</v>
      </c>
      <c r="F74" s="7">
        <v>19653.5</v>
      </c>
      <c r="G74" s="8">
        <f t="shared" si="1"/>
        <v>7.7395794928980521E-4</v>
      </c>
    </row>
    <row r="75" spans="2:7" x14ac:dyDescent="0.45">
      <c r="B75" s="6">
        <v>45208</v>
      </c>
      <c r="C75" s="7">
        <v>1135.208496</v>
      </c>
      <c r="D75" s="8">
        <f t="shared" si="0"/>
        <v>1.596738579367396E-2</v>
      </c>
      <c r="F75" s="7">
        <v>19751.050781000002</v>
      </c>
      <c r="G75" s="8">
        <f t="shared" si="1"/>
        <v>4.96353224616497E-3</v>
      </c>
    </row>
    <row r="76" spans="2:7" x14ac:dyDescent="0.45">
      <c r="B76" s="6">
        <v>45215</v>
      </c>
      <c r="C76" s="7">
        <v>1132.13562</v>
      </c>
      <c r="D76" s="8">
        <f t="shared" si="0"/>
        <v>-2.7068824897166222E-3</v>
      </c>
      <c r="F76" s="7">
        <v>19542.650390999999</v>
      </c>
      <c r="G76" s="8">
        <f t="shared" si="1"/>
        <v>-1.0551357105540893E-2</v>
      </c>
    </row>
    <row r="77" spans="2:7" x14ac:dyDescent="0.45">
      <c r="B77" s="6">
        <v>45222</v>
      </c>
      <c r="C77" s="7">
        <v>1101.5079350000001</v>
      </c>
      <c r="D77" s="8">
        <f t="shared" ref="D77:D115" si="2">C77/C76-1</f>
        <v>-2.7053017729448237E-2</v>
      </c>
      <c r="F77" s="7">
        <v>19047.25</v>
      </c>
      <c r="G77" s="8">
        <f t="shared" ref="G77:G115" si="3">F77/F76-1</f>
        <v>-2.5349703396840506E-2</v>
      </c>
    </row>
    <row r="78" spans="2:7" x14ac:dyDescent="0.45">
      <c r="B78" s="6">
        <v>45229</v>
      </c>
      <c r="C78" s="7">
        <v>1131.0454099999999</v>
      </c>
      <c r="D78" s="8">
        <f t="shared" si="2"/>
        <v>2.6815489985553276E-2</v>
      </c>
      <c r="F78" s="7">
        <v>19230.599609000001</v>
      </c>
      <c r="G78" s="8">
        <f t="shared" si="3"/>
        <v>9.6260409770438926E-3</v>
      </c>
    </row>
    <row r="79" spans="2:7" x14ac:dyDescent="0.45">
      <c r="B79" s="6">
        <v>45236</v>
      </c>
      <c r="C79" s="7">
        <v>1168.958374</v>
      </c>
      <c r="D79" s="8">
        <f t="shared" si="2"/>
        <v>3.3520284565762948E-2</v>
      </c>
      <c r="F79" s="7">
        <v>19425.349609000001</v>
      </c>
      <c r="G79" s="8">
        <f t="shared" si="3"/>
        <v>1.0127089324289962E-2</v>
      </c>
    </row>
    <row r="80" spans="2:7" x14ac:dyDescent="0.45">
      <c r="B80" s="6">
        <v>45243</v>
      </c>
      <c r="C80" s="7">
        <v>1184.073975</v>
      </c>
      <c r="D80" s="8">
        <f t="shared" si="2"/>
        <v>1.2930829134896182E-2</v>
      </c>
      <c r="F80" s="7">
        <v>19731.800781000002</v>
      </c>
      <c r="G80" s="8">
        <f t="shared" si="3"/>
        <v>1.5775838178892609E-2</v>
      </c>
    </row>
    <row r="81" spans="2:7" x14ac:dyDescent="0.45">
      <c r="B81" s="6">
        <v>45250</v>
      </c>
      <c r="C81" s="7">
        <v>1184.9163820000001</v>
      </c>
      <c r="D81" s="8">
        <f t="shared" si="2"/>
        <v>7.1144794817401547E-4</v>
      </c>
      <c r="F81" s="7">
        <v>19794.699218999998</v>
      </c>
      <c r="G81" s="8">
        <f t="shared" si="3"/>
        <v>3.1876684088845142E-3</v>
      </c>
    </row>
    <row r="82" spans="2:7" x14ac:dyDescent="0.45">
      <c r="B82" s="6">
        <v>45257</v>
      </c>
      <c r="C82" s="7">
        <v>1220.401001</v>
      </c>
      <c r="D82" s="8">
        <f t="shared" si="2"/>
        <v>2.9946939327571753E-2</v>
      </c>
      <c r="F82" s="7">
        <v>20267.900390999999</v>
      </c>
      <c r="G82" s="8">
        <f t="shared" si="3"/>
        <v>2.390544896715574E-2</v>
      </c>
    </row>
    <row r="83" spans="2:7" x14ac:dyDescent="0.45">
      <c r="B83" s="6">
        <v>45264</v>
      </c>
      <c r="C83" s="7">
        <v>1224.9110109999999</v>
      </c>
      <c r="D83" s="8">
        <f t="shared" si="2"/>
        <v>3.6955148318498221E-3</v>
      </c>
      <c r="F83" s="7">
        <v>20969.400390999999</v>
      </c>
      <c r="G83" s="8">
        <f t="shared" si="3"/>
        <v>3.4611379889724736E-2</v>
      </c>
    </row>
    <row r="84" spans="2:7" x14ac:dyDescent="0.45">
      <c r="B84" s="6">
        <v>45271</v>
      </c>
      <c r="C84" s="7">
        <v>1224.8614500000001</v>
      </c>
      <c r="D84" s="8">
        <f t="shared" si="2"/>
        <v>-4.0460898428351655E-5</v>
      </c>
      <c r="F84" s="7">
        <v>21456.650390999999</v>
      </c>
      <c r="G84" s="8">
        <f t="shared" si="3"/>
        <v>2.3236239039487572E-2</v>
      </c>
    </row>
    <row r="85" spans="2:7" x14ac:dyDescent="0.45">
      <c r="B85" s="6">
        <v>45278</v>
      </c>
      <c r="C85" s="7">
        <v>1232.6917719999999</v>
      </c>
      <c r="D85" s="8">
        <f t="shared" si="2"/>
        <v>6.3928226331229077E-3</v>
      </c>
      <c r="F85" s="7">
        <v>21349.400390999999</v>
      </c>
      <c r="G85" s="8">
        <f t="shared" si="3"/>
        <v>-4.9984502727874469E-3</v>
      </c>
    </row>
    <row r="86" spans="2:7" x14ac:dyDescent="0.45">
      <c r="B86" s="6">
        <v>45285</v>
      </c>
      <c r="C86" s="7">
        <v>1248.352539</v>
      </c>
      <c r="D86" s="8">
        <f t="shared" si="2"/>
        <v>1.2704527892314132E-2</v>
      </c>
      <c r="F86" s="7">
        <v>21731.400390999999</v>
      </c>
      <c r="G86" s="8">
        <f t="shared" si="3"/>
        <v>1.7892774176507364E-2</v>
      </c>
    </row>
    <row r="87" spans="2:7" x14ac:dyDescent="0.45">
      <c r="B87" s="6">
        <v>45292</v>
      </c>
      <c r="C87" s="7">
        <v>1288.74353</v>
      </c>
      <c r="D87" s="8">
        <f t="shared" si="2"/>
        <v>3.2355436255495196E-2</v>
      </c>
      <c r="F87" s="7">
        <v>21710.800781000002</v>
      </c>
      <c r="G87" s="8">
        <f t="shared" si="3"/>
        <v>-9.4791912299074799E-4</v>
      </c>
    </row>
    <row r="88" spans="2:7" x14ac:dyDescent="0.45">
      <c r="B88" s="6">
        <v>45299</v>
      </c>
      <c r="C88" s="7">
        <v>1314.2666019999999</v>
      </c>
      <c r="D88" s="8">
        <f t="shared" si="2"/>
        <v>1.9804616982247891E-2</v>
      </c>
      <c r="F88" s="7">
        <v>21894.550781000002</v>
      </c>
      <c r="G88" s="8">
        <f t="shared" si="3"/>
        <v>8.4635293674109047E-3</v>
      </c>
    </row>
    <row r="89" spans="2:7" x14ac:dyDescent="0.45">
      <c r="B89" s="6">
        <v>45306</v>
      </c>
      <c r="C89" s="7">
        <v>1323.831543</v>
      </c>
      <c r="D89" s="8">
        <f t="shared" si="2"/>
        <v>7.2777783331361423E-3</v>
      </c>
      <c r="F89" s="7">
        <v>21622.400390999999</v>
      </c>
      <c r="G89" s="8">
        <f t="shared" si="3"/>
        <v>-1.2430051327482539E-2</v>
      </c>
    </row>
    <row r="90" spans="2:7" x14ac:dyDescent="0.45">
      <c r="B90" s="6">
        <v>45313</v>
      </c>
      <c r="C90" s="7">
        <v>1356.24353</v>
      </c>
      <c r="D90" s="8">
        <f t="shared" si="2"/>
        <v>2.448346783348998E-2</v>
      </c>
      <c r="F90" s="7">
        <v>21352.599609000001</v>
      </c>
      <c r="G90" s="8">
        <f t="shared" si="3"/>
        <v>-1.2477836739731241E-2</v>
      </c>
    </row>
    <row r="91" spans="2:7" x14ac:dyDescent="0.45">
      <c r="B91" s="6">
        <v>45320</v>
      </c>
      <c r="C91" s="7">
        <v>1404.1674800000001</v>
      </c>
      <c r="D91" s="8">
        <f t="shared" si="2"/>
        <v>3.5335799906083265E-2</v>
      </c>
      <c r="F91" s="7">
        <v>21853.800781000002</v>
      </c>
      <c r="G91" s="8">
        <f t="shared" si="3"/>
        <v>2.3472606669810325E-2</v>
      </c>
    </row>
    <row r="92" spans="2:7" x14ac:dyDescent="0.45">
      <c r="B92" s="6">
        <v>45327</v>
      </c>
      <c r="C92" s="7">
        <v>1521.2764890000001</v>
      </c>
      <c r="D92" s="8">
        <f t="shared" si="2"/>
        <v>8.3401026350503393E-2</v>
      </c>
      <c r="F92" s="7">
        <v>21782.5</v>
      </c>
      <c r="G92" s="8">
        <f t="shared" si="3"/>
        <v>-3.2626261085894059E-3</v>
      </c>
    </row>
    <row r="93" spans="2:7" x14ac:dyDescent="0.45">
      <c r="B93" s="6">
        <v>45334</v>
      </c>
      <c r="C93" s="7">
        <v>1505.17688</v>
      </c>
      <c r="D93" s="8">
        <f t="shared" si="2"/>
        <v>-1.0582960504821215E-2</v>
      </c>
      <c r="F93" s="7">
        <v>22040.699218999998</v>
      </c>
      <c r="G93" s="8">
        <f t="shared" si="3"/>
        <v>1.1853516308963474E-2</v>
      </c>
    </row>
    <row r="94" spans="2:7" x14ac:dyDescent="0.45">
      <c r="B94" s="6">
        <v>45341</v>
      </c>
      <c r="C94" s="7">
        <v>1556.3148189999999</v>
      </c>
      <c r="D94" s="8">
        <f t="shared" si="2"/>
        <v>3.3974704022825541E-2</v>
      </c>
      <c r="F94" s="7">
        <v>22212.699218999998</v>
      </c>
      <c r="G94" s="8">
        <f t="shared" si="3"/>
        <v>7.803745166656384E-3</v>
      </c>
    </row>
    <row r="95" spans="2:7" x14ac:dyDescent="0.45">
      <c r="B95" s="6">
        <v>45348</v>
      </c>
      <c r="C95" s="7">
        <v>1554.3210449999999</v>
      </c>
      <c r="D95" s="8">
        <f t="shared" si="2"/>
        <v>-1.2810865614458766E-3</v>
      </c>
      <c r="F95" s="7">
        <v>22338.75</v>
      </c>
      <c r="G95" s="8">
        <f t="shared" si="3"/>
        <v>5.6747169606556902E-3</v>
      </c>
    </row>
    <row r="96" spans="2:7" x14ac:dyDescent="0.45">
      <c r="B96" s="6">
        <v>45355</v>
      </c>
      <c r="C96" s="7">
        <v>1600.624268</v>
      </c>
      <c r="D96" s="8">
        <f t="shared" si="2"/>
        <v>2.9789999401314216E-2</v>
      </c>
      <c r="F96" s="7">
        <v>22493.550781000002</v>
      </c>
      <c r="G96" s="8">
        <f t="shared" si="3"/>
        <v>6.9296975435062524E-3</v>
      </c>
    </row>
    <row r="97" spans="2:7" x14ac:dyDescent="0.45">
      <c r="B97" s="6">
        <v>45362</v>
      </c>
      <c r="C97" s="7">
        <v>1543.30603</v>
      </c>
      <c r="D97" s="8">
        <f t="shared" si="2"/>
        <v>-3.5809926880354004E-2</v>
      </c>
      <c r="F97" s="7">
        <v>22023.349609000001</v>
      </c>
      <c r="G97" s="8">
        <f t="shared" si="3"/>
        <v>-2.0903821569921877E-2</v>
      </c>
    </row>
    <row r="98" spans="2:7" x14ac:dyDescent="0.45">
      <c r="B98" s="6">
        <v>45369</v>
      </c>
      <c r="C98" s="7">
        <v>1603.8142089999999</v>
      </c>
      <c r="D98" s="8">
        <f t="shared" si="2"/>
        <v>3.9206857113102789E-2</v>
      </c>
      <c r="F98" s="7">
        <v>22096.75</v>
      </c>
      <c r="G98" s="8">
        <f t="shared" si="3"/>
        <v>3.3328441087818739E-3</v>
      </c>
    </row>
    <row r="99" spans="2:7" x14ac:dyDescent="0.45">
      <c r="B99" s="6">
        <v>45376</v>
      </c>
      <c r="C99" s="7">
        <v>1615.4273679999999</v>
      </c>
      <c r="D99" s="8">
        <f t="shared" si="2"/>
        <v>7.2409627841125701E-3</v>
      </c>
      <c r="F99" s="7">
        <v>22326.900390999999</v>
      </c>
      <c r="G99" s="8">
        <f t="shared" si="3"/>
        <v>1.0415576544061889E-2</v>
      </c>
    </row>
    <row r="100" spans="2:7" x14ac:dyDescent="0.45">
      <c r="B100" s="6">
        <v>45383</v>
      </c>
      <c r="C100" s="7">
        <v>1603.913818</v>
      </c>
      <c r="D100" s="8">
        <f t="shared" si="2"/>
        <v>-7.1272470852430381E-3</v>
      </c>
      <c r="F100" s="7">
        <v>22513.699218999998</v>
      </c>
      <c r="G100" s="8">
        <f t="shared" si="3"/>
        <v>8.3665365424077098E-3</v>
      </c>
    </row>
    <row r="101" spans="2:7" x14ac:dyDescent="0.45">
      <c r="B101" s="6">
        <v>45390</v>
      </c>
      <c r="C101" s="7">
        <v>1535.1319579999999</v>
      </c>
      <c r="D101" s="8">
        <f t="shared" si="2"/>
        <v>-4.2883762972855677E-2</v>
      </c>
      <c r="F101" s="7">
        <v>22519.400390999999</v>
      </c>
      <c r="G101" s="8">
        <f t="shared" si="3"/>
        <v>2.5323124132303754E-4</v>
      </c>
    </row>
    <row r="102" spans="2:7" x14ac:dyDescent="0.45">
      <c r="B102" s="6">
        <v>45397</v>
      </c>
      <c r="C102" s="7">
        <v>1517.986328</v>
      </c>
      <c r="D102" s="8">
        <f t="shared" si="2"/>
        <v>-1.1168831389802847E-2</v>
      </c>
      <c r="F102" s="7">
        <v>22147</v>
      </c>
      <c r="G102" s="8">
        <f t="shared" si="3"/>
        <v>-1.6536869744934735E-2</v>
      </c>
    </row>
    <row r="103" spans="2:7" x14ac:dyDescent="0.45">
      <c r="B103" s="6">
        <v>45404</v>
      </c>
      <c r="C103" s="7">
        <v>1501.78772</v>
      </c>
      <c r="D103" s="8">
        <f t="shared" si="2"/>
        <v>-1.067111587318581E-2</v>
      </c>
      <c r="F103" s="7">
        <v>22419.949218999998</v>
      </c>
      <c r="G103" s="8">
        <f t="shared" si="3"/>
        <v>1.2324433060911133E-2</v>
      </c>
    </row>
    <row r="104" spans="2:7" x14ac:dyDescent="0.45">
      <c r="B104" s="6">
        <v>45411</v>
      </c>
      <c r="C104" s="7">
        <v>1506.373169</v>
      </c>
      <c r="D104" s="8">
        <f t="shared" si="2"/>
        <v>3.0533270041652738E-3</v>
      </c>
      <c r="F104" s="7">
        <v>22475.849609000001</v>
      </c>
      <c r="G104" s="8">
        <f t="shared" si="3"/>
        <v>2.4933325875970969E-3</v>
      </c>
    </row>
    <row r="105" spans="2:7" x14ac:dyDescent="0.45">
      <c r="B105" s="6">
        <v>45418</v>
      </c>
      <c r="C105" s="7">
        <v>1501.78772</v>
      </c>
      <c r="D105" s="8">
        <f t="shared" si="2"/>
        <v>-3.0440325772955745E-3</v>
      </c>
      <c r="F105" s="7">
        <v>22055.199218999998</v>
      </c>
      <c r="G105" s="8">
        <f t="shared" si="3"/>
        <v>-1.8715661357315838E-2</v>
      </c>
    </row>
    <row r="106" spans="2:7" x14ac:dyDescent="0.45">
      <c r="B106" s="6">
        <v>45425</v>
      </c>
      <c r="C106" s="7">
        <v>1527.0576169999999</v>
      </c>
      <c r="D106" s="8">
        <f t="shared" si="2"/>
        <v>1.6826543900625213E-2</v>
      </c>
      <c r="F106" s="7">
        <v>22466.099609000001</v>
      </c>
      <c r="G106" s="8">
        <f t="shared" si="3"/>
        <v>1.8630545383875763E-2</v>
      </c>
    </row>
    <row r="107" spans="2:7" x14ac:dyDescent="0.45">
      <c r="B107" s="6">
        <v>45432</v>
      </c>
      <c r="C107" s="7">
        <v>1482.000366</v>
      </c>
      <c r="D107" s="8">
        <f t="shared" si="2"/>
        <v>-2.9505927280280231E-2</v>
      </c>
      <c r="F107" s="7">
        <v>22957.099609000001</v>
      </c>
      <c r="G107" s="8">
        <f t="shared" si="3"/>
        <v>2.1855151029567477E-2</v>
      </c>
    </row>
    <row r="108" spans="2:7" x14ac:dyDescent="0.45">
      <c r="B108" s="6">
        <v>45439</v>
      </c>
      <c r="C108" s="7">
        <v>1455.185547</v>
      </c>
      <c r="D108" s="8">
        <f t="shared" si="2"/>
        <v>-1.8093665572009643E-2</v>
      </c>
      <c r="F108" s="7">
        <v>22530.699218999998</v>
      </c>
      <c r="G108" s="8">
        <f t="shared" si="3"/>
        <v>-1.8573791866671074E-2</v>
      </c>
    </row>
    <row r="109" spans="2:7" x14ac:dyDescent="0.45">
      <c r="B109" s="6">
        <v>45446</v>
      </c>
      <c r="C109" s="7">
        <v>1502.0866699999999</v>
      </c>
      <c r="D109" s="8">
        <f t="shared" si="2"/>
        <v>3.223033866484637E-2</v>
      </c>
      <c r="F109" s="7">
        <v>23290.150390999999</v>
      </c>
      <c r="G109" s="8">
        <f t="shared" si="3"/>
        <v>3.3707394724774575E-2</v>
      </c>
    </row>
    <row r="110" spans="2:7" x14ac:dyDescent="0.45">
      <c r="B110" s="6">
        <v>45453</v>
      </c>
      <c r="C110" s="7">
        <v>1511.207764</v>
      </c>
      <c r="D110" s="8">
        <f t="shared" si="2"/>
        <v>6.0722821007392902E-3</v>
      </c>
      <c r="F110" s="7">
        <v>23465.599609000001</v>
      </c>
      <c r="G110" s="8">
        <f t="shared" si="3"/>
        <v>7.5331938632650086E-3</v>
      </c>
    </row>
    <row r="111" spans="2:7" x14ac:dyDescent="0.45">
      <c r="B111" s="6">
        <v>45460</v>
      </c>
      <c r="C111" s="7">
        <v>1462.611938</v>
      </c>
      <c r="D111" s="8">
        <f t="shared" si="2"/>
        <v>-3.2156945694463701E-2</v>
      </c>
      <c r="F111" s="7">
        <v>23501.099609000001</v>
      </c>
      <c r="G111" s="8">
        <f t="shared" si="3"/>
        <v>1.5128528821561904E-3</v>
      </c>
    </row>
    <row r="112" spans="2:7" x14ac:dyDescent="0.45">
      <c r="B112" s="6">
        <v>45467</v>
      </c>
      <c r="C112" s="7">
        <v>1516.0424800000001</v>
      </c>
      <c r="D112" s="8">
        <f t="shared" si="2"/>
        <v>3.6530907899645637E-2</v>
      </c>
      <c r="F112" s="7">
        <v>24010.599609000001</v>
      </c>
      <c r="G112" s="8">
        <f t="shared" si="3"/>
        <v>2.1679836623682114E-2</v>
      </c>
    </row>
    <row r="113" spans="2:7" x14ac:dyDescent="0.45">
      <c r="B113" s="6">
        <v>45474</v>
      </c>
      <c r="C113" s="7">
        <v>1563.442139</v>
      </c>
      <c r="D113" s="8">
        <f t="shared" si="2"/>
        <v>3.1265389740266381E-2</v>
      </c>
      <c r="F113" s="7">
        <v>24323.849609000001</v>
      </c>
      <c r="G113" s="8">
        <f t="shared" si="3"/>
        <v>1.3046321420585594E-2</v>
      </c>
    </row>
    <row r="114" spans="2:7" x14ac:dyDescent="0.45">
      <c r="B114" s="6">
        <v>45481</v>
      </c>
      <c r="C114" s="7">
        <v>1572.314087</v>
      </c>
      <c r="D114" s="8">
        <f t="shared" si="2"/>
        <v>5.6746250972066203E-3</v>
      </c>
      <c r="F114" s="7">
        <v>24502.150390999999</v>
      </c>
      <c r="G114" s="8">
        <f t="shared" si="3"/>
        <v>7.3302863184134814E-3</v>
      </c>
    </row>
    <row r="115" spans="2:7" x14ac:dyDescent="0.45">
      <c r="B115" s="6">
        <v>45488</v>
      </c>
      <c r="C115" s="7">
        <v>1568.650024</v>
      </c>
      <c r="D115" s="8">
        <f t="shared" si="2"/>
        <v>-2.3303632717499578E-3</v>
      </c>
      <c r="F115" s="7">
        <v>24530.900390999999</v>
      </c>
      <c r="G115" s="8">
        <f t="shared" si="3"/>
        <v>1.1733664001409849E-3</v>
      </c>
    </row>
  </sheetData>
  <mergeCells count="5">
    <mergeCell ref="F8:G8"/>
    <mergeCell ref="B8:D8"/>
    <mergeCell ref="I8:J8"/>
    <mergeCell ref="B5:Q5"/>
    <mergeCell ref="I18:J18"/>
  </mergeCells>
  <printOptions horizontalCentered="1"/>
  <pageMargins left="0" right="0" top="0.19685039370078741" bottom="0.19685039370078741" header="0" footer="0"/>
  <pageSetup paperSize="6" scale="45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C5A9-F071-415A-B21E-91DF292441AC}">
  <dimension ref="B1:G31"/>
  <sheetViews>
    <sheetView showGridLines="0" zoomScale="85" zoomScaleNormal="400" workbookViewId="0">
      <selection sqref="A1:B4"/>
    </sheetView>
  </sheetViews>
  <sheetFormatPr defaultRowHeight="14.25" x14ac:dyDescent="0.45"/>
  <cols>
    <col min="1" max="1" width="2.1328125" customWidth="1"/>
    <col min="5" max="5" width="19" customWidth="1"/>
  </cols>
  <sheetData>
    <row r="1" spans="2:7" x14ac:dyDescent="0.45">
      <c r="B1" s="5"/>
    </row>
    <row r="2" spans="2:7" x14ac:dyDescent="0.45">
      <c r="B2" s="5"/>
    </row>
    <row r="3" spans="2:7" x14ac:dyDescent="0.45">
      <c r="B3" s="5"/>
    </row>
    <row r="4" spans="2:7" x14ac:dyDescent="0.45">
      <c r="B4" s="5"/>
    </row>
    <row r="5" spans="2:7" x14ac:dyDescent="0.45">
      <c r="B5" s="61" t="s">
        <v>48</v>
      </c>
      <c r="C5" s="61"/>
      <c r="D5" s="61"/>
      <c r="E5" s="61"/>
      <c r="F5" s="61"/>
      <c r="G5" s="61"/>
    </row>
    <row r="7" spans="2:7" x14ac:dyDescent="0.45">
      <c r="B7" s="4" t="s">
        <v>46</v>
      </c>
      <c r="C7" s="28" t="s">
        <v>47</v>
      </c>
    </row>
    <row r="8" spans="2:7" x14ac:dyDescent="0.45">
      <c r="B8" s="5">
        <v>2000</v>
      </c>
      <c r="C8" s="13">
        <v>-0.14649999999999999</v>
      </c>
      <c r="E8" t="s">
        <v>49</v>
      </c>
      <c r="F8" s="13">
        <f>AVERAGE(C8:C31)</f>
        <v>0.15609166666666666</v>
      </c>
    </row>
    <row r="9" spans="2:7" x14ac:dyDescent="0.45">
      <c r="B9" s="5">
        <v>2001</v>
      </c>
      <c r="C9" s="13">
        <v>-0.1618</v>
      </c>
      <c r="E9" t="s">
        <v>50</v>
      </c>
      <c r="F9" s="13">
        <v>1.2500000000000001E-2</v>
      </c>
    </row>
    <row r="10" spans="2:7" x14ac:dyDescent="0.45">
      <c r="B10" s="5">
        <v>2002</v>
      </c>
      <c r="C10" s="13">
        <v>3.2500000000000001E-2</v>
      </c>
    </row>
    <row r="11" spans="2:7" x14ac:dyDescent="0.45">
      <c r="B11" s="5">
        <v>2003</v>
      </c>
      <c r="C11" s="13">
        <v>0.71899999999999997</v>
      </c>
      <c r="E11" s="24" t="s">
        <v>51</v>
      </c>
      <c r="F11" s="29">
        <f>F8+F9</f>
        <v>0.16859166666666667</v>
      </c>
    </row>
    <row r="12" spans="2:7" x14ac:dyDescent="0.45">
      <c r="B12" s="5">
        <v>2004</v>
      </c>
      <c r="C12" s="13">
        <v>0.10680000000000001</v>
      </c>
    </row>
    <row r="13" spans="2:7" x14ac:dyDescent="0.45">
      <c r="B13" s="5">
        <v>2005</v>
      </c>
      <c r="C13" s="13">
        <v>0.3634</v>
      </c>
    </row>
    <row r="14" spans="2:7" x14ac:dyDescent="0.45">
      <c r="B14" s="5">
        <v>2006</v>
      </c>
      <c r="C14" s="13">
        <v>0.39829999999999999</v>
      </c>
    </row>
    <row r="15" spans="2:7" x14ac:dyDescent="0.45">
      <c r="B15" s="5">
        <v>2007</v>
      </c>
      <c r="C15" s="13">
        <v>0.54769999999999996</v>
      </c>
    </row>
    <row r="16" spans="2:7" x14ac:dyDescent="0.45">
      <c r="B16" s="5">
        <v>2008</v>
      </c>
      <c r="C16" s="13">
        <v>-0.51790000000000003</v>
      </c>
    </row>
    <row r="17" spans="2:3" x14ac:dyDescent="0.45">
      <c r="B17" s="5">
        <v>2009</v>
      </c>
      <c r="C17" s="13">
        <v>0.75760000000000005</v>
      </c>
    </row>
    <row r="18" spans="2:3" x14ac:dyDescent="0.45">
      <c r="B18" s="5">
        <v>2010</v>
      </c>
      <c r="C18" s="13">
        <v>0.17949999999999999</v>
      </c>
    </row>
    <row r="19" spans="2:3" x14ac:dyDescent="0.45">
      <c r="B19" s="5">
        <v>2011</v>
      </c>
      <c r="C19" s="13">
        <v>-0.2462</v>
      </c>
    </row>
    <row r="20" spans="2:3" x14ac:dyDescent="0.45">
      <c r="B20" s="5">
        <v>2012</v>
      </c>
      <c r="C20" s="13">
        <v>0.27700000000000002</v>
      </c>
    </row>
    <row r="21" spans="2:3" x14ac:dyDescent="0.45">
      <c r="B21" s="5">
        <v>2013</v>
      </c>
      <c r="C21" s="13">
        <v>6.7599999999999993E-2</v>
      </c>
    </row>
    <row r="22" spans="2:3" x14ac:dyDescent="0.45">
      <c r="B22" s="5">
        <v>2014</v>
      </c>
      <c r="C22" s="13">
        <v>0.31390000000000001</v>
      </c>
    </row>
    <row r="23" spans="2:3" x14ac:dyDescent="0.45">
      <c r="B23" s="5">
        <v>2015</v>
      </c>
      <c r="C23" s="13">
        <v>-4.0599999999999997E-2</v>
      </c>
    </row>
    <row r="24" spans="2:3" x14ac:dyDescent="0.45">
      <c r="B24" s="5">
        <v>2016</v>
      </c>
      <c r="C24" s="13">
        <v>3.0099999999999998E-2</v>
      </c>
    </row>
    <row r="25" spans="2:3" x14ac:dyDescent="0.45">
      <c r="B25" s="5">
        <v>2017</v>
      </c>
      <c r="C25" s="13">
        <v>0.28649999999999998</v>
      </c>
    </row>
    <row r="26" spans="2:3" x14ac:dyDescent="0.45">
      <c r="B26" s="5">
        <v>2018</v>
      </c>
      <c r="C26" s="13">
        <v>3.15E-2</v>
      </c>
    </row>
    <row r="27" spans="2:3" x14ac:dyDescent="0.45">
      <c r="B27" s="5">
        <v>2019</v>
      </c>
      <c r="C27" s="13">
        <v>0.1202</v>
      </c>
    </row>
    <row r="28" spans="2:3" x14ac:dyDescent="0.45">
      <c r="B28" s="5">
        <v>2020</v>
      </c>
      <c r="C28" s="13">
        <v>0.14899999999999999</v>
      </c>
    </row>
    <row r="29" spans="2:3" x14ac:dyDescent="0.45">
      <c r="B29" s="5">
        <v>2021</v>
      </c>
      <c r="C29" s="13">
        <v>0.2412</v>
      </c>
    </row>
    <row r="30" spans="2:3" x14ac:dyDescent="0.45">
      <c r="B30" s="5">
        <v>2022</v>
      </c>
      <c r="C30" s="13">
        <v>4.3200000000000002E-2</v>
      </c>
    </row>
    <row r="31" spans="2:3" x14ac:dyDescent="0.45">
      <c r="B31" s="5">
        <v>2023</v>
      </c>
      <c r="C31" s="13">
        <v>0.19420000000000001</v>
      </c>
    </row>
  </sheetData>
  <mergeCells count="1">
    <mergeCell ref="B5:G5"/>
  </mergeCells>
  <printOptions verticalCentered="1"/>
  <pageMargins left="0.39370078740157483" right="0.39370078740157483" top="0" bottom="0" header="0" footer="0"/>
  <pageSetup scale="145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183E5-CC73-435A-8DC1-13A0263DC0D6}">
  <dimension ref="B2:G7"/>
  <sheetViews>
    <sheetView workbookViewId="0">
      <selection activeCell="E3" sqref="E3:E7"/>
    </sheetView>
  </sheetViews>
  <sheetFormatPr defaultRowHeight="14.25" x14ac:dyDescent="0.45"/>
  <cols>
    <col min="5" max="5" width="12.19921875" customWidth="1"/>
  </cols>
  <sheetData>
    <row r="2" spans="2:7" x14ac:dyDescent="0.45"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</row>
    <row r="3" spans="2:7" x14ac:dyDescent="0.45">
      <c r="B3">
        <v>1</v>
      </c>
      <c r="C3" t="s">
        <v>58</v>
      </c>
      <c r="D3">
        <v>1587.35</v>
      </c>
      <c r="E3">
        <v>380907</v>
      </c>
      <c r="F3">
        <v>0.05</v>
      </c>
      <c r="G3">
        <v>3273.67</v>
      </c>
    </row>
    <row r="4" spans="2:7" x14ac:dyDescent="0.45">
      <c r="B4">
        <v>2</v>
      </c>
      <c r="C4" t="s">
        <v>59</v>
      </c>
      <c r="D4">
        <v>1490</v>
      </c>
      <c r="E4">
        <v>120348.54</v>
      </c>
      <c r="F4">
        <v>0.02</v>
      </c>
      <c r="G4">
        <v>559.41</v>
      </c>
    </row>
    <row r="5" spans="2:7" x14ac:dyDescent="0.45">
      <c r="B5">
        <v>3</v>
      </c>
      <c r="C5" t="s">
        <v>60</v>
      </c>
      <c r="D5">
        <v>1154.55</v>
      </c>
      <c r="E5">
        <v>116159.52</v>
      </c>
      <c r="F5">
        <v>0.04</v>
      </c>
      <c r="G5">
        <v>804.2</v>
      </c>
    </row>
    <row r="6" spans="2:7" x14ac:dyDescent="0.45">
      <c r="B6">
        <v>4</v>
      </c>
      <c r="C6" t="s">
        <v>61</v>
      </c>
      <c r="D6">
        <v>6770.9</v>
      </c>
      <c r="E6">
        <v>112906.83</v>
      </c>
      <c r="F6">
        <v>7.0000000000000007E-2</v>
      </c>
      <c r="G6">
        <v>2002</v>
      </c>
    </row>
    <row r="7" spans="2:7" x14ac:dyDescent="0.45">
      <c r="B7">
        <v>5</v>
      </c>
      <c r="C7" t="s">
        <v>62</v>
      </c>
      <c r="D7">
        <v>2108.3000000000002</v>
      </c>
      <c r="E7">
        <v>84465.91</v>
      </c>
      <c r="F7">
        <v>0</v>
      </c>
      <c r="G7">
        <v>8.56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4DFC3-5147-4E78-94E8-921299F023DF}">
  <dimension ref="B1:J45"/>
  <sheetViews>
    <sheetView showGridLines="0" topLeftCell="A16" zoomScale="103" workbookViewId="0">
      <selection activeCell="J45" sqref="J45"/>
    </sheetView>
  </sheetViews>
  <sheetFormatPr defaultRowHeight="14.25" x14ac:dyDescent="0.45"/>
  <cols>
    <col min="1" max="1" width="2.1328125" customWidth="1"/>
    <col min="2" max="2" width="20.3984375" customWidth="1"/>
    <col min="3" max="4" width="10.3984375" customWidth="1"/>
    <col min="5" max="5" width="11.265625" customWidth="1"/>
    <col min="6" max="10" width="10.3984375" customWidth="1"/>
  </cols>
  <sheetData>
    <row r="1" spans="2:10" x14ac:dyDescent="0.45">
      <c r="B1" s="5"/>
    </row>
    <row r="2" spans="2:10" x14ac:dyDescent="0.45">
      <c r="B2" s="5"/>
    </row>
    <row r="3" spans="2:10" x14ac:dyDescent="0.45">
      <c r="B3" s="5"/>
    </row>
    <row r="4" spans="2:10" x14ac:dyDescent="0.45">
      <c r="B4" s="5"/>
    </row>
    <row r="5" spans="2:10" ht="18" x14ac:dyDescent="0.55000000000000004">
      <c r="B5" s="63" t="s">
        <v>63</v>
      </c>
      <c r="C5" s="63"/>
      <c r="D5" s="63"/>
      <c r="E5" s="63"/>
      <c r="F5" s="63"/>
      <c r="G5" s="63"/>
      <c r="H5" s="63"/>
      <c r="I5" s="63"/>
      <c r="J5" s="63"/>
    </row>
    <row r="7" spans="2:10" x14ac:dyDescent="0.45">
      <c r="B7" s="30" t="s">
        <v>64</v>
      </c>
      <c r="C7" s="30"/>
      <c r="D7" s="30"/>
      <c r="E7" s="30"/>
    </row>
    <row r="9" spans="2:10" ht="14.65" thickBot="1" x14ac:dyDescent="0.5">
      <c r="B9" s="62" t="s">
        <v>77</v>
      </c>
      <c r="C9" s="62"/>
      <c r="D9" s="62"/>
      <c r="E9" s="62"/>
      <c r="F9" s="62"/>
      <c r="G9" s="62"/>
      <c r="H9" s="62"/>
      <c r="I9" s="62"/>
      <c r="J9" s="62"/>
    </row>
    <row r="10" spans="2:10" ht="14.65" thickTop="1" x14ac:dyDescent="0.45">
      <c r="B10" s="34"/>
      <c r="C10" s="35"/>
      <c r="D10" s="35"/>
      <c r="E10" s="35"/>
      <c r="F10" s="35"/>
      <c r="G10" s="35" t="s">
        <v>65</v>
      </c>
      <c r="H10" s="35" t="s">
        <v>65</v>
      </c>
      <c r="I10" s="35" t="s">
        <v>66</v>
      </c>
      <c r="J10" s="35" t="s">
        <v>67</v>
      </c>
    </row>
    <row r="11" spans="2:10" ht="16.149999999999999" thickBot="1" x14ac:dyDescent="0.5">
      <c r="B11" s="27" t="s">
        <v>53</v>
      </c>
      <c r="C11" s="36" t="s">
        <v>68</v>
      </c>
      <c r="D11" s="37" t="s">
        <v>69</v>
      </c>
      <c r="E11" s="37" t="s">
        <v>70</v>
      </c>
      <c r="F11" s="37" t="s">
        <v>73</v>
      </c>
      <c r="G11" s="37" t="s">
        <v>71</v>
      </c>
      <c r="H11" s="37" t="s">
        <v>72</v>
      </c>
      <c r="I11" s="37" t="s">
        <v>74</v>
      </c>
      <c r="J11" s="37" t="s">
        <v>75</v>
      </c>
    </row>
    <row r="12" spans="2:10" ht="14.65" thickTop="1" x14ac:dyDescent="0.45">
      <c r="B12" s="32" t="s">
        <v>58</v>
      </c>
      <c r="C12" s="31" t="s">
        <v>76</v>
      </c>
      <c r="D12" s="38">
        <v>3273.67</v>
      </c>
      <c r="E12" s="38">
        <v>380907</v>
      </c>
      <c r="F12" s="33">
        <v>0.3</v>
      </c>
      <c r="G12" s="53">
        <f>D12/E12</f>
        <v>8.5944075588004418E-3</v>
      </c>
      <c r="H12" s="53">
        <f>D12/SUM(D12:E12)</f>
        <v>8.5211731240928922E-3</v>
      </c>
      <c r="I12" s="39">
        <v>0.67</v>
      </c>
      <c r="J12" s="54">
        <f>I12/(1+(1-F12)*G12)</f>
        <v>0.66599332733938266</v>
      </c>
    </row>
    <row r="13" spans="2:10" x14ac:dyDescent="0.45">
      <c r="B13" s="32" t="s">
        <v>59</v>
      </c>
      <c r="C13" s="31" t="s">
        <v>76</v>
      </c>
      <c r="D13" s="38">
        <v>559.41</v>
      </c>
      <c r="E13" s="38">
        <v>120348.54</v>
      </c>
      <c r="F13" s="33">
        <v>0.3</v>
      </c>
      <c r="G13" s="53">
        <f t="shared" ref="G13:G16" si="0">D13/E13</f>
        <v>4.6482491603138682E-3</v>
      </c>
      <c r="H13" s="53">
        <f t="shared" ref="H13:H16" si="1">D13/SUM(D13:E13)</f>
        <v>4.6267429064838165E-3</v>
      </c>
      <c r="I13" s="39">
        <v>0.16700000000000001</v>
      </c>
      <c r="J13" s="54">
        <f t="shared" ref="J13:J16" si="2">I13/(1+(1-F13)*G13)</f>
        <v>0.16645838197602694</v>
      </c>
    </row>
    <row r="14" spans="2:10" x14ac:dyDescent="0.45">
      <c r="B14" s="32" t="s">
        <v>60</v>
      </c>
      <c r="C14" s="31" t="s">
        <v>76</v>
      </c>
      <c r="D14" s="38">
        <v>804.2</v>
      </c>
      <c r="E14" s="38">
        <v>116159.52</v>
      </c>
      <c r="F14" s="33">
        <v>0.3</v>
      </c>
      <c r="G14" s="53">
        <f t="shared" si="0"/>
        <v>6.923237974812568E-3</v>
      </c>
      <c r="H14" s="53">
        <f t="shared" si="1"/>
        <v>6.8756363084211073E-3</v>
      </c>
      <c r="I14" s="39">
        <v>0.57499999999999996</v>
      </c>
      <c r="J14" s="54">
        <f t="shared" si="2"/>
        <v>0.57222683620615944</v>
      </c>
    </row>
    <row r="15" spans="2:10" x14ac:dyDescent="0.45">
      <c r="B15" s="32" t="s">
        <v>61</v>
      </c>
      <c r="C15" s="31" t="s">
        <v>76</v>
      </c>
      <c r="D15" s="38">
        <v>2002</v>
      </c>
      <c r="E15" s="38">
        <v>112906.83</v>
      </c>
      <c r="F15" s="33">
        <v>0.3</v>
      </c>
      <c r="G15" s="53">
        <f t="shared" si="0"/>
        <v>1.7731433961966695E-2</v>
      </c>
      <c r="H15" s="53">
        <f t="shared" si="1"/>
        <v>1.7422507913447557E-2</v>
      </c>
      <c r="I15" s="39">
        <v>0.374</v>
      </c>
      <c r="J15" s="54">
        <f t="shared" si="2"/>
        <v>0.36941482183741281</v>
      </c>
    </row>
    <row r="16" spans="2:10" x14ac:dyDescent="0.45">
      <c r="B16" s="32" t="s">
        <v>62</v>
      </c>
      <c r="C16" s="31" t="s">
        <v>76</v>
      </c>
      <c r="D16" s="38">
        <v>8.56</v>
      </c>
      <c r="E16" s="38">
        <v>84465.91</v>
      </c>
      <c r="F16" s="33">
        <v>0.3</v>
      </c>
      <c r="G16" s="53">
        <f t="shared" si="0"/>
        <v>1.0134266001514694E-4</v>
      </c>
      <c r="H16" s="53">
        <f t="shared" si="1"/>
        <v>1.0133239072112558E-4</v>
      </c>
      <c r="I16" s="39">
        <v>0.63300000000000001</v>
      </c>
      <c r="J16" s="54">
        <f t="shared" si="2"/>
        <v>0.63295509825267104</v>
      </c>
    </row>
    <row r="18" spans="2:10" x14ac:dyDescent="0.45">
      <c r="E18" s="40" t="s">
        <v>78</v>
      </c>
      <c r="F18" s="41">
        <f>AVERAGE(F12:F16)</f>
        <v>0.3</v>
      </c>
      <c r="G18" s="41">
        <f t="shared" ref="G18:J18" si="3">AVERAGE(G12:G16)</f>
        <v>7.5997342631817424E-3</v>
      </c>
      <c r="H18" s="55">
        <f t="shared" si="3"/>
        <v>7.5094785286332994E-3</v>
      </c>
      <c r="I18" s="56">
        <f t="shared" si="3"/>
        <v>0.48380000000000001</v>
      </c>
      <c r="J18" s="56">
        <f t="shared" si="3"/>
        <v>0.48140969312233056</v>
      </c>
    </row>
    <row r="19" spans="2:10" x14ac:dyDescent="0.45">
      <c r="E19" s="42" t="s">
        <v>79</v>
      </c>
      <c r="F19" s="43">
        <f>MEDIAN(F12:F16)</f>
        <v>0.3</v>
      </c>
      <c r="G19" s="43">
        <f t="shared" ref="G19:J19" si="4">MEDIAN(G12:G16)</f>
        <v>6.923237974812568E-3</v>
      </c>
      <c r="H19" s="57">
        <f t="shared" si="4"/>
        <v>6.8756363084211073E-3</v>
      </c>
      <c r="I19" s="58">
        <f t="shared" si="4"/>
        <v>0.57499999999999996</v>
      </c>
      <c r="J19" s="58">
        <f t="shared" si="4"/>
        <v>0.57222683620615944</v>
      </c>
    </row>
    <row r="22" spans="2:10" ht="14.65" thickBot="1" x14ac:dyDescent="0.5">
      <c r="B22" s="46" t="s">
        <v>80</v>
      </c>
      <c r="C22" s="47"/>
      <c r="D22" s="47"/>
      <c r="E22" s="47"/>
      <c r="G22" s="46" t="s">
        <v>84</v>
      </c>
      <c r="H22" s="47"/>
      <c r="I22" s="47"/>
      <c r="J22" s="47"/>
    </row>
    <row r="23" spans="2:10" ht="14.65" thickTop="1" x14ac:dyDescent="0.45"/>
    <row r="24" spans="2:10" x14ac:dyDescent="0.45">
      <c r="B24" t="s">
        <v>81</v>
      </c>
      <c r="E24" s="48">
        <f>238/3273</f>
        <v>7.2716162542010382E-2</v>
      </c>
      <c r="G24" t="s">
        <v>85</v>
      </c>
      <c r="J24" s="44">
        <v>6.9599999999999995E-2</v>
      </c>
    </row>
    <row r="25" spans="2:10" x14ac:dyDescent="0.45">
      <c r="B25" t="s">
        <v>82</v>
      </c>
      <c r="E25" s="13">
        <f>F19</f>
        <v>0.3</v>
      </c>
      <c r="G25" t="s">
        <v>86</v>
      </c>
      <c r="J25" s="13">
        <f>ROM!F11-WACC!J24</f>
        <v>9.8991666666666672E-2</v>
      </c>
    </row>
    <row r="26" spans="2:10" ht="15.75" x14ac:dyDescent="0.45">
      <c r="B26" s="51" t="s">
        <v>83</v>
      </c>
      <c r="C26" s="51"/>
      <c r="D26" s="51"/>
      <c r="E26" s="50">
        <f>E24*(1-E25)</f>
        <v>5.0901313779407265E-2</v>
      </c>
      <c r="G26" t="s">
        <v>100</v>
      </c>
      <c r="J26" s="49">
        <f>J35</f>
        <v>3.030746926972363E-3</v>
      </c>
    </row>
    <row r="27" spans="2:10" x14ac:dyDescent="0.45">
      <c r="G27" s="45" t="s">
        <v>84</v>
      </c>
      <c r="H27" s="45"/>
      <c r="I27" s="45"/>
      <c r="J27" s="50">
        <f>J24+J25*J26</f>
        <v>6.9900018689545873E-2</v>
      </c>
    </row>
    <row r="30" spans="2:10" ht="14.65" thickBot="1" x14ac:dyDescent="0.5">
      <c r="B30" s="46" t="s">
        <v>87</v>
      </c>
      <c r="C30" s="47"/>
      <c r="D30" s="47"/>
      <c r="E30" s="47"/>
      <c r="G30" s="46" t="s">
        <v>93</v>
      </c>
      <c r="H30" s="47"/>
      <c r="I30" s="47"/>
      <c r="J30" s="47"/>
    </row>
    <row r="31" spans="2:10" ht="14.65" thickTop="1" x14ac:dyDescent="0.45"/>
    <row r="32" spans="2:10" x14ac:dyDescent="0.45">
      <c r="D32" s="16" t="s">
        <v>88</v>
      </c>
      <c r="E32" s="16" t="s">
        <v>89</v>
      </c>
      <c r="G32" t="s">
        <v>94</v>
      </c>
      <c r="J32" s="14">
        <f>J19</f>
        <v>0.57222683620615944</v>
      </c>
    </row>
    <row r="33" spans="2:10" x14ac:dyDescent="0.45">
      <c r="B33" t="s">
        <v>69</v>
      </c>
      <c r="C33" s="38">
        <f>D12</f>
        <v>3273.67</v>
      </c>
      <c r="D33" s="8">
        <f>C33/C35</f>
        <v>8.5211731240928922E-3</v>
      </c>
      <c r="E33" s="44">
        <f>H18</f>
        <v>7.5094785286332994E-3</v>
      </c>
      <c r="G33" t="s">
        <v>95</v>
      </c>
      <c r="J33" s="13">
        <f>E37</f>
        <v>7.5662974770786739E-3</v>
      </c>
    </row>
    <row r="34" spans="2:10" x14ac:dyDescent="0.45">
      <c r="B34" t="s">
        <v>90</v>
      </c>
      <c r="C34" s="38">
        <f>E12</f>
        <v>380907</v>
      </c>
      <c r="D34" s="8">
        <f>C34/C35</f>
        <v>0.99147882687590716</v>
      </c>
      <c r="E34" s="13">
        <f>1-E33</f>
        <v>0.99249052147136674</v>
      </c>
      <c r="G34" t="s">
        <v>82</v>
      </c>
      <c r="J34" s="13">
        <f>E25</f>
        <v>0.3</v>
      </c>
    </row>
    <row r="35" spans="2:10" x14ac:dyDescent="0.45">
      <c r="B35" t="s">
        <v>91</v>
      </c>
      <c r="C35" s="7">
        <f>C33+C34</f>
        <v>384180.67</v>
      </c>
      <c r="D35" s="13">
        <f>D34+D33</f>
        <v>1</v>
      </c>
      <c r="E35" s="13">
        <f t="shared" ref="E35" si="5">E34+E33</f>
        <v>1</v>
      </c>
      <c r="G35" s="45" t="s">
        <v>96</v>
      </c>
      <c r="H35" s="45"/>
      <c r="I35" s="45"/>
      <c r="J35" s="52">
        <f>J32*((1-J34)*J33)</f>
        <v>3.030746926972363E-3</v>
      </c>
    </row>
    <row r="37" spans="2:10" ht="14.65" thickBot="1" x14ac:dyDescent="0.5">
      <c r="B37" s="45" t="s">
        <v>92</v>
      </c>
      <c r="C37" s="45"/>
      <c r="D37" s="50">
        <f>D33/D34</f>
        <v>8.5944075588004435E-3</v>
      </c>
      <c r="E37" s="50">
        <f>E33/E34</f>
        <v>7.5662974770786739E-3</v>
      </c>
      <c r="G37" s="46" t="s">
        <v>63</v>
      </c>
      <c r="H37" s="47"/>
      <c r="I37" s="47"/>
      <c r="J37" s="47"/>
    </row>
    <row r="38" spans="2:10" ht="14.65" thickTop="1" x14ac:dyDescent="0.45"/>
    <row r="39" spans="2:10" x14ac:dyDescent="0.45">
      <c r="G39" t="s">
        <v>84</v>
      </c>
      <c r="J39" s="13">
        <f>J27</f>
        <v>6.9900018689545873E-2</v>
      </c>
    </row>
    <row r="40" spans="2:10" x14ac:dyDescent="0.45">
      <c r="B40" s="65" t="s">
        <v>101</v>
      </c>
      <c r="C40" s="64"/>
      <c r="D40" s="64"/>
      <c r="E40" s="64"/>
      <c r="G40" t="s">
        <v>97</v>
      </c>
      <c r="J40" s="13">
        <f>E34</f>
        <v>0.99249052147136674</v>
      </c>
    </row>
    <row r="41" spans="2:10" x14ac:dyDescent="0.45">
      <c r="B41" s="65" t="s">
        <v>102</v>
      </c>
      <c r="C41" s="64"/>
      <c r="D41" s="64"/>
      <c r="E41" s="64"/>
      <c r="J41" s="13"/>
    </row>
    <row r="42" spans="2:10" x14ac:dyDescent="0.45">
      <c r="B42" s="65" t="s">
        <v>103</v>
      </c>
      <c r="C42" s="64"/>
      <c r="D42" s="64"/>
      <c r="E42" s="64"/>
      <c r="G42" t="s">
        <v>80</v>
      </c>
      <c r="J42" s="13">
        <f>E26</f>
        <v>5.0901313779407265E-2</v>
      </c>
    </row>
    <row r="43" spans="2:10" x14ac:dyDescent="0.45">
      <c r="B43" s="65" t="s">
        <v>104</v>
      </c>
      <c r="C43" s="64"/>
      <c r="D43" s="64"/>
      <c r="E43" s="64"/>
      <c r="G43" t="s">
        <v>98</v>
      </c>
      <c r="J43" s="13">
        <f>E33</f>
        <v>7.5094785286332994E-3</v>
      </c>
    </row>
    <row r="45" spans="2:10" x14ac:dyDescent="0.45">
      <c r="G45" s="45" t="s">
        <v>99</v>
      </c>
      <c r="H45" s="45"/>
      <c r="I45" s="45"/>
      <c r="J45" s="50">
        <f>(J39*J40)+(J42*J43)</f>
        <v>6.9757348322951343E-2</v>
      </c>
    </row>
  </sheetData>
  <mergeCells count="2">
    <mergeCell ref="B9:J9"/>
    <mergeCell ref="B5:J5"/>
  </mergeCells>
  <printOptions verticalCentered="1"/>
  <pageMargins left="0.39370078740157483" right="3.937007874015748E-2" top="0" bottom="0.39370078740157483" header="0" footer="0"/>
  <pageSetup scale="90" orientation="portrait" r:id="rId1"/>
  <ignoredErrors>
    <ignoredError sqref="H12:H16" formulaRange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1C02-AB56-40FC-A2C4-25C3BF95673D}">
  <dimension ref="B3:N81"/>
  <sheetViews>
    <sheetView workbookViewId="0">
      <selection activeCell="J29" sqref="J29:N29"/>
    </sheetView>
  </sheetViews>
  <sheetFormatPr defaultRowHeight="14.25" x14ac:dyDescent="0.45"/>
  <cols>
    <col min="2" max="2" width="23.1328125" customWidth="1"/>
  </cols>
  <sheetData>
    <row r="3" spans="2:14" x14ac:dyDescent="0.45">
      <c r="C3" s="69">
        <v>41334</v>
      </c>
      <c r="D3" s="69">
        <v>41699</v>
      </c>
      <c r="E3" s="69">
        <v>42064</v>
      </c>
      <c r="F3" s="69">
        <v>42430</v>
      </c>
      <c r="G3" s="69">
        <v>42795</v>
      </c>
      <c r="H3" s="69">
        <v>43160</v>
      </c>
      <c r="I3" s="69">
        <v>43525</v>
      </c>
      <c r="J3" s="69">
        <v>43891</v>
      </c>
      <c r="K3" s="69">
        <v>44256</v>
      </c>
      <c r="L3" s="69">
        <v>44621</v>
      </c>
      <c r="M3" s="69">
        <v>44986</v>
      </c>
      <c r="N3" s="69">
        <v>45352</v>
      </c>
    </row>
    <row r="4" spans="2:14" x14ac:dyDescent="0.45">
      <c r="B4" t="s">
        <v>105</v>
      </c>
      <c r="C4">
        <v>104</v>
      </c>
      <c r="D4">
        <v>207</v>
      </c>
      <c r="E4">
        <v>207</v>
      </c>
      <c r="F4">
        <v>241</v>
      </c>
      <c r="G4">
        <v>240</v>
      </c>
      <c r="H4">
        <v>240</v>
      </c>
      <c r="I4">
        <v>240</v>
      </c>
      <c r="J4">
        <v>240</v>
      </c>
      <c r="K4">
        <v>240</v>
      </c>
      <c r="L4">
        <v>240</v>
      </c>
      <c r="M4">
        <v>240</v>
      </c>
      <c r="N4">
        <v>240</v>
      </c>
    </row>
    <row r="5" spans="2:14" x14ac:dyDescent="0.45">
      <c r="B5" t="s">
        <v>106</v>
      </c>
      <c r="C5" s="68">
        <v>14886</v>
      </c>
      <c r="D5" s="68">
        <v>18318</v>
      </c>
      <c r="E5" s="68">
        <v>25431</v>
      </c>
      <c r="F5" s="68">
        <v>32742</v>
      </c>
      <c r="G5" s="68">
        <v>36400</v>
      </c>
      <c r="H5" s="68">
        <v>38074</v>
      </c>
      <c r="I5" s="68">
        <v>41169</v>
      </c>
      <c r="J5" s="68">
        <v>45025</v>
      </c>
      <c r="K5" s="68">
        <v>46223</v>
      </c>
      <c r="L5" s="68">
        <v>47771</v>
      </c>
      <c r="M5" s="68">
        <v>55755</v>
      </c>
      <c r="N5" s="68">
        <v>63427</v>
      </c>
    </row>
    <row r="6" spans="2:14" x14ac:dyDescent="0.45">
      <c r="B6" t="s">
        <v>107</v>
      </c>
      <c r="C6">
        <v>260</v>
      </c>
      <c r="D6" s="68">
        <v>2561</v>
      </c>
      <c r="E6" s="68">
        <v>8996</v>
      </c>
      <c r="F6" s="68">
        <v>8497</v>
      </c>
      <c r="G6" s="68">
        <v>9832</v>
      </c>
      <c r="H6" s="68">
        <v>10385</v>
      </c>
      <c r="I6" s="68">
        <v>10514</v>
      </c>
      <c r="J6" s="68">
        <v>8315</v>
      </c>
      <c r="K6" s="68">
        <v>3869</v>
      </c>
      <c r="L6" s="68">
        <v>1290</v>
      </c>
      <c r="M6" s="68">
        <v>6886</v>
      </c>
      <c r="N6" s="68">
        <v>3274</v>
      </c>
    </row>
    <row r="7" spans="2:14" x14ac:dyDescent="0.45">
      <c r="B7" t="s">
        <v>108</v>
      </c>
      <c r="C7">
        <v>115</v>
      </c>
      <c r="D7">
        <v>49</v>
      </c>
      <c r="E7" s="68">
        <v>1368</v>
      </c>
      <c r="F7" s="68">
        <v>3110</v>
      </c>
      <c r="G7" s="68">
        <v>1436</v>
      </c>
      <c r="H7" s="68">
        <v>1772</v>
      </c>
      <c r="I7" s="68">
        <v>1523</v>
      </c>
      <c r="J7" s="68">
        <v>2029</v>
      </c>
      <c r="K7">
        <v>655</v>
      </c>
      <c r="L7">
        <v>230</v>
      </c>
      <c r="M7">
        <v>0</v>
      </c>
      <c r="N7">
        <v>1</v>
      </c>
    </row>
    <row r="8" spans="2:14" x14ac:dyDescent="0.45">
      <c r="B8" t="s">
        <v>109</v>
      </c>
      <c r="C8">
        <v>83</v>
      </c>
      <c r="D8" s="68">
        <v>2440</v>
      </c>
      <c r="E8" s="68">
        <v>6228</v>
      </c>
      <c r="F8" s="68">
        <v>5206</v>
      </c>
      <c r="G8" s="68">
        <v>6655</v>
      </c>
      <c r="H8" s="68">
        <v>7980</v>
      </c>
      <c r="I8" s="68">
        <v>8371</v>
      </c>
      <c r="J8" s="68">
        <v>5549</v>
      </c>
      <c r="K8" s="68">
        <v>2869</v>
      </c>
      <c r="L8">
        <v>701</v>
      </c>
      <c r="M8" s="68">
        <v>6198</v>
      </c>
      <c r="N8" s="68">
        <v>2844</v>
      </c>
    </row>
    <row r="9" spans="2:14" x14ac:dyDescent="0.45">
      <c r="B9" t="s">
        <v>110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345</v>
      </c>
      <c r="L9">
        <v>360</v>
      </c>
      <c r="M9">
        <v>688</v>
      </c>
      <c r="N9">
        <v>428</v>
      </c>
    </row>
    <row r="10" spans="2:14" x14ac:dyDescent="0.45">
      <c r="B10" t="s">
        <v>111</v>
      </c>
      <c r="C10">
        <v>62</v>
      </c>
      <c r="D10">
        <v>72</v>
      </c>
      <c r="E10" s="68">
        <v>1400</v>
      </c>
      <c r="F10">
        <v>180</v>
      </c>
      <c r="G10" s="68">
        <v>1741</v>
      </c>
      <c r="H10">
        <v>633</v>
      </c>
      <c r="I10">
        <v>621</v>
      </c>
      <c r="J10">
        <v>737</v>
      </c>
      <c r="K10">
        <v>0</v>
      </c>
      <c r="L10">
        <v>0</v>
      </c>
      <c r="M10">
        <v>0</v>
      </c>
      <c r="N10">
        <v>0</v>
      </c>
    </row>
    <row r="11" spans="2:14" x14ac:dyDescent="0.45">
      <c r="B11" t="s">
        <v>112</v>
      </c>
      <c r="C11" s="68">
        <v>5128</v>
      </c>
      <c r="D11" s="68">
        <v>8009</v>
      </c>
      <c r="E11" s="68">
        <v>14089</v>
      </c>
      <c r="F11" s="68">
        <v>13948</v>
      </c>
      <c r="G11" s="68">
        <v>14624</v>
      </c>
      <c r="H11" s="68">
        <v>15598</v>
      </c>
      <c r="I11" s="68">
        <v>12666</v>
      </c>
      <c r="J11" s="68">
        <v>14615</v>
      </c>
      <c r="K11" s="68">
        <v>17291</v>
      </c>
      <c r="L11" s="68">
        <v>20474</v>
      </c>
      <c r="M11" s="68">
        <v>17831</v>
      </c>
      <c r="N11" s="68">
        <v>18367</v>
      </c>
    </row>
    <row r="12" spans="2:14" x14ac:dyDescent="0.45">
      <c r="B12" t="s">
        <v>113</v>
      </c>
      <c r="C12" s="68">
        <v>1635</v>
      </c>
      <c r="D12" s="68">
        <v>1921</v>
      </c>
      <c r="E12" s="68">
        <v>2851</v>
      </c>
      <c r="F12" s="68">
        <v>4085</v>
      </c>
      <c r="G12" s="68">
        <v>3791</v>
      </c>
      <c r="H12" s="68">
        <v>3884</v>
      </c>
      <c r="I12" s="68">
        <v>3314</v>
      </c>
      <c r="J12" s="68">
        <v>3860</v>
      </c>
      <c r="K12" s="68">
        <v>3017</v>
      </c>
      <c r="L12" s="68">
        <v>3055</v>
      </c>
      <c r="M12" s="68">
        <v>3320</v>
      </c>
      <c r="N12" s="68">
        <v>3439</v>
      </c>
    </row>
    <row r="13" spans="2:14" x14ac:dyDescent="0.45">
      <c r="B13" t="s">
        <v>114</v>
      </c>
      <c r="C13" s="68">
        <v>1058</v>
      </c>
      <c r="D13" s="68">
        <v>1328</v>
      </c>
      <c r="E13" s="68">
        <v>3287</v>
      </c>
      <c r="F13" s="68">
        <v>3583</v>
      </c>
      <c r="G13" s="68">
        <v>4395</v>
      </c>
      <c r="H13" s="68">
        <v>4766</v>
      </c>
      <c r="I13" s="68">
        <v>4148</v>
      </c>
      <c r="J13" s="68">
        <v>3584</v>
      </c>
      <c r="K13" s="68">
        <v>3974</v>
      </c>
      <c r="L13" s="68">
        <v>4490</v>
      </c>
      <c r="M13" s="68">
        <v>5682</v>
      </c>
      <c r="N13" s="68">
        <v>5653</v>
      </c>
    </row>
    <row r="14" spans="2:14" x14ac:dyDescent="0.45">
      <c r="B14" t="s">
        <v>115</v>
      </c>
      <c r="C14">
        <v>9</v>
      </c>
      <c r="D14">
        <v>10</v>
      </c>
      <c r="E14">
        <v>37</v>
      </c>
      <c r="F14">
        <v>72</v>
      </c>
      <c r="G14">
        <v>121</v>
      </c>
      <c r="H14">
        <v>30</v>
      </c>
      <c r="I14">
        <v>69</v>
      </c>
      <c r="J14">
        <v>53</v>
      </c>
      <c r="K14">
        <v>47</v>
      </c>
      <c r="L14">
        <v>29</v>
      </c>
      <c r="M14">
        <v>41</v>
      </c>
      <c r="N14">
        <v>43</v>
      </c>
    </row>
    <row r="15" spans="2:14" x14ac:dyDescent="0.45">
      <c r="B15" t="s">
        <v>116</v>
      </c>
      <c r="C15" s="68">
        <v>2426</v>
      </c>
      <c r="D15" s="68">
        <v>4750</v>
      </c>
      <c r="E15" s="68">
        <v>7914</v>
      </c>
      <c r="F15" s="68">
        <v>6208</v>
      </c>
      <c r="G15" s="68">
        <v>6317</v>
      </c>
      <c r="H15" s="68">
        <v>6918</v>
      </c>
      <c r="I15" s="68">
        <v>5135</v>
      </c>
      <c r="J15" s="68">
        <v>7118</v>
      </c>
      <c r="K15" s="68">
        <v>10253</v>
      </c>
      <c r="L15" s="68">
        <v>12901</v>
      </c>
      <c r="M15" s="68">
        <v>8788</v>
      </c>
      <c r="N15" s="68">
        <v>9232</v>
      </c>
    </row>
    <row r="16" spans="2:14" s="66" customFormat="1" x14ac:dyDescent="0.45"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</row>
    <row r="17" spans="2:14" x14ac:dyDescent="0.45">
      <c r="B17" t="s">
        <v>117</v>
      </c>
      <c r="C17" s="68">
        <v>20377</v>
      </c>
      <c r="D17" s="68">
        <v>29095</v>
      </c>
      <c r="E17" s="68">
        <v>48723</v>
      </c>
      <c r="F17" s="68">
        <v>55428</v>
      </c>
      <c r="G17" s="68">
        <v>61095</v>
      </c>
      <c r="H17" s="68">
        <v>64297</v>
      </c>
      <c r="I17" s="68">
        <v>64590</v>
      </c>
      <c r="J17" s="68">
        <v>68194</v>
      </c>
      <c r="K17" s="68">
        <v>67622</v>
      </c>
      <c r="L17" s="68">
        <v>69776</v>
      </c>
      <c r="M17" s="68">
        <v>80712</v>
      </c>
      <c r="N17" s="68">
        <v>85308</v>
      </c>
    </row>
    <row r="18" spans="2:14" s="66" customFormat="1" x14ac:dyDescent="0.45"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</row>
    <row r="19" spans="2:14" x14ac:dyDescent="0.45">
      <c r="B19" t="s">
        <v>118</v>
      </c>
      <c r="C19" s="68">
        <v>5647</v>
      </c>
      <c r="D19" s="68">
        <v>6817</v>
      </c>
      <c r="E19" s="68">
        <v>12682</v>
      </c>
      <c r="F19" s="68">
        <v>15872</v>
      </c>
      <c r="G19" s="68">
        <v>17675</v>
      </c>
      <c r="H19" s="68">
        <v>18853</v>
      </c>
      <c r="I19" s="68">
        <v>21837</v>
      </c>
      <c r="J19" s="68">
        <v>22847</v>
      </c>
      <c r="K19" s="68">
        <v>21553</v>
      </c>
      <c r="L19" s="68">
        <v>22665</v>
      </c>
      <c r="M19" s="68">
        <v>24065</v>
      </c>
      <c r="N19" s="68">
        <v>23211</v>
      </c>
    </row>
    <row r="20" spans="2:14" x14ac:dyDescent="0.45">
      <c r="B20" t="s">
        <v>119</v>
      </c>
      <c r="C20">
        <v>214</v>
      </c>
      <c r="D20">
        <v>241</v>
      </c>
      <c r="E20">
        <v>379</v>
      </c>
      <c r="F20">
        <v>416</v>
      </c>
      <c r="G20">
        <v>475</v>
      </c>
      <c r="H20">
        <v>523</v>
      </c>
      <c r="I20">
        <v>651</v>
      </c>
      <c r="J20">
        <v>686</v>
      </c>
      <c r="K20">
        <v>642</v>
      </c>
      <c r="L20">
        <v>862</v>
      </c>
      <c r="M20">
        <v>898</v>
      </c>
      <c r="N20" s="68">
        <v>1047</v>
      </c>
    </row>
    <row r="21" spans="2:14" x14ac:dyDescent="0.45">
      <c r="B21" t="s">
        <v>120</v>
      </c>
      <c r="C21" s="68">
        <v>1793</v>
      </c>
      <c r="D21" s="68">
        <v>2016</v>
      </c>
      <c r="E21" s="68">
        <v>4036</v>
      </c>
      <c r="F21" s="68">
        <v>4412</v>
      </c>
      <c r="G21" s="68">
        <v>4742</v>
      </c>
      <c r="H21" s="68">
        <v>4877</v>
      </c>
      <c r="I21" s="68">
        <v>5414</v>
      </c>
      <c r="J21" s="68">
        <v>5844</v>
      </c>
      <c r="K21" s="68">
        <v>5937</v>
      </c>
      <c r="L21" s="68">
        <v>6048</v>
      </c>
      <c r="M21" s="68">
        <v>6820</v>
      </c>
      <c r="N21" s="68">
        <v>6803</v>
      </c>
    </row>
    <row r="22" spans="2:14" x14ac:dyDescent="0.45">
      <c r="B22" t="s">
        <v>121</v>
      </c>
      <c r="C22" s="68">
        <v>3359</v>
      </c>
      <c r="D22" s="68">
        <v>3851</v>
      </c>
      <c r="E22" s="68">
        <v>7935</v>
      </c>
      <c r="F22" s="68">
        <v>6918</v>
      </c>
      <c r="G22" s="68">
        <v>7556</v>
      </c>
      <c r="H22" s="68">
        <v>8723</v>
      </c>
      <c r="I22" s="68">
        <v>9814</v>
      </c>
      <c r="J22" s="68">
        <v>10976</v>
      </c>
      <c r="K22" s="68">
        <v>11629</v>
      </c>
      <c r="L22" s="68">
        <v>12363</v>
      </c>
      <c r="M22" s="68">
        <v>13077</v>
      </c>
      <c r="N22" s="68">
        <v>13706</v>
      </c>
    </row>
    <row r="23" spans="2:14" x14ac:dyDescent="0.45">
      <c r="B23" t="s">
        <v>122</v>
      </c>
      <c r="C23">
        <v>68</v>
      </c>
      <c r="D23">
        <v>80</v>
      </c>
      <c r="E23">
        <v>184</v>
      </c>
      <c r="F23">
        <v>130</v>
      </c>
      <c r="G23">
        <v>170</v>
      </c>
      <c r="H23">
        <v>195</v>
      </c>
      <c r="I23">
        <v>221</v>
      </c>
      <c r="J23">
        <v>233</v>
      </c>
      <c r="K23">
        <v>273</v>
      </c>
      <c r="L23">
        <v>305</v>
      </c>
      <c r="M23">
        <v>327</v>
      </c>
      <c r="N23">
        <v>345</v>
      </c>
    </row>
    <row r="24" spans="2:14" x14ac:dyDescent="0.45">
      <c r="B24" t="s">
        <v>123</v>
      </c>
      <c r="C24">
        <v>127</v>
      </c>
      <c r="D24">
        <v>144</v>
      </c>
      <c r="E24">
        <v>358</v>
      </c>
      <c r="F24">
        <v>313</v>
      </c>
      <c r="G24">
        <v>349</v>
      </c>
      <c r="H24">
        <v>373</v>
      </c>
      <c r="I24">
        <v>400</v>
      </c>
      <c r="J24">
        <v>427</v>
      </c>
      <c r="K24">
        <v>421</v>
      </c>
      <c r="L24">
        <v>423</v>
      </c>
      <c r="M24">
        <v>444</v>
      </c>
      <c r="N24">
        <v>454</v>
      </c>
    </row>
    <row r="25" spans="2:14" x14ac:dyDescent="0.45">
      <c r="B25" t="s">
        <v>124</v>
      </c>
      <c r="C25">
        <v>42</v>
      </c>
      <c r="D25">
        <v>56</v>
      </c>
      <c r="E25">
        <v>145</v>
      </c>
      <c r="F25">
        <v>114</v>
      </c>
      <c r="G25">
        <v>107</v>
      </c>
      <c r="H25">
        <v>184</v>
      </c>
      <c r="I25">
        <v>246</v>
      </c>
      <c r="J25">
        <v>319</v>
      </c>
      <c r="K25">
        <v>371</v>
      </c>
      <c r="L25">
        <v>408</v>
      </c>
      <c r="M25">
        <v>447</v>
      </c>
      <c r="N25">
        <v>414</v>
      </c>
    </row>
    <row r="26" spans="2:14" x14ac:dyDescent="0.45">
      <c r="B26" t="s">
        <v>125</v>
      </c>
      <c r="C26" s="68">
        <v>3107</v>
      </c>
      <c r="D26" s="68">
        <v>4097</v>
      </c>
      <c r="E26" s="68">
        <v>7145</v>
      </c>
      <c r="F26" s="68">
        <v>5635</v>
      </c>
      <c r="G26" s="68">
        <v>5536</v>
      </c>
      <c r="H26" s="68">
        <v>11897</v>
      </c>
      <c r="I26" s="68">
        <v>14678</v>
      </c>
      <c r="J26" s="68">
        <v>16322</v>
      </c>
      <c r="K26" s="68">
        <v>15934</v>
      </c>
      <c r="L26" s="68">
        <v>6591</v>
      </c>
      <c r="M26" s="68">
        <v>8358</v>
      </c>
      <c r="N26" s="68">
        <v>8599</v>
      </c>
    </row>
    <row r="27" spans="2:14" x14ac:dyDescent="0.45">
      <c r="B27" t="s">
        <v>126</v>
      </c>
      <c r="C27">
        <v>0</v>
      </c>
      <c r="D27">
        <v>0</v>
      </c>
      <c r="E27">
        <v>225</v>
      </c>
      <c r="F27" s="68">
        <v>4242</v>
      </c>
      <c r="G27" s="68">
        <v>5531</v>
      </c>
      <c r="H27">
        <v>175</v>
      </c>
      <c r="I27">
        <v>264</v>
      </c>
      <c r="J27">
        <v>310</v>
      </c>
      <c r="K27">
        <v>371</v>
      </c>
      <c r="L27" s="68">
        <v>11707</v>
      </c>
      <c r="M27" s="68">
        <v>12729</v>
      </c>
      <c r="N27" s="68">
        <v>12916</v>
      </c>
    </row>
    <row r="28" spans="2:14" x14ac:dyDescent="0.45">
      <c r="B28" t="s">
        <v>127</v>
      </c>
      <c r="C28" s="68">
        <v>8709</v>
      </c>
      <c r="D28" s="68">
        <v>10485</v>
      </c>
      <c r="E28" s="68">
        <v>20407</v>
      </c>
      <c r="F28" s="68">
        <v>22180</v>
      </c>
      <c r="G28" s="68">
        <v>24466</v>
      </c>
      <c r="H28" s="68">
        <v>26949</v>
      </c>
      <c r="I28" s="68">
        <v>31687</v>
      </c>
      <c r="J28" s="68">
        <v>35116</v>
      </c>
      <c r="K28" s="68">
        <v>35579</v>
      </c>
      <c r="L28" s="68">
        <v>38707</v>
      </c>
      <c r="M28" s="68">
        <v>43100</v>
      </c>
      <c r="N28" s="68">
        <v>44284</v>
      </c>
    </row>
    <row r="29" spans="2:14" x14ac:dyDescent="0.45">
      <c r="B29" t="s">
        <v>128</v>
      </c>
      <c r="C29" s="68">
        <v>3062</v>
      </c>
      <c r="D29" s="68">
        <v>3668</v>
      </c>
      <c r="E29" s="68">
        <v>7724</v>
      </c>
      <c r="F29" s="68">
        <v>6308</v>
      </c>
      <c r="G29" s="68">
        <v>6791</v>
      </c>
      <c r="H29" s="68">
        <v>8096</v>
      </c>
      <c r="I29" s="68">
        <v>9850</v>
      </c>
      <c r="J29" s="68">
        <v>12269</v>
      </c>
      <c r="K29" s="68">
        <v>14026</v>
      </c>
      <c r="L29" s="68">
        <v>16042</v>
      </c>
      <c r="M29" s="68">
        <v>19035</v>
      </c>
      <c r="N29" s="68">
        <v>21072</v>
      </c>
    </row>
    <row r="30" spans="2:14" s="66" customFormat="1" x14ac:dyDescent="0.45"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</row>
    <row r="31" spans="2:14" x14ac:dyDescent="0.45">
      <c r="B31" t="s">
        <v>129</v>
      </c>
      <c r="C31">
        <v>563</v>
      </c>
      <c r="D31">
        <v>842</v>
      </c>
      <c r="E31" s="68">
        <v>2039</v>
      </c>
      <c r="F31" s="68">
        <v>2175</v>
      </c>
      <c r="G31" s="68">
        <v>2801</v>
      </c>
      <c r="H31" s="68">
        <v>2465</v>
      </c>
      <c r="I31" s="68">
        <v>1411</v>
      </c>
      <c r="J31" s="68">
        <v>1220</v>
      </c>
      <c r="K31" s="68">
        <v>1567</v>
      </c>
      <c r="L31" s="68">
        <v>1287</v>
      </c>
      <c r="M31" s="68">
        <v>4973</v>
      </c>
      <c r="N31" s="68">
        <v>5354</v>
      </c>
    </row>
    <row r="32" spans="2:14" x14ac:dyDescent="0.45">
      <c r="B32" t="s">
        <v>130</v>
      </c>
      <c r="C32" s="68">
        <v>2412</v>
      </c>
      <c r="D32" s="68">
        <v>2786</v>
      </c>
      <c r="E32" s="68">
        <v>2716</v>
      </c>
      <c r="F32" s="68">
        <v>1830</v>
      </c>
      <c r="G32" s="68">
        <v>1192</v>
      </c>
      <c r="H32" s="68">
        <v>7143</v>
      </c>
      <c r="I32" s="68">
        <v>7903</v>
      </c>
      <c r="J32" s="68">
        <v>10143</v>
      </c>
      <c r="K32" s="68">
        <v>9612</v>
      </c>
      <c r="L32" s="68">
        <v>12849</v>
      </c>
      <c r="M32" s="68">
        <v>14824</v>
      </c>
      <c r="N32" s="68">
        <v>15026</v>
      </c>
    </row>
    <row r="33" spans="2:14" s="66" customFormat="1" x14ac:dyDescent="0.45"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</row>
    <row r="34" spans="2:14" x14ac:dyDescent="0.45">
      <c r="B34" t="s">
        <v>131</v>
      </c>
      <c r="C34" s="68">
        <v>11756</v>
      </c>
      <c r="D34" s="68">
        <v>18650</v>
      </c>
      <c r="E34" s="68">
        <v>31286</v>
      </c>
      <c r="F34" s="68">
        <v>35550</v>
      </c>
      <c r="G34" s="68">
        <v>39427</v>
      </c>
      <c r="H34" s="68">
        <v>35837</v>
      </c>
      <c r="I34" s="68">
        <v>33439</v>
      </c>
      <c r="J34" s="68">
        <v>33984</v>
      </c>
      <c r="K34" s="68">
        <v>34890</v>
      </c>
      <c r="L34" s="68">
        <v>32975</v>
      </c>
      <c r="M34" s="68">
        <v>36849</v>
      </c>
      <c r="N34" s="68">
        <v>41717</v>
      </c>
    </row>
    <row r="35" spans="2:14" x14ac:dyDescent="0.45">
      <c r="B35" t="s">
        <v>132</v>
      </c>
      <c r="C35" s="68">
        <v>2578</v>
      </c>
      <c r="D35" s="68">
        <v>3123</v>
      </c>
      <c r="E35" s="68">
        <v>5668</v>
      </c>
      <c r="F35" s="68">
        <v>6423</v>
      </c>
      <c r="G35" s="68">
        <v>6833</v>
      </c>
      <c r="H35" s="68">
        <v>6881</v>
      </c>
      <c r="I35" s="68">
        <v>7886</v>
      </c>
      <c r="J35" s="68">
        <v>7875</v>
      </c>
      <c r="K35" s="68">
        <v>8997</v>
      </c>
      <c r="L35" s="68">
        <v>8925</v>
      </c>
      <c r="M35" s="68">
        <v>10513</v>
      </c>
      <c r="N35" s="68">
        <v>9868</v>
      </c>
    </row>
    <row r="36" spans="2:14" x14ac:dyDescent="0.45">
      <c r="B36" t="s">
        <v>133</v>
      </c>
      <c r="C36" s="68">
        <v>2412</v>
      </c>
      <c r="D36" s="68">
        <v>2200</v>
      </c>
      <c r="E36" s="68">
        <v>5106</v>
      </c>
      <c r="F36" s="68">
        <v>6776</v>
      </c>
      <c r="G36" s="68">
        <v>7203</v>
      </c>
      <c r="H36" s="68">
        <v>7815</v>
      </c>
      <c r="I36" s="68">
        <v>8884</v>
      </c>
      <c r="J36" s="68">
        <v>9421</v>
      </c>
      <c r="K36" s="68">
        <v>9061</v>
      </c>
      <c r="L36" s="68">
        <v>10485</v>
      </c>
      <c r="M36" s="68">
        <v>11439</v>
      </c>
      <c r="N36" s="68">
        <v>11249</v>
      </c>
    </row>
    <row r="37" spans="2:14" x14ac:dyDescent="0.45">
      <c r="B37" t="s">
        <v>134</v>
      </c>
      <c r="C37" s="68">
        <v>4059</v>
      </c>
      <c r="D37" s="68">
        <v>7590</v>
      </c>
      <c r="E37" s="68">
        <v>10998</v>
      </c>
      <c r="F37" s="68">
        <v>13182</v>
      </c>
      <c r="G37" s="68">
        <v>15141</v>
      </c>
      <c r="H37" s="68">
        <v>9929</v>
      </c>
      <c r="I37" s="68">
        <v>7276</v>
      </c>
      <c r="J37" s="68">
        <v>6488</v>
      </c>
      <c r="K37" s="68">
        <v>6446</v>
      </c>
      <c r="L37" s="68">
        <v>5033</v>
      </c>
      <c r="M37" s="68">
        <v>5770</v>
      </c>
      <c r="N37" s="68">
        <v>10521</v>
      </c>
    </row>
    <row r="38" spans="2:14" x14ac:dyDescent="0.45">
      <c r="B38" t="s">
        <v>135</v>
      </c>
      <c r="C38">
        <v>315</v>
      </c>
      <c r="D38">
        <v>482</v>
      </c>
      <c r="E38">
        <v>51</v>
      </c>
      <c r="F38" s="68">
        <v>1123</v>
      </c>
      <c r="G38" s="68">
        <v>1071</v>
      </c>
      <c r="H38">
        <v>92</v>
      </c>
      <c r="I38">
        <v>310</v>
      </c>
      <c r="J38">
        <v>149</v>
      </c>
      <c r="K38">
        <v>58</v>
      </c>
      <c r="L38">
        <v>172</v>
      </c>
      <c r="M38">
        <v>188</v>
      </c>
      <c r="N38">
        <v>213</v>
      </c>
    </row>
    <row r="39" spans="2:14" x14ac:dyDescent="0.45">
      <c r="B39" t="s">
        <v>136</v>
      </c>
      <c r="C39" s="68">
        <v>2392</v>
      </c>
      <c r="D39" s="68">
        <v>5254</v>
      </c>
      <c r="E39" s="68">
        <v>9462</v>
      </c>
      <c r="F39" s="68">
        <v>8047</v>
      </c>
      <c r="G39" s="68">
        <v>9180</v>
      </c>
      <c r="H39" s="68">
        <v>11119</v>
      </c>
      <c r="I39" s="68">
        <v>9083</v>
      </c>
      <c r="J39" s="68">
        <v>10051</v>
      </c>
      <c r="K39" s="68">
        <v>10328</v>
      </c>
      <c r="L39" s="68">
        <v>8361</v>
      </c>
      <c r="M39" s="68">
        <v>8939</v>
      </c>
      <c r="N39" s="68">
        <v>9865</v>
      </c>
    </row>
    <row r="40" spans="2:14" x14ac:dyDescent="0.45">
      <c r="B40" t="s">
        <v>137</v>
      </c>
      <c r="C40" s="68">
        <v>20377</v>
      </c>
      <c r="D40" s="68">
        <v>29095</v>
      </c>
      <c r="E40" s="68">
        <v>48723</v>
      </c>
      <c r="F40" s="68">
        <v>55428</v>
      </c>
      <c r="G40" s="68">
        <v>61095</v>
      </c>
      <c r="H40" s="68">
        <v>64297</v>
      </c>
      <c r="I40" s="68">
        <v>64590</v>
      </c>
      <c r="J40" s="68">
        <v>68194</v>
      </c>
      <c r="K40" s="68">
        <v>67622</v>
      </c>
      <c r="L40" s="68">
        <v>69776</v>
      </c>
      <c r="M40" s="68">
        <v>80712</v>
      </c>
      <c r="N40" s="68">
        <v>85308</v>
      </c>
    </row>
    <row r="49" spans="2:14" x14ac:dyDescent="0.45">
      <c r="B49" s="69">
        <v>41334</v>
      </c>
      <c r="C49" s="69">
        <v>41699</v>
      </c>
      <c r="D49" s="69">
        <v>42064</v>
      </c>
      <c r="E49" s="69">
        <v>42430</v>
      </c>
      <c r="F49" s="69">
        <v>42795</v>
      </c>
      <c r="G49" s="69">
        <v>43160</v>
      </c>
      <c r="H49" s="69">
        <v>43525</v>
      </c>
      <c r="I49" s="69">
        <v>43891</v>
      </c>
      <c r="J49" s="69">
        <v>44256</v>
      </c>
      <c r="K49" s="69">
        <v>44621</v>
      </c>
      <c r="L49" s="69">
        <v>44986</v>
      </c>
      <c r="M49" s="69">
        <v>45352</v>
      </c>
    </row>
    <row r="50" spans="2:14" x14ac:dyDescent="0.45">
      <c r="B50" t="s">
        <v>138</v>
      </c>
      <c r="C50" s="68">
        <v>3357</v>
      </c>
      <c r="D50" s="68">
        <v>3959</v>
      </c>
      <c r="E50" s="68">
        <v>5616</v>
      </c>
      <c r="F50" s="68">
        <v>6686</v>
      </c>
      <c r="G50" s="68">
        <v>7082</v>
      </c>
      <c r="H50" s="68">
        <v>3907</v>
      </c>
      <c r="I50" s="68">
        <v>2196</v>
      </c>
      <c r="J50" s="68">
        <v>6555</v>
      </c>
      <c r="K50" s="68">
        <v>6170</v>
      </c>
      <c r="L50" s="68">
        <v>8985</v>
      </c>
      <c r="M50" s="68">
        <v>4959</v>
      </c>
      <c r="N50" s="68">
        <v>12135</v>
      </c>
    </row>
    <row r="51" spans="2:14" x14ac:dyDescent="0.45">
      <c r="B51" t="s">
        <v>139</v>
      </c>
      <c r="C51" s="68">
        <v>4475</v>
      </c>
      <c r="D51" s="68">
        <v>4541</v>
      </c>
      <c r="E51" s="68">
        <v>7177</v>
      </c>
      <c r="F51" s="68">
        <v>8428</v>
      </c>
      <c r="G51" s="68">
        <v>9549</v>
      </c>
      <c r="H51" s="68">
        <v>4861</v>
      </c>
      <c r="I51" s="68">
        <v>5779</v>
      </c>
      <c r="J51" s="68">
        <v>7002</v>
      </c>
      <c r="K51" s="68">
        <v>4609</v>
      </c>
      <c r="L51" s="68">
        <v>6456</v>
      </c>
      <c r="M51" s="68">
        <v>12131</v>
      </c>
      <c r="N51" s="68">
        <v>12642</v>
      </c>
    </row>
    <row r="52" spans="2:14" x14ac:dyDescent="0.45">
      <c r="B52" t="s">
        <v>140</v>
      </c>
      <c r="C52">
        <v>-502</v>
      </c>
      <c r="D52">
        <v>222</v>
      </c>
      <c r="E52" s="68">
        <v>-1046</v>
      </c>
      <c r="F52" s="68">
        <v>-1810</v>
      </c>
      <c r="G52">
        <v>-293</v>
      </c>
      <c r="H52">
        <v>-773</v>
      </c>
      <c r="I52">
        <v>-858</v>
      </c>
      <c r="J52">
        <v>-374</v>
      </c>
      <c r="K52">
        <v>94</v>
      </c>
      <c r="L52" s="68">
        <v>-1342</v>
      </c>
      <c r="M52">
        <v>-953</v>
      </c>
      <c r="N52">
        <v>353</v>
      </c>
    </row>
    <row r="53" spans="2:14" x14ac:dyDescent="0.45">
      <c r="B53" t="s">
        <v>141</v>
      </c>
      <c r="C53">
        <v>-390</v>
      </c>
      <c r="D53">
        <v>-545</v>
      </c>
      <c r="E53">
        <v>190</v>
      </c>
      <c r="F53">
        <v>-167</v>
      </c>
      <c r="G53">
        <v>-345</v>
      </c>
      <c r="H53">
        <v>-4</v>
      </c>
      <c r="I53">
        <v>-709</v>
      </c>
      <c r="J53">
        <v>257</v>
      </c>
      <c r="K53" s="68">
        <v>-1080</v>
      </c>
      <c r="L53">
        <v>307</v>
      </c>
      <c r="M53" s="68">
        <v>-1202</v>
      </c>
      <c r="N53">
        <v>599</v>
      </c>
    </row>
    <row r="54" spans="2:14" x14ac:dyDescent="0.45">
      <c r="B54" t="s">
        <v>142</v>
      </c>
      <c r="C54">
        <v>68</v>
      </c>
      <c r="D54">
        <v>272</v>
      </c>
      <c r="E54">
        <v>341</v>
      </c>
      <c r="F54">
        <v>362</v>
      </c>
      <c r="G54">
        <v>735</v>
      </c>
      <c r="H54">
        <v>383</v>
      </c>
      <c r="I54">
        <v>-854</v>
      </c>
      <c r="J54">
        <v>-210</v>
      </c>
      <c r="K54">
        <v>381</v>
      </c>
      <c r="L54">
        <v>370</v>
      </c>
      <c r="M54" s="68">
        <v>1182</v>
      </c>
      <c r="N54">
        <v>250</v>
      </c>
    </row>
    <row r="55" spans="2:14" x14ac:dyDescent="0.45">
      <c r="B55" t="s">
        <v>143</v>
      </c>
      <c r="C55">
        <v>-67</v>
      </c>
      <c r="D55">
        <v>339</v>
      </c>
      <c r="E55">
        <v>28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2:14" x14ac:dyDescent="0.45">
      <c r="B56" t="s">
        <v>144</v>
      </c>
      <c r="C56">
        <v>846</v>
      </c>
      <c r="D56">
        <v>-81</v>
      </c>
      <c r="E56">
        <v>667</v>
      </c>
      <c r="F56" s="68">
        <v>1861</v>
      </c>
      <c r="G56">
        <v>-506</v>
      </c>
      <c r="H56">
        <v>182</v>
      </c>
      <c r="I56">
        <v>-275</v>
      </c>
      <c r="J56" s="68">
        <v>1226</v>
      </c>
      <c r="K56" s="68">
        <v>3169</v>
      </c>
      <c r="L56" s="68">
        <v>2224</v>
      </c>
      <c r="M56" s="68">
        <v>-4689</v>
      </c>
      <c r="N56">
        <v>-139</v>
      </c>
    </row>
    <row r="57" spans="2:14" x14ac:dyDescent="0.45">
      <c r="B57" t="s">
        <v>145</v>
      </c>
      <c r="C57">
        <v>-45</v>
      </c>
      <c r="D57">
        <v>207</v>
      </c>
      <c r="E57">
        <v>180</v>
      </c>
      <c r="F57">
        <v>247</v>
      </c>
      <c r="G57">
        <v>-409</v>
      </c>
      <c r="H57">
        <v>-212</v>
      </c>
      <c r="I57" s="68">
        <v>-2696</v>
      </c>
      <c r="J57">
        <v>899</v>
      </c>
      <c r="K57" s="68">
        <v>2564</v>
      </c>
      <c r="L57" s="68">
        <v>1559</v>
      </c>
      <c r="M57" s="68">
        <v>-5662</v>
      </c>
      <c r="N57" s="68">
        <v>1062</v>
      </c>
    </row>
    <row r="58" spans="2:14" x14ac:dyDescent="0.45">
      <c r="B58" t="s">
        <v>146</v>
      </c>
      <c r="C58" s="68">
        <v>-1073</v>
      </c>
      <c r="D58">
        <v>-789</v>
      </c>
      <c r="E58" s="68">
        <v>-1740</v>
      </c>
      <c r="F58" s="68">
        <v>-1988</v>
      </c>
      <c r="G58" s="68">
        <v>-2057</v>
      </c>
      <c r="H58">
        <v>-742</v>
      </c>
      <c r="I58">
        <v>-886</v>
      </c>
      <c r="J58" s="68">
        <v>-1346</v>
      </c>
      <c r="K58" s="68">
        <v>-1003</v>
      </c>
      <c r="L58">
        <v>969</v>
      </c>
      <c r="M58" s="68">
        <v>-1510</v>
      </c>
      <c r="N58" s="68">
        <v>-1569</v>
      </c>
    </row>
    <row r="59" spans="2:14" s="66" customFormat="1" x14ac:dyDescent="0.45">
      <c r="C59" s="68"/>
      <c r="E59" s="68"/>
      <c r="F59" s="68"/>
      <c r="G59" s="68"/>
      <c r="J59" s="68"/>
      <c r="K59" s="68"/>
      <c r="M59" s="68"/>
      <c r="N59" s="68"/>
    </row>
    <row r="60" spans="2:14" x14ac:dyDescent="0.45">
      <c r="B60" t="s">
        <v>147</v>
      </c>
      <c r="C60" s="68">
        <v>-2375</v>
      </c>
      <c r="D60" s="68">
        <v>-2176</v>
      </c>
      <c r="E60" s="68">
        <v>-1502</v>
      </c>
      <c r="F60" s="68">
        <v>-3949</v>
      </c>
      <c r="G60" s="68">
        <v>-4186</v>
      </c>
      <c r="H60" s="68">
        <v>-3104</v>
      </c>
      <c r="I60">
        <v>-310</v>
      </c>
      <c r="J60" s="68">
        <v>-2225</v>
      </c>
      <c r="K60">
        <v>407</v>
      </c>
      <c r="L60" s="68">
        <v>-5556</v>
      </c>
      <c r="M60" s="68">
        <v>-7220</v>
      </c>
      <c r="N60">
        <v>-763</v>
      </c>
    </row>
    <row r="61" spans="2:14" x14ac:dyDescent="0.45">
      <c r="B61" t="s">
        <v>148</v>
      </c>
      <c r="C61">
        <v>-879</v>
      </c>
      <c r="D61">
        <v>-906</v>
      </c>
      <c r="E61" s="68">
        <v>-2350</v>
      </c>
      <c r="F61" s="68">
        <v>-3404</v>
      </c>
      <c r="G61" s="68">
        <v>-3693</v>
      </c>
      <c r="H61" s="68">
        <v>-1961</v>
      </c>
      <c r="I61" s="68">
        <v>-3213</v>
      </c>
      <c r="J61" s="68">
        <v>-1542</v>
      </c>
      <c r="K61" s="68">
        <v>-1170</v>
      </c>
      <c r="L61" s="68">
        <v>-1495</v>
      </c>
      <c r="M61" s="68">
        <v>-2086</v>
      </c>
      <c r="N61" s="68">
        <v>-2202</v>
      </c>
    </row>
    <row r="62" spans="2:14" x14ac:dyDescent="0.45">
      <c r="B62" t="s">
        <v>149</v>
      </c>
      <c r="C62">
        <v>14</v>
      </c>
      <c r="D62">
        <v>9</v>
      </c>
      <c r="E62">
        <v>50</v>
      </c>
      <c r="F62">
        <v>71</v>
      </c>
      <c r="G62">
        <v>102</v>
      </c>
      <c r="H62">
        <v>66</v>
      </c>
      <c r="I62">
        <v>50</v>
      </c>
      <c r="J62">
        <v>92</v>
      </c>
      <c r="K62">
        <v>97</v>
      </c>
      <c r="L62">
        <v>61</v>
      </c>
      <c r="M62">
        <v>21</v>
      </c>
      <c r="N62">
        <v>31</v>
      </c>
    </row>
    <row r="63" spans="2:14" x14ac:dyDescent="0.45">
      <c r="B63" t="s">
        <v>150</v>
      </c>
      <c r="C63" s="68">
        <v>-15672</v>
      </c>
      <c r="D63" s="68">
        <v>-28265</v>
      </c>
      <c r="E63" s="68">
        <v>-28802</v>
      </c>
      <c r="F63" s="68">
        <v>-40122</v>
      </c>
      <c r="G63" s="68">
        <v>-38831</v>
      </c>
      <c r="H63" s="68">
        <v>-40587</v>
      </c>
      <c r="I63" s="68">
        <v>-35396</v>
      </c>
      <c r="J63" s="68">
        <v>-33445</v>
      </c>
      <c r="K63" s="68">
        <v>-18542</v>
      </c>
      <c r="L63" s="68">
        <v>-24135</v>
      </c>
      <c r="M63" s="68">
        <v>-21809</v>
      </c>
      <c r="N63" s="68">
        <v>-29004</v>
      </c>
    </row>
    <row r="64" spans="2:14" x14ac:dyDescent="0.45">
      <c r="B64" t="s">
        <v>151</v>
      </c>
      <c r="C64" s="68">
        <v>15625</v>
      </c>
      <c r="D64" s="68">
        <v>28186</v>
      </c>
      <c r="E64" s="68">
        <v>28841</v>
      </c>
      <c r="F64" s="68">
        <v>41641</v>
      </c>
      <c r="G64" s="68">
        <v>39194</v>
      </c>
      <c r="H64" s="68">
        <v>34992</v>
      </c>
      <c r="I64" s="68">
        <v>35207</v>
      </c>
      <c r="J64" s="68">
        <v>31894</v>
      </c>
      <c r="K64" s="68">
        <v>19709</v>
      </c>
      <c r="L64" s="68">
        <v>20702</v>
      </c>
      <c r="M64" s="68">
        <v>20897</v>
      </c>
      <c r="N64" s="68">
        <v>30094</v>
      </c>
    </row>
    <row r="65" spans="2:14" x14ac:dyDescent="0.45">
      <c r="B65" t="s">
        <v>152</v>
      </c>
      <c r="C65">
        <v>257</v>
      </c>
      <c r="D65">
        <v>194</v>
      </c>
      <c r="E65">
        <v>289</v>
      </c>
      <c r="F65">
        <v>338</v>
      </c>
      <c r="G65">
        <v>337</v>
      </c>
      <c r="H65">
        <v>510</v>
      </c>
      <c r="I65">
        <v>684</v>
      </c>
      <c r="J65">
        <v>338</v>
      </c>
      <c r="K65">
        <v>72</v>
      </c>
      <c r="L65">
        <v>76</v>
      </c>
      <c r="M65">
        <v>318</v>
      </c>
      <c r="N65">
        <v>613</v>
      </c>
    </row>
    <row r="66" spans="2:14" x14ac:dyDescent="0.45">
      <c r="B66" t="s">
        <v>153</v>
      </c>
      <c r="C66">
        <v>2</v>
      </c>
      <c r="D66">
        <v>4</v>
      </c>
      <c r="E66">
        <v>0</v>
      </c>
      <c r="F66">
        <v>50</v>
      </c>
      <c r="G66">
        <v>42</v>
      </c>
      <c r="H66">
        <v>37</v>
      </c>
      <c r="I66">
        <v>22</v>
      </c>
      <c r="J66">
        <v>56</v>
      </c>
      <c r="K66">
        <v>138</v>
      </c>
      <c r="L66">
        <v>134</v>
      </c>
      <c r="M66">
        <v>132</v>
      </c>
      <c r="N66">
        <v>99</v>
      </c>
    </row>
    <row r="67" spans="2:14" x14ac:dyDescent="0.45"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-15</v>
      </c>
      <c r="M67">
        <v>-155</v>
      </c>
      <c r="N67">
        <v>-87</v>
      </c>
    </row>
    <row r="68" spans="2:14" x14ac:dyDescent="0.45"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24</v>
      </c>
      <c r="M68">
        <v>0</v>
      </c>
      <c r="N68">
        <v>0</v>
      </c>
    </row>
    <row r="69" spans="2:14" x14ac:dyDescent="0.45">
      <c r="B69" t="s">
        <v>156</v>
      </c>
      <c r="C69" s="68">
        <v>-1641</v>
      </c>
      <c r="D69">
        <v>0</v>
      </c>
      <c r="E69">
        <v>0</v>
      </c>
      <c r="F69" s="68">
        <v>-1026</v>
      </c>
      <c r="G69">
        <v>-167</v>
      </c>
      <c r="H69">
        <v>-86</v>
      </c>
      <c r="I69">
        <v>-23</v>
      </c>
      <c r="J69">
        <v>0</v>
      </c>
      <c r="K69">
        <v>-62</v>
      </c>
      <c r="L69">
        <v>-740</v>
      </c>
      <c r="M69" s="68">
        <v>-4686</v>
      </c>
      <c r="N69">
        <v>-143</v>
      </c>
    </row>
    <row r="70" spans="2:14" x14ac:dyDescent="0.45">
      <c r="B70" t="s">
        <v>157</v>
      </c>
      <c r="C70">
        <v>-81</v>
      </c>
      <c r="D70" s="68">
        <v>-1397</v>
      </c>
      <c r="E70">
        <v>470</v>
      </c>
      <c r="F70" s="68">
        <v>-1499</v>
      </c>
      <c r="G70" s="68">
        <v>-1170</v>
      </c>
      <c r="H70" s="68">
        <v>3923</v>
      </c>
      <c r="I70" s="68">
        <v>2357</v>
      </c>
      <c r="J70">
        <v>382</v>
      </c>
      <c r="K70">
        <v>165</v>
      </c>
      <c r="L70">
        <v>-167</v>
      </c>
      <c r="M70">
        <v>148</v>
      </c>
      <c r="N70">
        <v>-164</v>
      </c>
    </row>
    <row r="71" spans="2:14" s="66" customFormat="1" x14ac:dyDescent="0.45">
      <c r="D71" s="68"/>
      <c r="F71" s="68"/>
      <c r="G71" s="68"/>
      <c r="H71" s="68"/>
      <c r="I71" s="68"/>
    </row>
    <row r="72" spans="2:14" x14ac:dyDescent="0.45">
      <c r="B72" t="s">
        <v>158</v>
      </c>
      <c r="C72">
        <v>-665</v>
      </c>
      <c r="D72">
        <v>507</v>
      </c>
      <c r="E72" s="68">
        <v>-1187</v>
      </c>
      <c r="F72" s="68">
        <v>-1889</v>
      </c>
      <c r="G72" s="68">
        <v>-2285</v>
      </c>
      <c r="H72" s="68">
        <v>-1539</v>
      </c>
      <c r="I72" s="68">
        <v>-2731</v>
      </c>
      <c r="J72" s="68">
        <v>-5715</v>
      </c>
      <c r="K72" s="68">
        <v>-5980</v>
      </c>
      <c r="L72" s="68">
        <v>-5193</v>
      </c>
      <c r="M72" s="68">
        <v>2376</v>
      </c>
      <c r="N72" s="68">
        <v>-6710</v>
      </c>
    </row>
    <row r="73" spans="2:14" x14ac:dyDescent="0.45">
      <c r="B73" t="s">
        <v>159</v>
      </c>
      <c r="C73">
        <v>36</v>
      </c>
      <c r="D73">
        <v>18</v>
      </c>
      <c r="E73">
        <v>0</v>
      </c>
      <c r="F73">
        <v>9</v>
      </c>
      <c r="G73">
        <v>2</v>
      </c>
      <c r="H73">
        <v>1</v>
      </c>
      <c r="I73">
        <v>0</v>
      </c>
      <c r="J73">
        <v>0</v>
      </c>
      <c r="K73">
        <v>425</v>
      </c>
      <c r="L73">
        <v>0</v>
      </c>
      <c r="M73">
        <v>0</v>
      </c>
      <c r="N73">
        <v>0</v>
      </c>
    </row>
    <row r="74" spans="2:14" x14ac:dyDescent="0.45">
      <c r="B74" t="s">
        <v>160</v>
      </c>
      <c r="C74">
        <v>14</v>
      </c>
      <c r="D74">
        <v>-40</v>
      </c>
      <c r="E74" s="68">
        <v>1198</v>
      </c>
      <c r="F74">
        <v>0</v>
      </c>
      <c r="G74">
        <v>0</v>
      </c>
      <c r="H74">
        <v>0</v>
      </c>
      <c r="I74" s="68">
        <v>17698</v>
      </c>
      <c r="J74" s="68">
        <v>10552</v>
      </c>
      <c r="K74" s="68">
        <v>6603</v>
      </c>
      <c r="L74" s="68">
        <v>1763</v>
      </c>
      <c r="M74" s="68">
        <v>8160</v>
      </c>
      <c r="N74" s="68">
        <v>4573</v>
      </c>
    </row>
    <row r="75" spans="2:14" x14ac:dyDescent="0.45">
      <c r="B75" t="s">
        <v>161</v>
      </c>
      <c r="C75">
        <v>-89</v>
      </c>
      <c r="D75">
        <v>0</v>
      </c>
      <c r="E75">
        <v>0</v>
      </c>
      <c r="F75">
        <v>0</v>
      </c>
      <c r="G75">
        <v>0</v>
      </c>
      <c r="H75">
        <v>0</v>
      </c>
      <c r="I75" s="68">
        <v>-16807</v>
      </c>
      <c r="J75" s="68">
        <v>-13893</v>
      </c>
      <c r="K75" s="68">
        <v>-10802</v>
      </c>
      <c r="L75" s="68">
        <v>-4400</v>
      </c>
      <c r="M75" s="68">
        <v>-3030</v>
      </c>
      <c r="N75" s="68">
        <v>-7963</v>
      </c>
    </row>
    <row r="76" spans="2:14" x14ac:dyDescent="0.45">
      <c r="B76" t="s">
        <v>162</v>
      </c>
      <c r="C76">
        <v>-38</v>
      </c>
      <c r="D76">
        <v>-23</v>
      </c>
      <c r="E76">
        <v>-350</v>
      </c>
      <c r="F76">
        <v>-301</v>
      </c>
      <c r="G76">
        <v>-334</v>
      </c>
      <c r="H76">
        <v>-477</v>
      </c>
      <c r="I76">
        <v>-461</v>
      </c>
      <c r="J76">
        <v>-272</v>
      </c>
      <c r="K76">
        <v>-144</v>
      </c>
      <c r="L76">
        <v>-73</v>
      </c>
      <c r="M76">
        <v>-132</v>
      </c>
      <c r="N76">
        <v>-219</v>
      </c>
    </row>
    <row r="77" spans="2:14" x14ac:dyDescent="0.45">
      <c r="B77" t="s">
        <v>163</v>
      </c>
      <c r="C77">
        <v>-440</v>
      </c>
      <c r="D77">
        <v>-518</v>
      </c>
      <c r="E77">
        <v>-310</v>
      </c>
      <c r="F77">
        <v>-724</v>
      </c>
      <c r="G77">
        <v>-243</v>
      </c>
      <c r="H77">
        <v>-813</v>
      </c>
      <c r="I77" s="68">
        <v>-1326</v>
      </c>
      <c r="J77" s="68">
        <v>-1399</v>
      </c>
      <c r="K77" s="68">
        <v>-1586</v>
      </c>
      <c r="L77" s="68">
        <v>-2169</v>
      </c>
      <c r="M77" s="68">
        <v>-2520</v>
      </c>
      <c r="N77" s="68">
        <v>-2901</v>
      </c>
    </row>
    <row r="78" spans="2:14" x14ac:dyDescent="0.45"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-118</v>
      </c>
      <c r="L78">
        <v>-129</v>
      </c>
      <c r="M78">
        <v>-101</v>
      </c>
      <c r="N78">
        <v>-123</v>
      </c>
    </row>
    <row r="79" spans="2:14" x14ac:dyDescent="0.45">
      <c r="B79" t="s">
        <v>165</v>
      </c>
      <c r="C79">
        <v>-148</v>
      </c>
      <c r="D79" s="68">
        <v>1069</v>
      </c>
      <c r="E79" s="68">
        <v>-1724</v>
      </c>
      <c r="F79">
        <v>-872</v>
      </c>
      <c r="G79" s="68">
        <v>-1711</v>
      </c>
      <c r="H79">
        <v>-250</v>
      </c>
      <c r="I79" s="68">
        <v>-1835</v>
      </c>
      <c r="J79">
        <v>-702</v>
      </c>
      <c r="K79">
        <v>-358</v>
      </c>
      <c r="L79">
        <v>-186</v>
      </c>
      <c r="M79">
        <v>0</v>
      </c>
      <c r="N79">
        <v>-77</v>
      </c>
    </row>
    <row r="80" spans="2:14" s="66" customFormat="1" x14ac:dyDescent="0.45">
      <c r="D80" s="68"/>
      <c r="E80" s="68"/>
      <c r="G80" s="68"/>
      <c r="I80" s="68"/>
    </row>
    <row r="81" spans="2:14" x14ac:dyDescent="0.45">
      <c r="B81" t="s">
        <v>166</v>
      </c>
      <c r="C81">
        <v>316</v>
      </c>
      <c r="D81" s="68">
        <v>2290</v>
      </c>
      <c r="E81" s="68">
        <v>2927</v>
      </c>
      <c r="F81">
        <v>848</v>
      </c>
      <c r="G81">
        <v>611</v>
      </c>
      <c r="H81">
        <v>-736</v>
      </c>
      <c r="I81">
        <v>-844</v>
      </c>
      <c r="J81" s="68">
        <v>-1386</v>
      </c>
      <c r="K81">
        <v>596</v>
      </c>
      <c r="L81" s="68">
        <v>-1765</v>
      </c>
      <c r="M81">
        <v>115</v>
      </c>
      <c r="N81" s="68">
        <v>4662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1E12-804F-4972-B938-1E61F268BC67}">
  <dimension ref="A1:N39"/>
  <sheetViews>
    <sheetView showGridLines="0" zoomScale="64" workbookViewId="0">
      <selection sqref="A1:B4"/>
    </sheetView>
  </sheetViews>
  <sheetFormatPr defaultRowHeight="14.25" x14ac:dyDescent="0.45"/>
  <cols>
    <col min="1" max="1" width="2.1328125" customWidth="1"/>
    <col min="2" max="2" width="29.73046875" customWidth="1"/>
    <col min="8" max="8" width="7.73046875" customWidth="1"/>
    <col min="9" max="9" width="21.73046875" customWidth="1"/>
    <col min="11" max="11" width="10.1328125" customWidth="1"/>
    <col min="12" max="12" width="8.46484375" customWidth="1"/>
    <col min="13" max="13" width="12.796875" customWidth="1"/>
  </cols>
  <sheetData>
    <row r="1" spans="1:14" x14ac:dyDescent="0.45">
      <c r="A1" s="66"/>
      <c r="B1" s="67"/>
    </row>
    <row r="2" spans="1:14" x14ac:dyDescent="0.45">
      <c r="A2" s="66"/>
      <c r="B2" s="67"/>
    </row>
    <row r="3" spans="1:14" x14ac:dyDescent="0.45">
      <c r="A3" s="66"/>
      <c r="B3" s="67"/>
    </row>
    <row r="4" spans="1:14" x14ac:dyDescent="0.45">
      <c r="A4" s="66"/>
      <c r="B4" s="67"/>
    </row>
    <row r="5" spans="1:14" x14ac:dyDescent="0.45">
      <c r="B5" s="61" t="s">
        <v>167</v>
      </c>
      <c r="C5" s="61"/>
      <c r="D5" s="61"/>
      <c r="E5" s="61"/>
      <c r="F5" s="61"/>
      <c r="G5" s="61"/>
      <c r="I5" s="61" t="s">
        <v>181</v>
      </c>
      <c r="J5" s="61"/>
      <c r="K5" s="61"/>
      <c r="L5" s="61"/>
      <c r="M5" s="61"/>
      <c r="N5" s="61"/>
    </row>
    <row r="6" spans="1:14" x14ac:dyDescent="0.45">
      <c r="B6" s="72" t="s">
        <v>168</v>
      </c>
      <c r="C6" s="71">
        <v>43891</v>
      </c>
      <c r="D6" s="71">
        <v>44256</v>
      </c>
      <c r="E6" s="71">
        <v>44621</v>
      </c>
      <c r="F6" s="71">
        <v>44986</v>
      </c>
      <c r="G6" s="71">
        <v>45352</v>
      </c>
      <c r="I6" s="72" t="s">
        <v>168</v>
      </c>
      <c r="J6" s="71">
        <v>43891</v>
      </c>
      <c r="K6" s="71">
        <v>44256</v>
      </c>
      <c r="L6" s="71">
        <v>44621</v>
      </c>
      <c r="M6" s="71">
        <v>44986</v>
      </c>
      <c r="N6" s="71">
        <v>45352</v>
      </c>
    </row>
    <row r="8" spans="1:14" x14ac:dyDescent="0.45">
      <c r="B8" s="74" t="s">
        <v>169</v>
      </c>
      <c r="C8" s="73"/>
      <c r="D8" s="73"/>
      <c r="E8" s="73" t="s">
        <v>180</v>
      </c>
      <c r="F8" s="73"/>
      <c r="G8" s="73"/>
      <c r="I8" s="79" t="s">
        <v>182</v>
      </c>
      <c r="J8" s="93">
        <f>-SUM(Sheet1!J61:J62)</f>
        <v>1450</v>
      </c>
      <c r="K8" s="93">
        <f>-SUM(Sheet1!K61:K62)</f>
        <v>1073</v>
      </c>
      <c r="L8" s="93">
        <f>-SUM(Sheet1!L61:L62)</f>
        <v>1434</v>
      </c>
      <c r="M8" s="93">
        <f>-SUM(Sheet1!M61:M62)</f>
        <v>2065</v>
      </c>
      <c r="N8" s="93">
        <f>-SUM(Sheet1!N61:N62)</f>
        <v>2171</v>
      </c>
    </row>
    <row r="9" spans="1:14" x14ac:dyDescent="0.45">
      <c r="B9" s="75" t="s">
        <v>132</v>
      </c>
      <c r="C9" s="85">
        <v>7875</v>
      </c>
      <c r="D9" s="85">
        <v>8997</v>
      </c>
      <c r="E9" s="85">
        <v>8925</v>
      </c>
      <c r="F9" s="85">
        <v>10513</v>
      </c>
      <c r="G9" s="85">
        <v>9868</v>
      </c>
      <c r="I9" s="79" t="s">
        <v>183</v>
      </c>
      <c r="J9" s="93"/>
      <c r="K9" s="93">
        <f>D21-C21</f>
        <v>4467</v>
      </c>
      <c r="L9" s="93">
        <f t="shared" ref="L9:N9" si="0">E21-D21</f>
        <v>2645</v>
      </c>
      <c r="M9" s="93">
        <f t="shared" si="0"/>
        <v>227</v>
      </c>
      <c r="N9" s="93">
        <f t="shared" si="0"/>
        <v>533</v>
      </c>
    </row>
    <row r="10" spans="1:14" x14ac:dyDescent="0.45">
      <c r="B10" s="75" t="s">
        <v>133</v>
      </c>
      <c r="C10" s="85">
        <v>9421</v>
      </c>
      <c r="D10" s="85">
        <v>9061</v>
      </c>
      <c r="E10" s="85">
        <v>10485</v>
      </c>
      <c r="F10" s="85">
        <v>11439</v>
      </c>
      <c r="G10" s="85">
        <v>11249</v>
      </c>
      <c r="I10" s="79"/>
      <c r="J10" s="93"/>
      <c r="K10" s="93"/>
      <c r="L10" s="93"/>
      <c r="M10" s="93"/>
      <c r="N10" s="93"/>
    </row>
    <row r="11" spans="1:14" x14ac:dyDescent="0.45">
      <c r="B11" s="75" t="s">
        <v>170</v>
      </c>
      <c r="C11" s="85">
        <v>149</v>
      </c>
      <c r="D11" s="85">
        <v>58</v>
      </c>
      <c r="E11" s="85">
        <v>172</v>
      </c>
      <c r="F11" s="85">
        <v>188</v>
      </c>
      <c r="G11" s="85">
        <v>213</v>
      </c>
      <c r="I11" s="79" t="s">
        <v>178</v>
      </c>
      <c r="J11" s="93">
        <f>C37</f>
        <v>4930.0600000000013</v>
      </c>
      <c r="K11" s="93">
        <f t="shared" ref="K11:N11" si="1">D37</f>
        <v>6390.0099999999993</v>
      </c>
      <c r="L11" s="93">
        <f t="shared" si="1"/>
        <v>8113.8299999999963</v>
      </c>
      <c r="M11" s="93">
        <f t="shared" si="1"/>
        <v>9121.010000000002</v>
      </c>
      <c r="N11" s="93">
        <f t="shared" si="1"/>
        <v>10461.129999999996</v>
      </c>
    </row>
    <row r="12" spans="1:14" x14ac:dyDescent="0.45">
      <c r="B12" s="73" t="s">
        <v>136</v>
      </c>
      <c r="C12" s="86">
        <v>10051</v>
      </c>
      <c r="D12" s="86">
        <v>10328</v>
      </c>
      <c r="E12" s="86">
        <v>8361</v>
      </c>
      <c r="F12" s="86">
        <v>8939</v>
      </c>
      <c r="G12" s="86">
        <v>9865</v>
      </c>
      <c r="I12" s="79" t="s">
        <v>184</v>
      </c>
      <c r="J12" s="98">
        <v>0.25</v>
      </c>
      <c r="K12" s="98">
        <v>0.25</v>
      </c>
      <c r="L12" s="98">
        <v>0.25</v>
      </c>
      <c r="M12" s="98">
        <v>0.25</v>
      </c>
      <c r="N12" s="98">
        <v>0.25</v>
      </c>
    </row>
    <row r="13" spans="1:14" x14ac:dyDescent="0.45">
      <c r="B13" s="76" t="s">
        <v>171</v>
      </c>
      <c r="C13" s="88">
        <f>SUM(C9:C12)</f>
        <v>27496</v>
      </c>
      <c r="D13" s="88">
        <f t="shared" ref="D13:G13" si="2">SUM(D9:D12)</f>
        <v>28444</v>
      </c>
      <c r="E13" s="88">
        <f t="shared" si="2"/>
        <v>27943</v>
      </c>
      <c r="F13" s="88">
        <f t="shared" si="2"/>
        <v>31079</v>
      </c>
      <c r="G13" s="88">
        <f t="shared" si="2"/>
        <v>31195</v>
      </c>
      <c r="I13" s="79" t="s">
        <v>185</v>
      </c>
      <c r="J13" s="93">
        <f>J11*(1-J12)</f>
        <v>3697.545000000001</v>
      </c>
      <c r="K13" s="93">
        <f t="shared" ref="K13:N13" si="3">K11*(1-K12)</f>
        <v>4792.5074999999997</v>
      </c>
      <c r="L13" s="93">
        <f t="shared" si="3"/>
        <v>6085.3724999999977</v>
      </c>
      <c r="M13" s="93">
        <f t="shared" si="3"/>
        <v>6840.7575000000015</v>
      </c>
      <c r="N13" s="93">
        <f t="shared" si="3"/>
        <v>7845.8474999999962</v>
      </c>
    </row>
    <row r="14" spans="1:14" x14ac:dyDescent="0.45">
      <c r="B14" s="73"/>
      <c r="C14" s="86"/>
      <c r="D14" s="86"/>
      <c r="E14" s="86"/>
      <c r="F14" s="86"/>
      <c r="G14" s="86"/>
      <c r="I14" s="79"/>
      <c r="J14" s="93"/>
      <c r="K14" s="93"/>
      <c r="L14" s="93"/>
      <c r="M14" s="93"/>
      <c r="N14" s="93"/>
    </row>
    <row r="15" spans="1:14" x14ac:dyDescent="0.45">
      <c r="B15" s="74" t="s">
        <v>172</v>
      </c>
      <c r="C15" s="86"/>
      <c r="D15" s="86"/>
      <c r="E15" s="86"/>
      <c r="F15" s="86"/>
      <c r="G15" s="86"/>
      <c r="I15" s="79" t="s">
        <v>186</v>
      </c>
      <c r="J15" s="93"/>
      <c r="K15" s="93">
        <f>SUM(K8:K9)</f>
        <v>5540</v>
      </c>
      <c r="L15" s="93">
        <f t="shared" ref="L15:N15" si="4">SUM(L8:L9)</f>
        <v>4079</v>
      </c>
      <c r="M15" s="93">
        <f t="shared" si="4"/>
        <v>2292</v>
      </c>
      <c r="N15" s="93">
        <f t="shared" si="4"/>
        <v>2704</v>
      </c>
    </row>
    <row r="16" spans="1:14" x14ac:dyDescent="0.45">
      <c r="B16" s="75" t="s">
        <v>114</v>
      </c>
      <c r="C16" s="85">
        <v>3584</v>
      </c>
      <c r="D16" s="85">
        <v>3974</v>
      </c>
      <c r="E16" s="85">
        <v>4490</v>
      </c>
      <c r="F16" s="85">
        <v>5682</v>
      </c>
      <c r="G16" s="85">
        <v>5653</v>
      </c>
      <c r="I16" s="78"/>
      <c r="J16" s="78"/>
      <c r="K16" s="78"/>
      <c r="L16" s="78"/>
      <c r="M16" s="78"/>
      <c r="N16" s="78"/>
    </row>
    <row r="17" spans="2:14" ht="14.65" thickBot="1" x14ac:dyDescent="0.5">
      <c r="B17" s="75" t="s">
        <v>115</v>
      </c>
      <c r="C17" s="85">
        <v>53</v>
      </c>
      <c r="D17" s="85">
        <v>47</v>
      </c>
      <c r="E17" s="85">
        <v>29</v>
      </c>
      <c r="F17" s="85">
        <v>41</v>
      </c>
      <c r="G17" s="85">
        <v>43</v>
      </c>
      <c r="I17" s="80" t="s">
        <v>187</v>
      </c>
      <c r="J17" s="80"/>
      <c r="K17" s="81">
        <f>K15/K13</f>
        <v>1.1559710652513324</v>
      </c>
      <c r="L17" s="81">
        <f t="shared" ref="L17:N17" si="5">L15/L13</f>
        <v>0.67029586109971107</v>
      </c>
      <c r="M17" s="81">
        <f t="shared" si="5"/>
        <v>0.33505061391227497</v>
      </c>
      <c r="N17" s="81">
        <f t="shared" si="5"/>
        <v>0.34464090718051826</v>
      </c>
    </row>
    <row r="18" spans="2:14" x14ac:dyDescent="0.45">
      <c r="B18" s="75" t="s">
        <v>116</v>
      </c>
      <c r="C18" s="85">
        <v>7118</v>
      </c>
      <c r="D18" s="85">
        <v>10253</v>
      </c>
      <c r="E18" s="85">
        <v>12901</v>
      </c>
      <c r="F18" s="85">
        <v>8788</v>
      </c>
      <c r="G18" s="85">
        <v>9232</v>
      </c>
    </row>
    <row r="19" spans="2:14" x14ac:dyDescent="0.45">
      <c r="B19" s="76" t="s">
        <v>173</v>
      </c>
      <c r="C19" s="88">
        <f>SUM(C16:C18)</f>
        <v>10755</v>
      </c>
      <c r="D19" s="88">
        <f t="shared" ref="D19:G19" si="6">SUM(D16:D18)</f>
        <v>14274</v>
      </c>
      <c r="E19" s="88">
        <f t="shared" si="6"/>
        <v>17420</v>
      </c>
      <c r="F19" s="88">
        <f t="shared" si="6"/>
        <v>14511</v>
      </c>
      <c r="G19" s="88">
        <f t="shared" si="6"/>
        <v>14928</v>
      </c>
      <c r="M19" s="96" t="s">
        <v>191</v>
      </c>
      <c r="N19" s="97">
        <f>AVERAGE(K17:N17)</f>
        <v>0.62648961186095919</v>
      </c>
    </row>
    <row r="20" spans="2:14" x14ac:dyDescent="0.45">
      <c r="B20" s="73"/>
      <c r="C20" s="86"/>
      <c r="D20" s="86"/>
      <c r="E20" s="86"/>
      <c r="F20" s="86"/>
      <c r="G20" s="86"/>
      <c r="M20" s="96" t="s">
        <v>188</v>
      </c>
      <c r="N20" s="97">
        <f>MEDIAN(K17:N17)</f>
        <v>0.50746838414011464</v>
      </c>
    </row>
    <row r="21" spans="2:14" ht="14.65" thickBot="1" x14ac:dyDescent="0.5">
      <c r="B21" s="77" t="s">
        <v>174</v>
      </c>
      <c r="C21" s="94">
        <f>SUM(C19,C13)</f>
        <v>38251</v>
      </c>
      <c r="D21" s="94">
        <f t="shared" ref="D21:G21" si="7">SUM(D19,D13)</f>
        <v>42718</v>
      </c>
      <c r="E21" s="94">
        <f t="shared" si="7"/>
        <v>45363</v>
      </c>
      <c r="F21" s="94">
        <f t="shared" si="7"/>
        <v>45590</v>
      </c>
      <c r="G21" s="94">
        <f t="shared" si="7"/>
        <v>46123</v>
      </c>
    </row>
    <row r="22" spans="2:14" x14ac:dyDescent="0.45">
      <c r="B22" s="73"/>
      <c r="C22" s="86"/>
      <c r="D22" s="86"/>
      <c r="E22" s="86"/>
      <c r="F22" s="86"/>
      <c r="G22" s="86"/>
      <c r="I22" s="61" t="s">
        <v>190</v>
      </c>
      <c r="J22" s="61"/>
      <c r="K22" s="61"/>
      <c r="L22" s="61"/>
      <c r="M22" s="61"/>
      <c r="N22" s="61"/>
    </row>
    <row r="23" spans="2:14" x14ac:dyDescent="0.45">
      <c r="B23" s="74" t="s">
        <v>175</v>
      </c>
      <c r="C23" s="86"/>
      <c r="D23" s="86"/>
      <c r="E23" s="86"/>
      <c r="F23" s="86"/>
      <c r="G23" s="86"/>
      <c r="I23" s="72" t="s">
        <v>168</v>
      </c>
      <c r="J23" s="71">
        <v>43891</v>
      </c>
      <c r="K23" s="71">
        <v>44256</v>
      </c>
      <c r="L23" s="71">
        <v>44621</v>
      </c>
      <c r="M23" s="71">
        <v>44986</v>
      </c>
      <c r="N23" s="71">
        <v>45352</v>
      </c>
    </row>
    <row r="24" spans="2:14" x14ac:dyDescent="0.45">
      <c r="B24" s="75" t="s">
        <v>119</v>
      </c>
      <c r="C24" s="85">
        <v>686</v>
      </c>
      <c r="D24" s="85">
        <v>642</v>
      </c>
      <c r="E24" s="85">
        <v>862</v>
      </c>
      <c r="F24" s="85">
        <v>898</v>
      </c>
      <c r="G24" s="85">
        <v>1047</v>
      </c>
    </row>
    <row r="25" spans="2:14" x14ac:dyDescent="0.45">
      <c r="B25" s="75" t="s">
        <v>120</v>
      </c>
      <c r="C25" s="85">
        <v>5844</v>
      </c>
      <c r="D25" s="85">
        <v>5937</v>
      </c>
      <c r="E25" s="85">
        <v>6048</v>
      </c>
      <c r="F25" s="85">
        <v>6820</v>
      </c>
      <c r="G25" s="85">
        <v>6803</v>
      </c>
      <c r="I25" s="84" t="s">
        <v>187</v>
      </c>
      <c r="J25" s="84"/>
      <c r="K25" s="91">
        <f>K17</f>
        <v>1.1559710652513324</v>
      </c>
      <c r="L25" s="91">
        <f t="shared" ref="L25:N25" si="8">L17</f>
        <v>0.67029586109971107</v>
      </c>
      <c r="M25" s="91">
        <f t="shared" si="8"/>
        <v>0.33505061391227497</v>
      </c>
      <c r="N25" s="91">
        <f t="shared" si="8"/>
        <v>0.34464090718051826</v>
      </c>
    </row>
    <row r="26" spans="2:14" x14ac:dyDescent="0.45">
      <c r="B26" s="75" t="s">
        <v>121</v>
      </c>
      <c r="C26" s="85">
        <v>10976</v>
      </c>
      <c r="D26" s="85">
        <v>11629</v>
      </c>
      <c r="E26" s="85">
        <v>12363</v>
      </c>
      <c r="F26" s="85">
        <v>13077</v>
      </c>
      <c r="G26" s="85">
        <v>13706</v>
      </c>
      <c r="I26" s="84" t="s">
        <v>179</v>
      </c>
      <c r="J26" s="91">
        <f>C39</f>
        <v>8.068970032242756E-2</v>
      </c>
      <c r="K26" s="91">
        <f t="shared" ref="K26:N26" si="9">D39</f>
        <v>9.9424459312276323E-2</v>
      </c>
      <c r="L26" s="91">
        <f t="shared" si="9"/>
        <v>0.11927191744575757</v>
      </c>
      <c r="M26" s="91">
        <f t="shared" si="9"/>
        <v>0.13094551719187428</v>
      </c>
      <c r="N26" s="91">
        <f t="shared" si="9"/>
        <v>0.15087805581596589</v>
      </c>
    </row>
    <row r="27" spans="2:14" x14ac:dyDescent="0.45">
      <c r="B27" s="75" t="s">
        <v>122</v>
      </c>
      <c r="C27" s="85">
        <v>233</v>
      </c>
      <c r="D27" s="85">
        <v>273</v>
      </c>
      <c r="E27" s="85">
        <v>305</v>
      </c>
      <c r="F27" s="85">
        <v>327</v>
      </c>
      <c r="G27" s="85">
        <v>345</v>
      </c>
      <c r="I27" s="82"/>
      <c r="J27" s="82"/>
      <c r="K27" s="82"/>
      <c r="L27" s="82"/>
      <c r="M27" s="82"/>
      <c r="N27" s="82"/>
    </row>
    <row r="28" spans="2:14" ht="14.65" thickBot="1" x14ac:dyDescent="0.5">
      <c r="B28" s="75" t="s">
        <v>123</v>
      </c>
      <c r="C28" s="85">
        <v>427</v>
      </c>
      <c r="D28" s="85">
        <v>421</v>
      </c>
      <c r="E28" s="85">
        <v>423</v>
      </c>
      <c r="F28" s="85">
        <v>444</v>
      </c>
      <c r="G28" s="85">
        <v>454</v>
      </c>
      <c r="I28" s="89" t="s">
        <v>189</v>
      </c>
      <c r="J28" s="89"/>
      <c r="K28" s="92">
        <f>K25*K26</f>
        <v>0.11493179814324982</v>
      </c>
      <c r="L28" s="92">
        <f t="shared" ref="L28:N28" si="10">L25*L26</f>
        <v>7.9947472609317727E-2</v>
      </c>
      <c r="M28" s="92">
        <f t="shared" si="10"/>
        <v>4.3873375924197835E-2</v>
      </c>
      <c r="N28" s="92">
        <f t="shared" si="10"/>
        <v>5.1998750030047357E-2</v>
      </c>
    </row>
    <row r="29" spans="2:14" x14ac:dyDescent="0.45">
      <c r="B29" s="75" t="s">
        <v>124</v>
      </c>
      <c r="C29" s="85">
        <v>319</v>
      </c>
      <c r="D29" s="85">
        <v>371</v>
      </c>
      <c r="E29" s="85">
        <v>408</v>
      </c>
      <c r="F29" s="85">
        <v>447</v>
      </c>
      <c r="G29" s="85">
        <v>414</v>
      </c>
    </row>
    <row r="30" spans="2:14" x14ac:dyDescent="0.45">
      <c r="B30" s="75" t="s">
        <v>125</v>
      </c>
      <c r="C30" s="85">
        <v>16322</v>
      </c>
      <c r="D30" s="85">
        <v>15934</v>
      </c>
      <c r="E30" s="85">
        <v>6591</v>
      </c>
      <c r="F30" s="85">
        <v>8358</v>
      </c>
      <c r="G30" s="85">
        <v>8599</v>
      </c>
      <c r="M30" s="96" t="s">
        <v>191</v>
      </c>
      <c r="N30" s="97">
        <f>AVERAGE(K28:N28)</f>
        <v>7.2687849176703179E-2</v>
      </c>
    </row>
    <row r="31" spans="2:14" x14ac:dyDescent="0.45">
      <c r="B31" s="75" t="s">
        <v>126</v>
      </c>
      <c r="C31" s="85">
        <v>310</v>
      </c>
      <c r="D31" s="85">
        <v>371</v>
      </c>
      <c r="E31" s="85">
        <v>11707</v>
      </c>
      <c r="F31" s="85">
        <v>12729</v>
      </c>
      <c r="G31" s="85">
        <v>12916</v>
      </c>
      <c r="M31" s="96" t="s">
        <v>188</v>
      </c>
      <c r="N31" s="97">
        <f>MEDIAN(K28:N28)</f>
        <v>6.5973111319682545E-2</v>
      </c>
    </row>
    <row r="32" spans="2:14" x14ac:dyDescent="0.45">
      <c r="B32" s="76" t="s">
        <v>127</v>
      </c>
      <c r="C32" s="88">
        <f>SUM(C24:C31)</f>
        <v>35117</v>
      </c>
      <c r="D32" s="88">
        <f>SUM(D24:D31)</f>
        <v>35578</v>
      </c>
      <c r="E32" s="88">
        <f>SUM(E24:E31)</f>
        <v>38707</v>
      </c>
      <c r="F32" s="88">
        <f>SUM(F24:F31)</f>
        <v>43100</v>
      </c>
      <c r="G32" s="88">
        <f>SUM(G24:G31)</f>
        <v>44284</v>
      </c>
    </row>
    <row r="33" spans="2:7" x14ac:dyDescent="0.45">
      <c r="B33" s="73" t="s">
        <v>128</v>
      </c>
      <c r="C33" s="86">
        <v>12269</v>
      </c>
      <c r="D33" s="86">
        <v>14026</v>
      </c>
      <c r="E33" s="86">
        <v>16042</v>
      </c>
      <c r="F33" s="86">
        <v>19035</v>
      </c>
      <c r="G33" s="86">
        <v>21072</v>
      </c>
    </row>
    <row r="34" spans="2:7" ht="14.65" thickBot="1" x14ac:dyDescent="0.5">
      <c r="B34" s="77" t="s">
        <v>176</v>
      </c>
      <c r="C34" s="90">
        <f>C32-C33</f>
        <v>22848</v>
      </c>
      <c r="D34" s="90">
        <f t="shared" ref="D34:G34" si="11">D32-D33</f>
        <v>21552</v>
      </c>
      <c r="E34" s="90">
        <f t="shared" si="11"/>
        <v>22665</v>
      </c>
      <c r="F34" s="90">
        <f t="shared" si="11"/>
        <v>24065</v>
      </c>
      <c r="G34" s="90">
        <f t="shared" si="11"/>
        <v>23212</v>
      </c>
    </row>
    <row r="35" spans="2:7" x14ac:dyDescent="0.45">
      <c r="B35" s="73"/>
      <c r="C35" s="86"/>
      <c r="D35" s="86"/>
      <c r="E35" s="86"/>
      <c r="F35" s="86"/>
      <c r="G35" s="86"/>
    </row>
    <row r="36" spans="2:7" x14ac:dyDescent="0.45">
      <c r="B36" s="74" t="s">
        <v>177</v>
      </c>
      <c r="C36" s="87">
        <f>SUM(C34,C21)</f>
        <v>61099</v>
      </c>
      <c r="D36" s="87">
        <f t="shared" ref="D36:G36" si="12">SUM(D34,D21)</f>
        <v>64270</v>
      </c>
      <c r="E36" s="87">
        <f t="shared" si="12"/>
        <v>68028</v>
      </c>
      <c r="F36" s="87">
        <f t="shared" si="12"/>
        <v>69655</v>
      </c>
      <c r="G36" s="87">
        <f t="shared" si="12"/>
        <v>69335</v>
      </c>
    </row>
    <row r="37" spans="2:7" x14ac:dyDescent="0.45">
      <c r="B37" s="74" t="s">
        <v>178</v>
      </c>
      <c r="C37" s="87">
        <v>4930.0600000000013</v>
      </c>
      <c r="D37" s="87">
        <v>6390.0099999999993</v>
      </c>
      <c r="E37" s="87">
        <v>8113.8299999999963</v>
      </c>
      <c r="F37" s="87">
        <v>9121.010000000002</v>
      </c>
      <c r="G37" s="87">
        <v>10461.129999999996</v>
      </c>
    </row>
    <row r="38" spans="2:7" x14ac:dyDescent="0.45">
      <c r="B38" s="66"/>
      <c r="C38" s="66"/>
      <c r="D38" s="73"/>
      <c r="E38" s="73"/>
      <c r="F38" s="73"/>
      <c r="G38" s="73"/>
    </row>
    <row r="39" spans="2:7" ht="14.65" thickBot="1" x14ac:dyDescent="0.5">
      <c r="B39" s="77" t="s">
        <v>179</v>
      </c>
      <c r="C39" s="95">
        <f>C37/C36</f>
        <v>8.068970032242756E-2</v>
      </c>
      <c r="D39" s="95">
        <f t="shared" ref="D39:G39" si="13">D37/D36</f>
        <v>9.9424459312276323E-2</v>
      </c>
      <c r="E39" s="95">
        <f t="shared" si="13"/>
        <v>0.11927191744575757</v>
      </c>
      <c r="F39" s="95">
        <f t="shared" si="13"/>
        <v>0.13094551719187428</v>
      </c>
      <c r="G39" s="95">
        <f t="shared" si="13"/>
        <v>0.15087805581596589</v>
      </c>
    </row>
  </sheetData>
  <mergeCells count="3">
    <mergeCell ref="B5:G5"/>
    <mergeCell ref="I5:N5"/>
    <mergeCell ref="I22:N22"/>
  </mergeCells>
  <printOptions verticalCentered="1"/>
  <pageMargins left="0.62992125984251968" right="0.39370078740157483" top="0" bottom="0.47244094488188981" header="0" footer="0"/>
  <pageSetup scale="78" orientation="landscape" r:id="rId1"/>
  <ignoredErrors>
    <ignoredError sqref="J8:N8" formulaRange="1"/>
  </ignoredError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D4065-640F-43A0-9A00-0A5A72C39398}">
  <dimension ref="A1:K47"/>
  <sheetViews>
    <sheetView showGridLines="0" tabSelected="1" zoomScale="79" workbookViewId="0">
      <selection activeCell="K12" sqref="K12"/>
    </sheetView>
  </sheetViews>
  <sheetFormatPr defaultRowHeight="14.25" x14ac:dyDescent="0.45"/>
  <cols>
    <col min="1" max="1" width="2.1328125" customWidth="1"/>
    <col min="2" max="2" width="24.6640625" customWidth="1"/>
    <col min="3" max="3" width="15.86328125" style="102" bestFit="1" customWidth="1"/>
    <col min="5" max="5" width="11.73046875" bestFit="1" customWidth="1"/>
    <col min="6" max="9" width="10" bestFit="1" customWidth="1"/>
  </cols>
  <sheetData>
    <row r="1" spans="1:9" x14ac:dyDescent="0.45">
      <c r="A1" s="82"/>
      <c r="B1" s="83"/>
      <c r="C1" s="103"/>
    </row>
    <row r="2" spans="1:9" x14ac:dyDescent="0.45">
      <c r="A2" s="82"/>
      <c r="B2" s="83"/>
      <c r="C2" s="103"/>
    </row>
    <row r="3" spans="1:9" x14ac:dyDescent="0.45">
      <c r="A3" s="82"/>
      <c r="B3" s="83"/>
      <c r="C3" s="103"/>
    </row>
    <row r="4" spans="1:9" x14ac:dyDescent="0.45">
      <c r="A4" s="82"/>
      <c r="B4" s="83"/>
      <c r="C4" s="103"/>
    </row>
    <row r="5" spans="1:9" s="124" customFormat="1" ht="18" x14ac:dyDescent="0.55000000000000004">
      <c r="B5" s="143" t="s">
        <v>222</v>
      </c>
      <c r="C5" s="143"/>
      <c r="D5" s="143"/>
      <c r="E5" s="143"/>
      <c r="F5" s="143"/>
      <c r="G5" s="143"/>
      <c r="H5" s="143"/>
      <c r="I5" s="143"/>
    </row>
    <row r="6" spans="1:9" s="124" customFormat="1" x14ac:dyDescent="0.45">
      <c r="B6" s="126"/>
      <c r="C6" s="126"/>
    </row>
    <row r="7" spans="1:9" x14ac:dyDescent="0.45">
      <c r="B7" s="61" t="s">
        <v>192</v>
      </c>
      <c r="C7" s="61"/>
      <c r="D7" s="61"/>
      <c r="E7" s="61"/>
      <c r="F7" s="61"/>
      <c r="G7" s="61"/>
      <c r="H7" s="61"/>
      <c r="I7" s="61"/>
    </row>
    <row r="8" spans="1:9" x14ac:dyDescent="0.45">
      <c r="B8" s="72" t="s">
        <v>168</v>
      </c>
      <c r="C8" s="72"/>
      <c r="D8" s="28" t="s">
        <v>196</v>
      </c>
      <c r="E8" s="28" t="s">
        <v>193</v>
      </c>
      <c r="F8" s="28" t="s">
        <v>194</v>
      </c>
      <c r="G8" s="28" t="s">
        <v>195</v>
      </c>
      <c r="H8" s="28" t="s">
        <v>197</v>
      </c>
      <c r="I8" s="28" t="s">
        <v>198</v>
      </c>
    </row>
    <row r="10" spans="1:9" x14ac:dyDescent="0.45">
      <c r="B10" s="104" t="s">
        <v>178</v>
      </c>
      <c r="C10" s="104"/>
      <c r="D10" s="138">
        <f>growth!N11</f>
        <v>10461.129999999996</v>
      </c>
      <c r="E10" s="119">
        <f>D10*(1+$C$20)</f>
        <v>11151.564579999997</v>
      </c>
      <c r="F10" s="119">
        <f t="shared" ref="F10:I10" si="0">E10*(1+$C$20)</f>
        <v>11887.567842279997</v>
      </c>
      <c r="G10" s="119">
        <f t="shared" si="0"/>
        <v>12672.147319870477</v>
      </c>
      <c r="H10" s="119">
        <f t="shared" si="0"/>
        <v>13508.50904298193</v>
      </c>
      <c r="I10" s="119">
        <f t="shared" si="0"/>
        <v>14400.070639818738</v>
      </c>
    </row>
    <row r="11" spans="1:9" x14ac:dyDescent="0.45">
      <c r="B11" s="104" t="s">
        <v>82</v>
      </c>
      <c r="C11" s="104"/>
      <c r="D11" s="139">
        <v>0.25</v>
      </c>
      <c r="E11" s="106">
        <v>0.25</v>
      </c>
      <c r="F11" s="106">
        <v>0.25</v>
      </c>
      <c r="G11" s="106">
        <v>0.25</v>
      </c>
      <c r="H11" s="106">
        <v>0.25</v>
      </c>
      <c r="I11" s="106">
        <v>0.25</v>
      </c>
    </row>
    <row r="12" spans="1:9" x14ac:dyDescent="0.45">
      <c r="B12" s="104" t="s">
        <v>185</v>
      </c>
      <c r="C12" s="104"/>
      <c r="D12" s="138">
        <f>D10*(1-D11)</f>
        <v>7845.8474999999962</v>
      </c>
      <c r="E12" s="119">
        <f t="shared" ref="E12:I12" si="1">E10*(1-E11)</f>
        <v>8363.673434999997</v>
      </c>
      <c r="F12" s="119">
        <f t="shared" si="1"/>
        <v>8915.6758817099981</v>
      </c>
      <c r="G12" s="119">
        <f t="shared" si="1"/>
        <v>9504.1104899028578</v>
      </c>
      <c r="H12" s="119">
        <f t="shared" si="1"/>
        <v>10131.381782236447</v>
      </c>
      <c r="I12" s="119">
        <f t="shared" si="1"/>
        <v>10800.052979864053</v>
      </c>
    </row>
    <row r="13" spans="1:9" x14ac:dyDescent="0.45">
      <c r="B13" s="104" t="s">
        <v>199</v>
      </c>
      <c r="C13" s="104"/>
      <c r="D13" s="140">
        <v>0.50749999999999995</v>
      </c>
      <c r="E13" s="106">
        <f>D13+(($I$13-$D$13)/4)</f>
        <v>0.62805</v>
      </c>
      <c r="F13" s="106">
        <f t="shared" ref="F13:H13" si="2">E13+(($I$13-$D$13)/4)</f>
        <v>0.74860000000000004</v>
      </c>
      <c r="G13" s="106">
        <f t="shared" si="2"/>
        <v>0.86915000000000009</v>
      </c>
      <c r="H13" s="106">
        <f t="shared" si="2"/>
        <v>0.98970000000000014</v>
      </c>
      <c r="I13" s="106">
        <v>0.98970000000000002</v>
      </c>
    </row>
    <row r="14" spans="1:9" x14ac:dyDescent="0.45">
      <c r="B14" s="104" t="s">
        <v>200</v>
      </c>
      <c r="C14" s="104"/>
      <c r="D14" s="138">
        <f>D12*(1-D13)</f>
        <v>3864.0798937499985</v>
      </c>
      <c r="E14" s="119">
        <f t="shared" ref="E14:I14" si="3">E12*(1-E13)</f>
        <v>3110.8683341482488</v>
      </c>
      <c r="F14" s="119">
        <f t="shared" si="3"/>
        <v>2241.400916661893</v>
      </c>
      <c r="G14" s="119">
        <f t="shared" si="3"/>
        <v>1243.6128576037881</v>
      </c>
      <c r="H14" s="119">
        <f t="shared" si="3"/>
        <v>104.35323235703403</v>
      </c>
      <c r="I14" s="119">
        <f t="shared" si="3"/>
        <v>111.24054569259948</v>
      </c>
    </row>
    <row r="15" spans="1:9" x14ac:dyDescent="0.45">
      <c r="B15" s="104" t="s">
        <v>201</v>
      </c>
      <c r="C15" s="104"/>
      <c r="D15" s="141"/>
      <c r="E15" s="100">
        <v>0.5</v>
      </c>
      <c r="F15" s="104">
        <f>E15+1</f>
        <v>1.5</v>
      </c>
      <c r="G15" s="104">
        <f t="shared" ref="G15:I15" si="4">F15+1</f>
        <v>2.5</v>
      </c>
      <c r="H15" s="104">
        <f t="shared" si="4"/>
        <v>3.5</v>
      </c>
      <c r="I15" s="104">
        <f t="shared" si="4"/>
        <v>4.5</v>
      </c>
    </row>
    <row r="16" spans="1:9" x14ac:dyDescent="0.45">
      <c r="B16" s="104" t="s">
        <v>202</v>
      </c>
      <c r="C16" s="104"/>
      <c r="D16" s="141"/>
      <c r="E16" s="107">
        <f>1/(1+$C$22)^E15</f>
        <v>0.96682685091799681</v>
      </c>
      <c r="F16" s="107">
        <f t="shared" ref="F16:I16" si="5">1/(1+$C$22)^F15</f>
        <v>0.90374542056271889</v>
      </c>
      <c r="G16" s="107">
        <f t="shared" si="5"/>
        <v>0.84477979114107205</v>
      </c>
      <c r="H16" s="107">
        <f t="shared" si="5"/>
        <v>0.78966142376245285</v>
      </c>
      <c r="I16" s="107">
        <f t="shared" si="5"/>
        <v>0.7381393005818403</v>
      </c>
    </row>
    <row r="17" spans="2:11" x14ac:dyDescent="0.45">
      <c r="B17" s="102"/>
      <c r="D17" s="102"/>
      <c r="E17" s="102"/>
      <c r="F17" s="102"/>
      <c r="G17" s="102"/>
      <c r="H17" s="102"/>
      <c r="I17" s="102"/>
    </row>
    <row r="18" spans="2:11" ht="14.65" thickBot="1" x14ac:dyDescent="0.5">
      <c r="B18" s="105" t="s">
        <v>203</v>
      </c>
      <c r="C18" s="105"/>
      <c r="D18" s="105"/>
      <c r="E18" s="108">
        <f>E14*E16</f>
        <v>3007.6710351250658</v>
      </c>
      <c r="F18" s="108">
        <f t="shared" ref="F18:I18" si="6">F14*F16</f>
        <v>2025.6558140782661</v>
      </c>
      <c r="G18" s="108">
        <f t="shared" si="6"/>
        <v>1050.5790101068799</v>
      </c>
      <c r="H18" s="108">
        <f t="shared" si="6"/>
        <v>82.40372203726956</v>
      </c>
      <c r="I18" s="108">
        <f t="shared" si="6"/>
        <v>82.111018593877631</v>
      </c>
    </row>
    <row r="20" spans="2:11" x14ac:dyDescent="0.45">
      <c r="B20" s="101" t="s">
        <v>204</v>
      </c>
      <c r="C20" s="99">
        <v>6.6000000000000003E-2</v>
      </c>
    </row>
    <row r="21" spans="2:11" x14ac:dyDescent="0.45">
      <c r="B21" s="101" t="s">
        <v>205</v>
      </c>
      <c r="C21" s="99">
        <v>6.3299999999999995E-2</v>
      </c>
    </row>
    <row r="22" spans="2:11" x14ac:dyDescent="0.45">
      <c r="B22" s="101" t="s">
        <v>99</v>
      </c>
      <c r="C22" s="99">
        <v>6.9800000000000001E-2</v>
      </c>
    </row>
    <row r="24" spans="2:11" ht="14.65" thickBot="1" x14ac:dyDescent="0.5">
      <c r="B24" s="70" t="s">
        <v>216</v>
      </c>
      <c r="C24" s="70"/>
      <c r="E24" s="135" t="s">
        <v>220</v>
      </c>
      <c r="F24" s="136"/>
      <c r="G24" s="136"/>
      <c r="H24" s="136"/>
      <c r="I24" s="136"/>
    </row>
    <row r="25" spans="2:11" x14ac:dyDescent="0.45">
      <c r="C25" s="102" t="s">
        <v>180</v>
      </c>
      <c r="E25" s="131">
        <f>C30</f>
        <v>18243.4494935863</v>
      </c>
      <c r="F25" s="132">
        <v>0.06</v>
      </c>
      <c r="G25" s="132">
        <v>6.9800000000000001E-2</v>
      </c>
      <c r="H25" s="132">
        <v>7.3499999999999996E-2</v>
      </c>
      <c r="I25" s="133">
        <v>8.2299999999999998E-2</v>
      </c>
    </row>
    <row r="26" spans="2:11" x14ac:dyDescent="0.45">
      <c r="B26" s="112" t="s">
        <v>206</v>
      </c>
      <c r="C26" s="120">
        <f>I14*(1+C20)</f>
        <v>118.58242170831106</v>
      </c>
      <c r="E26" s="123">
        <v>0.05</v>
      </c>
      <c r="F26" s="111">
        <f t="dataTable" ref="F26:I30" dt2D="1" dtr="1" r1="C22" r2="C21"/>
        <v>11858.242170831112</v>
      </c>
      <c r="G26" s="111">
        <v>5989.0111973894482</v>
      </c>
      <c r="H26" s="111">
        <v>5046.0604982260038</v>
      </c>
      <c r="I26" s="127">
        <v>3671.2824058300644</v>
      </c>
    </row>
    <row r="27" spans="2:11" x14ac:dyDescent="0.45">
      <c r="B27" s="112" t="s">
        <v>99</v>
      </c>
      <c r="C27" s="113">
        <f>C22</f>
        <v>6.9800000000000001E-2</v>
      </c>
      <c r="E27" s="123">
        <v>6.3299999999999995E-2</v>
      </c>
      <c r="F27" s="111">
        <v>-35934.067184336716</v>
      </c>
      <c r="G27" s="142">
        <v>18243.4494935863</v>
      </c>
      <c r="H27" s="111">
        <v>11625.727618461868</v>
      </c>
      <c r="I27" s="127">
        <v>6241.1800899111076</v>
      </c>
    </row>
    <row r="28" spans="2:11" x14ac:dyDescent="0.45">
      <c r="B28" s="112" t="s">
        <v>207</v>
      </c>
      <c r="C28" s="113">
        <f>C21</f>
        <v>6.3299999999999995E-2</v>
      </c>
      <c r="E28" s="123">
        <v>0.08</v>
      </c>
      <c r="F28" s="111">
        <v>-5929.1210854155515</v>
      </c>
      <c r="G28" s="111">
        <v>-11625.727618461868</v>
      </c>
      <c r="H28" s="111">
        <v>-18243.4494935863</v>
      </c>
      <c r="I28" s="127">
        <v>51557.574655787495</v>
      </c>
    </row>
    <row r="29" spans="2:11" x14ac:dyDescent="0.45">
      <c r="B29" s="112"/>
      <c r="C29" s="112"/>
      <c r="E29" s="123">
        <v>0.09</v>
      </c>
      <c r="F29" s="111">
        <v>-3952.7473902770353</v>
      </c>
      <c r="G29" s="111">
        <v>-5870.4169162530243</v>
      </c>
      <c r="H29" s="111">
        <v>-7186.8134368673363</v>
      </c>
      <c r="I29" s="127">
        <v>-15400.314507572868</v>
      </c>
    </row>
    <row r="30" spans="2:11" ht="14.65" thickBot="1" x14ac:dyDescent="0.5">
      <c r="B30" s="114" t="s">
        <v>208</v>
      </c>
      <c r="C30" s="121">
        <f>C26/(C27-C28)</f>
        <v>18243.4494935863</v>
      </c>
      <c r="E30" s="128">
        <v>0.11</v>
      </c>
      <c r="F30" s="129">
        <v>-2371.6484341662213</v>
      </c>
      <c r="G30" s="129">
        <v>-2949.8114852813696</v>
      </c>
      <c r="H30" s="129">
        <v>-3248.8334714605767</v>
      </c>
      <c r="I30" s="130">
        <v>-4280.9538522855973</v>
      </c>
    </row>
    <row r="31" spans="2:11" x14ac:dyDescent="0.45">
      <c r="C31" s="111"/>
    </row>
    <row r="32" spans="2:11" x14ac:dyDescent="0.45">
      <c r="C32" s="111"/>
      <c r="K32" t="s">
        <v>180</v>
      </c>
    </row>
    <row r="33" spans="2:9" ht="14.65" thickBot="1" x14ac:dyDescent="0.5">
      <c r="B33" s="70" t="s">
        <v>217</v>
      </c>
      <c r="C33" s="122"/>
      <c r="E33" s="135" t="s">
        <v>221</v>
      </c>
      <c r="F33" s="136"/>
      <c r="G33" s="136"/>
      <c r="H33" s="72"/>
      <c r="I33" s="72"/>
    </row>
    <row r="34" spans="2:9" x14ac:dyDescent="0.45">
      <c r="C34" s="111"/>
      <c r="E34" s="134">
        <f>C44</f>
        <v>134.07022920655047</v>
      </c>
      <c r="F34" s="132">
        <v>0.06</v>
      </c>
      <c r="G34" s="132">
        <v>6.9800000000000001E-2</v>
      </c>
      <c r="H34" s="132">
        <v>7.3499999999999996E-2</v>
      </c>
      <c r="I34" s="133">
        <v>8.2299999999999998E-2</v>
      </c>
    </row>
    <row r="35" spans="2:9" x14ac:dyDescent="0.45">
      <c r="B35" s="115" t="s">
        <v>203</v>
      </c>
      <c r="C35" s="111">
        <f>SUM(E18:I18)</f>
        <v>6248.4205999413589</v>
      </c>
      <c r="E35" s="123">
        <v>0.05</v>
      </c>
      <c r="F35" s="111">
        <f t="dataTable" ref="F35:I39" dt2D="1" dtr="1" r1="C22" r2="C21" ca="1"/>
        <v>107.7602249204505</v>
      </c>
      <c r="G35" s="111">
        <v>82.995172747596399</v>
      </c>
      <c r="H35" s="111">
        <v>78.952798717880341</v>
      </c>
      <c r="I35" s="127">
        <v>72.960261391361783</v>
      </c>
    </row>
    <row r="36" spans="2:9" x14ac:dyDescent="0.45">
      <c r="B36" s="115" t="s">
        <v>209</v>
      </c>
      <c r="C36" s="111">
        <f>C30</f>
        <v>18243.4494935863</v>
      </c>
      <c r="E36" s="123">
        <v>6.3299999999999995E-2</v>
      </c>
      <c r="F36" s="111">
        <v>-91.432495269470834</v>
      </c>
      <c r="G36" s="142">
        <v>134.07022920655047</v>
      </c>
      <c r="H36" s="111">
        <v>106.37607684164919</v>
      </c>
      <c r="I36" s="127">
        <v>83.671292459094204</v>
      </c>
    </row>
    <row r="37" spans="2:9" x14ac:dyDescent="0.45">
      <c r="B37" s="116" t="s">
        <v>210</v>
      </c>
      <c r="C37" s="110">
        <f>SUM(C35:C36)</f>
        <v>24491.870093527657</v>
      </c>
      <c r="E37" s="123">
        <v>0.08</v>
      </c>
      <c r="F37" s="111">
        <v>33.624588458788082</v>
      </c>
      <c r="G37" s="111">
        <v>9.5790146354332162</v>
      </c>
      <c r="H37" s="111">
        <v>-18.115137729468074</v>
      </c>
      <c r="I37" s="127">
        <v>272.54469122488587</v>
      </c>
    </row>
    <row r="38" spans="2:9" x14ac:dyDescent="0.45">
      <c r="B38" s="115"/>
      <c r="C38" s="115"/>
      <c r="E38" s="123">
        <v>0.09</v>
      </c>
      <c r="F38" s="111">
        <v>41.861881398972798</v>
      </c>
      <c r="G38" s="111">
        <v>33.566472236437029</v>
      </c>
      <c r="H38" s="111">
        <v>27.967619977858913</v>
      </c>
      <c r="I38" s="127">
        <v>-6.5279097977472578</v>
      </c>
    </row>
    <row r="39" spans="2:9" ht="14.65" thickBot="1" x14ac:dyDescent="0.5">
      <c r="B39" s="115" t="s">
        <v>211</v>
      </c>
      <c r="C39" s="111">
        <v>10520.6</v>
      </c>
      <c r="E39" s="128">
        <v>0.11</v>
      </c>
      <c r="F39" s="129">
        <v>48.45171575112056</v>
      </c>
      <c r="G39" s="129">
        <v>45.739211914558368</v>
      </c>
      <c r="H39" s="129">
        <v>44.380656969509637</v>
      </c>
      <c r="I39" s="130">
        <v>39.816276653664694</v>
      </c>
    </row>
    <row r="40" spans="2:9" x14ac:dyDescent="0.45">
      <c r="B40" s="115" t="s">
        <v>212</v>
      </c>
      <c r="C40" s="111">
        <f>SUM(Sheet1!N7:N8)</f>
        <v>2845</v>
      </c>
    </row>
    <row r="41" spans="2:9" x14ac:dyDescent="0.45">
      <c r="B41" s="116" t="s">
        <v>213</v>
      </c>
      <c r="C41" s="110">
        <f>C37+C39-C40</f>
        <v>32167.470093527656</v>
      </c>
    </row>
    <row r="42" spans="2:9" x14ac:dyDescent="0.45">
      <c r="B42" s="115" t="s">
        <v>214</v>
      </c>
      <c r="C42" s="109">
        <v>239.93</v>
      </c>
    </row>
    <row r="43" spans="2:9" x14ac:dyDescent="0.45">
      <c r="B43" s="115"/>
      <c r="C43" s="115"/>
    </row>
    <row r="44" spans="2:9" ht="14.65" thickBot="1" x14ac:dyDescent="0.5">
      <c r="B44" s="117" t="s">
        <v>215</v>
      </c>
      <c r="C44" s="118">
        <f>C41/C42</f>
        <v>134.07022920655047</v>
      </c>
    </row>
    <row r="46" spans="2:9" x14ac:dyDescent="0.45">
      <c r="B46" t="s">
        <v>218</v>
      </c>
      <c r="C46" s="125">
        <v>1200</v>
      </c>
    </row>
    <row r="47" spans="2:9" x14ac:dyDescent="0.45">
      <c r="B47" s="124" t="s">
        <v>219</v>
      </c>
      <c r="C47" s="137">
        <f>C46/C44</f>
        <v>8.9505329192155205</v>
      </c>
    </row>
  </sheetData>
  <mergeCells count="2">
    <mergeCell ref="B7:I7"/>
    <mergeCell ref="B5:I5"/>
  </mergeCells>
  <printOptions verticalCentered="1"/>
  <pageMargins left="0.70866141732283472" right="0.70866141732283472" top="0.39370078740157483" bottom="0.98425196850393704" header="0.31496062992125984" footer="0.31496062992125984"/>
  <pageSetup scale="85" orientation="portrait" r:id="rId1"/>
  <ignoredErrors>
    <ignoredError sqref="C40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SUNPHARMA.NS (1)</vt:lpstr>
      <vt:lpstr>NIFTY</vt:lpstr>
      <vt:lpstr>b reg</vt:lpstr>
      <vt:lpstr>ROM</vt:lpstr>
      <vt:lpstr>Sheet4</vt:lpstr>
      <vt:lpstr>WACC</vt:lpstr>
      <vt:lpstr>Sheet1</vt:lpstr>
      <vt:lpstr>growth</vt:lpstr>
      <vt:lpstr>DCF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 saini</dc:creator>
  <cp:lastModifiedBy>udit saini</cp:lastModifiedBy>
  <cp:lastPrinted>2024-07-23T20:23:58Z</cp:lastPrinted>
  <dcterms:created xsi:type="dcterms:W3CDTF">2024-07-22T11:57:00Z</dcterms:created>
  <dcterms:modified xsi:type="dcterms:W3CDTF">2024-07-23T20:25:48Z</dcterms:modified>
</cp:coreProperties>
</file>