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codeName="ThisWorkbook"/>
  <mc:AlternateContent xmlns:mc="http://schemas.openxmlformats.org/markup-compatibility/2006">
    <mc:Choice Requires="x15">
      <x15ac:absPath xmlns:x15ac="http://schemas.microsoft.com/office/spreadsheetml/2010/11/ac" url="C:\Users\Udit Saini\Desktop\SUN PHARMA\"/>
    </mc:Choice>
  </mc:AlternateContent>
  <xr:revisionPtr revIDLastSave="0" documentId="8_{396951F7-BC83-4F1E-801B-73BF9F2922F0}" xr6:coauthVersionLast="47" xr6:coauthVersionMax="47" xr10:uidLastSave="{00000000-0000-0000-0000-000000000000}"/>
  <bookViews>
    <workbookView xWindow="-98" yWindow="-98" windowWidth="21795" windowHeight="12975" firstSheet="2" activeTab="9" xr2:uid="{00000000-000D-0000-FFFF-FFFF00000000}"/>
  </bookViews>
  <sheets>
    <sheet name="Profit &amp; Loss" sheetId="1" r:id="rId1"/>
    <sheet name="Quarters" sheetId="3" r:id="rId2"/>
    <sheet name="Balance Sheet" sheetId="2" r:id="rId3"/>
    <sheet name="Cash Flow" sheetId="4" r:id="rId4"/>
    <sheet name="Customization" sheetId="5" r:id="rId5"/>
    <sheet name="Data Sheet" sheetId="6" r:id="rId6"/>
    <sheet name="fs" sheetId="8" r:id="rId7"/>
    <sheet name="cmnsize" sheetId="9" r:id="rId8"/>
    <sheet name="dupont" sheetId="10" r:id="rId9"/>
    <sheet name="altzman" sheetId="11" r:id="rId10"/>
  </sheets>
  <definedNames>
    <definedName name="UPDATE">'Data Sheet'!$E$1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36" i="11" l="1"/>
  <c r="H36" i="11"/>
  <c r="G36" i="11"/>
  <c r="F36" i="11"/>
  <c r="E36" i="11"/>
  <c r="D36" i="11"/>
  <c r="C36" i="11"/>
  <c r="C31" i="11"/>
  <c r="I29" i="11"/>
  <c r="I31" i="11" s="1"/>
  <c r="H29" i="11"/>
  <c r="G29" i="11"/>
  <c r="F29" i="11"/>
  <c r="E29" i="11"/>
  <c r="D29" i="11"/>
  <c r="C29" i="11"/>
  <c r="I30" i="11"/>
  <c r="H30" i="11"/>
  <c r="H31" i="11" s="1"/>
  <c r="G30" i="11"/>
  <c r="G31" i="11" s="1"/>
  <c r="F30" i="11"/>
  <c r="F31" i="11" s="1"/>
  <c r="E30" i="11"/>
  <c r="E31" i="11" s="1"/>
  <c r="D30" i="11"/>
  <c r="D31" i="11" s="1"/>
  <c r="C30" i="11"/>
  <c r="I22" i="11" l="1"/>
  <c r="H22" i="11"/>
  <c r="G22" i="11"/>
  <c r="F22" i="11"/>
  <c r="E22" i="11"/>
  <c r="D22" i="11"/>
  <c r="C22" i="11"/>
  <c r="I15" i="11"/>
  <c r="I17" i="11" s="1"/>
  <c r="H15" i="11"/>
  <c r="H17" i="11" s="1"/>
  <c r="G15" i="11"/>
  <c r="G17" i="11" s="1"/>
  <c r="F15" i="11"/>
  <c r="F17" i="11" s="1"/>
  <c r="E15" i="11"/>
  <c r="D15" i="11"/>
  <c r="C15" i="11"/>
  <c r="I9" i="11"/>
  <c r="I16" i="11" s="1"/>
  <c r="H9" i="11"/>
  <c r="H16" i="11" s="1"/>
  <c r="G9" i="11"/>
  <c r="G16" i="11" s="1"/>
  <c r="F9" i="11"/>
  <c r="F16" i="11" s="1"/>
  <c r="E9" i="11"/>
  <c r="E16" i="11" s="1"/>
  <c r="D9" i="11"/>
  <c r="D16" i="11" s="1"/>
  <c r="C9" i="11"/>
  <c r="C16" i="11" s="1"/>
  <c r="I8" i="11"/>
  <c r="I10" i="11" s="1"/>
  <c r="H8" i="11"/>
  <c r="H10" i="11" s="1"/>
  <c r="G8" i="11"/>
  <c r="F8" i="11"/>
  <c r="F10" i="11" s="1"/>
  <c r="E8" i="11"/>
  <c r="D8" i="11"/>
  <c r="C8" i="11"/>
  <c r="C10" i="11" s="1"/>
  <c r="G10" i="11"/>
  <c r="F43" i="11" l="1"/>
  <c r="F44" i="11" s="1"/>
  <c r="C37" i="11"/>
  <c r="C38" i="11" s="1"/>
  <c r="C23" i="11"/>
  <c r="C24" i="11" s="1"/>
  <c r="D37" i="11"/>
  <c r="D38" i="11" s="1"/>
  <c r="D23" i="11"/>
  <c r="D24" i="11" s="1"/>
  <c r="E37" i="11"/>
  <c r="E38" i="11" s="1"/>
  <c r="E23" i="11"/>
  <c r="E24" i="11" s="1"/>
  <c r="F37" i="11"/>
  <c r="F38" i="11" s="1"/>
  <c r="F23" i="11"/>
  <c r="F24" i="11" s="1"/>
  <c r="G37" i="11"/>
  <c r="G38" i="11" s="1"/>
  <c r="G43" i="11" s="1"/>
  <c r="G44" i="11" s="1"/>
  <c r="G23" i="11"/>
  <c r="G24" i="11" s="1"/>
  <c r="H37" i="11"/>
  <c r="H38" i="11" s="1"/>
  <c r="H23" i="11"/>
  <c r="H24" i="11" s="1"/>
  <c r="H43" i="11" s="1"/>
  <c r="H44" i="11" s="1"/>
  <c r="I37" i="11"/>
  <c r="I38" i="11" s="1"/>
  <c r="I23" i="11"/>
  <c r="I24" i="11" s="1"/>
  <c r="I43" i="11" s="1"/>
  <c r="I44" i="11" s="1"/>
  <c r="E10" i="11"/>
  <c r="E17" i="11"/>
  <c r="D17" i="11"/>
  <c r="C17" i="11"/>
  <c r="C43" i="11" s="1"/>
  <c r="C44" i="11" s="1"/>
  <c r="D10" i="11"/>
  <c r="D43" i="11" s="1"/>
  <c r="D44" i="11" s="1"/>
  <c r="E43" i="11" l="1"/>
  <c r="E44" i="11" s="1"/>
  <c r="I98" i="10"/>
  <c r="I100" i="10" s="1"/>
  <c r="H98" i="10"/>
  <c r="H100" i="10" s="1"/>
  <c r="G98" i="10"/>
  <c r="G100" i="10" s="1"/>
  <c r="F98" i="10"/>
  <c r="F100" i="10" s="1"/>
  <c r="E98" i="10"/>
  <c r="E100" i="10" s="1"/>
  <c r="D98" i="10"/>
  <c r="D100" i="10" s="1"/>
  <c r="C98" i="10"/>
  <c r="C100" i="10" s="1"/>
  <c r="I94" i="10"/>
  <c r="I96" i="10" s="1"/>
  <c r="I102" i="10" s="1"/>
  <c r="H94" i="10"/>
  <c r="H96" i="10" s="1"/>
  <c r="H102" i="10" s="1"/>
  <c r="G94" i="10"/>
  <c r="G96" i="10" s="1"/>
  <c r="F94" i="10"/>
  <c r="F96" i="10" s="1"/>
  <c r="E94" i="10"/>
  <c r="E96" i="10" s="1"/>
  <c r="D94" i="10"/>
  <c r="D96" i="10" s="1"/>
  <c r="C94" i="10"/>
  <c r="C96" i="10" s="1"/>
  <c r="I89" i="10"/>
  <c r="H89" i="10"/>
  <c r="G89" i="10"/>
  <c r="F89" i="10"/>
  <c r="E89" i="10"/>
  <c r="D89" i="10"/>
  <c r="C89" i="10"/>
  <c r="I81" i="10"/>
  <c r="H81" i="10"/>
  <c r="G81" i="10"/>
  <c r="F81" i="10"/>
  <c r="E81" i="10"/>
  <c r="D81" i="10"/>
  <c r="C81" i="10"/>
  <c r="I76" i="10"/>
  <c r="H76" i="10"/>
  <c r="G76" i="10"/>
  <c r="F76" i="10"/>
  <c r="E76" i="10"/>
  <c r="D76" i="10"/>
  <c r="C76" i="10"/>
  <c r="I72" i="10"/>
  <c r="I75" i="10" s="1"/>
  <c r="H72" i="10"/>
  <c r="H75" i="10" s="1"/>
  <c r="G72" i="10"/>
  <c r="G75" i="10" s="1"/>
  <c r="F72" i="10"/>
  <c r="F75" i="10" s="1"/>
  <c r="E72" i="10"/>
  <c r="E75" i="10" s="1"/>
  <c r="D72" i="10"/>
  <c r="D75" i="10" s="1"/>
  <c r="C72" i="10"/>
  <c r="C75" i="10" s="1"/>
  <c r="I65" i="10"/>
  <c r="H65" i="10"/>
  <c r="G65" i="10"/>
  <c r="F65" i="10"/>
  <c r="E65" i="10"/>
  <c r="D65" i="10"/>
  <c r="C65" i="10"/>
  <c r="I64" i="10"/>
  <c r="I71" i="10" s="1"/>
  <c r="H64" i="10"/>
  <c r="H71" i="10" s="1"/>
  <c r="G64" i="10"/>
  <c r="G71" i="10" s="1"/>
  <c r="F64" i="10"/>
  <c r="E64" i="10"/>
  <c r="E71" i="10" s="1"/>
  <c r="D64" i="10"/>
  <c r="C64" i="10"/>
  <c r="C71" i="10" s="1"/>
  <c r="L33" i="9"/>
  <c r="K33" i="9"/>
  <c r="J33" i="9"/>
  <c r="I33" i="9"/>
  <c r="H33" i="9"/>
  <c r="G33" i="9"/>
  <c r="F33" i="9"/>
  <c r="E33" i="9"/>
  <c r="D33" i="9"/>
  <c r="C33" i="9"/>
  <c r="L27" i="9"/>
  <c r="K27" i="9"/>
  <c r="J27" i="9"/>
  <c r="I27" i="9"/>
  <c r="H27" i="9"/>
  <c r="G27" i="9"/>
  <c r="F27" i="9"/>
  <c r="E27" i="9"/>
  <c r="D27" i="9"/>
  <c r="C27" i="9"/>
  <c r="L40" i="9"/>
  <c r="K40" i="9"/>
  <c r="J40" i="9"/>
  <c r="I40" i="9"/>
  <c r="H40" i="9"/>
  <c r="G40" i="9"/>
  <c r="F40" i="9"/>
  <c r="E40" i="9"/>
  <c r="D40" i="9"/>
  <c r="L39" i="9"/>
  <c r="K39" i="9"/>
  <c r="J39" i="9"/>
  <c r="I39" i="9"/>
  <c r="H39" i="9"/>
  <c r="G39" i="9"/>
  <c r="F39" i="9"/>
  <c r="E39" i="9"/>
  <c r="D39" i="9"/>
  <c r="L38" i="9"/>
  <c r="K38" i="9"/>
  <c r="J38" i="9"/>
  <c r="I38" i="9"/>
  <c r="H38" i="9"/>
  <c r="G38" i="9"/>
  <c r="F38" i="9"/>
  <c r="E38" i="9"/>
  <c r="D38" i="9"/>
  <c r="L37" i="9"/>
  <c r="K37" i="9"/>
  <c r="J37" i="9"/>
  <c r="I37" i="9"/>
  <c r="H37" i="9"/>
  <c r="G37" i="9"/>
  <c r="F37" i="9"/>
  <c r="E37" i="9"/>
  <c r="D37" i="9"/>
  <c r="L36" i="9"/>
  <c r="K36" i="9"/>
  <c r="J36" i="9"/>
  <c r="I36" i="9"/>
  <c r="H36" i="9"/>
  <c r="G36" i="9"/>
  <c r="F36" i="9"/>
  <c r="E36" i="9"/>
  <c r="D36" i="9"/>
  <c r="L35" i="9"/>
  <c r="K35" i="9"/>
  <c r="J35" i="9"/>
  <c r="I35" i="9"/>
  <c r="H35" i="9"/>
  <c r="G35" i="9"/>
  <c r="F35" i="9"/>
  <c r="E35" i="9"/>
  <c r="D35" i="9"/>
  <c r="L34" i="9"/>
  <c r="K34" i="9"/>
  <c r="J34" i="9"/>
  <c r="I34" i="9"/>
  <c r="H34" i="9"/>
  <c r="G34" i="9"/>
  <c r="F34" i="9"/>
  <c r="E34" i="9"/>
  <c r="D34" i="9"/>
  <c r="C40" i="9"/>
  <c r="C39" i="9"/>
  <c r="C38" i="9"/>
  <c r="C37" i="9"/>
  <c r="C36" i="9"/>
  <c r="C35" i="9"/>
  <c r="C34" i="9"/>
  <c r="L31" i="9"/>
  <c r="K31" i="9"/>
  <c r="J31" i="9"/>
  <c r="I31" i="9"/>
  <c r="H31" i="9"/>
  <c r="G31" i="9"/>
  <c r="F31" i="9"/>
  <c r="E31" i="9"/>
  <c r="D31" i="9"/>
  <c r="L30" i="9"/>
  <c r="K30" i="9"/>
  <c r="J30" i="9"/>
  <c r="I30" i="9"/>
  <c r="H30" i="9"/>
  <c r="G30" i="9"/>
  <c r="F30" i="9"/>
  <c r="E30" i="9"/>
  <c r="D30" i="9"/>
  <c r="L29" i="9"/>
  <c r="K29" i="9"/>
  <c r="J29" i="9"/>
  <c r="I29" i="9"/>
  <c r="H29" i="9"/>
  <c r="G29" i="9"/>
  <c r="F29" i="9"/>
  <c r="E29" i="9"/>
  <c r="D29" i="9"/>
  <c r="L28" i="9"/>
  <c r="K28" i="9"/>
  <c r="J28" i="9"/>
  <c r="I28" i="9"/>
  <c r="H28" i="9"/>
  <c r="G28" i="9"/>
  <c r="F28" i="9"/>
  <c r="E28" i="9"/>
  <c r="D28" i="9"/>
  <c r="C31" i="9"/>
  <c r="C30" i="9"/>
  <c r="C29" i="9"/>
  <c r="C28" i="9"/>
  <c r="L22" i="9"/>
  <c r="K22" i="9"/>
  <c r="J22" i="9"/>
  <c r="I22" i="9"/>
  <c r="H22" i="9"/>
  <c r="G22" i="9"/>
  <c r="F22" i="9"/>
  <c r="E22" i="9"/>
  <c r="D22" i="9"/>
  <c r="L21" i="9"/>
  <c r="K21" i="9"/>
  <c r="J21" i="9"/>
  <c r="I21" i="9"/>
  <c r="H21" i="9"/>
  <c r="G21" i="9"/>
  <c r="F21" i="9"/>
  <c r="E21" i="9"/>
  <c r="D21" i="9"/>
  <c r="L20" i="9"/>
  <c r="K20" i="9"/>
  <c r="J20" i="9"/>
  <c r="I20" i="9"/>
  <c r="H20" i="9"/>
  <c r="G20" i="9"/>
  <c r="F20" i="9"/>
  <c r="E20" i="9"/>
  <c r="D20" i="9"/>
  <c r="L19" i="9"/>
  <c r="K19" i="9"/>
  <c r="J19" i="9"/>
  <c r="I19" i="9"/>
  <c r="H19" i="9"/>
  <c r="G19" i="9"/>
  <c r="F19" i="9"/>
  <c r="E19" i="9"/>
  <c r="D19" i="9"/>
  <c r="L18" i="9"/>
  <c r="K18" i="9"/>
  <c r="J18" i="9"/>
  <c r="I18" i="9"/>
  <c r="H18" i="9"/>
  <c r="G18" i="9"/>
  <c r="F18" i="9"/>
  <c r="E18" i="9"/>
  <c r="D18" i="9"/>
  <c r="L17" i="9"/>
  <c r="K17" i="9"/>
  <c r="J17" i="9"/>
  <c r="I17" i="9"/>
  <c r="H17" i="9"/>
  <c r="G17" i="9"/>
  <c r="F17" i="9"/>
  <c r="E17" i="9"/>
  <c r="D17" i="9"/>
  <c r="L16" i="9"/>
  <c r="K16" i="9"/>
  <c r="J16" i="9"/>
  <c r="I16" i="9"/>
  <c r="H16" i="9"/>
  <c r="G16" i="9"/>
  <c r="F16" i="9"/>
  <c r="E16" i="9"/>
  <c r="D16" i="9"/>
  <c r="L15" i="9"/>
  <c r="K15" i="9"/>
  <c r="J15" i="9"/>
  <c r="I15" i="9"/>
  <c r="H15" i="9"/>
  <c r="G15" i="9"/>
  <c r="F15" i="9"/>
  <c r="E15" i="9"/>
  <c r="D15" i="9"/>
  <c r="L14" i="9"/>
  <c r="K14" i="9"/>
  <c r="J14" i="9"/>
  <c r="I14" i="9"/>
  <c r="H14" i="9"/>
  <c r="G14" i="9"/>
  <c r="F14" i="9"/>
  <c r="E14" i="9"/>
  <c r="D14" i="9"/>
  <c r="L13" i="9"/>
  <c r="K13" i="9"/>
  <c r="J13" i="9"/>
  <c r="I13" i="9"/>
  <c r="H13" i="9"/>
  <c r="G13" i="9"/>
  <c r="F13" i="9"/>
  <c r="E13" i="9"/>
  <c r="D13" i="9"/>
  <c r="L12" i="9"/>
  <c r="K12" i="9"/>
  <c r="J12" i="9"/>
  <c r="I12" i="9"/>
  <c r="H12" i="9"/>
  <c r="G12" i="9"/>
  <c r="F12" i="9"/>
  <c r="E12" i="9"/>
  <c r="D12" i="9"/>
  <c r="L11" i="9"/>
  <c r="K11" i="9"/>
  <c r="J11" i="9"/>
  <c r="I11" i="9"/>
  <c r="H11" i="9"/>
  <c r="G11" i="9"/>
  <c r="F11" i="9"/>
  <c r="E11" i="9"/>
  <c r="D11" i="9"/>
  <c r="L10" i="9"/>
  <c r="K10" i="9"/>
  <c r="J10" i="9"/>
  <c r="I10" i="9"/>
  <c r="H10" i="9"/>
  <c r="G10" i="9"/>
  <c r="F10" i="9"/>
  <c r="E10" i="9"/>
  <c r="D10" i="9"/>
  <c r="L9" i="9"/>
  <c r="K9" i="9"/>
  <c r="J9" i="9"/>
  <c r="I9" i="9"/>
  <c r="H9" i="9"/>
  <c r="G9" i="9"/>
  <c r="F9" i="9"/>
  <c r="E9" i="9"/>
  <c r="D9" i="9"/>
  <c r="L8" i="9"/>
  <c r="K8" i="9"/>
  <c r="J8" i="9"/>
  <c r="I8" i="9"/>
  <c r="H8" i="9"/>
  <c r="G8" i="9"/>
  <c r="F8" i="9"/>
  <c r="E8" i="9"/>
  <c r="D8" i="9"/>
  <c r="C22" i="9"/>
  <c r="C21" i="9"/>
  <c r="C20" i="9"/>
  <c r="C19" i="9"/>
  <c r="C18" i="9"/>
  <c r="C17" i="9"/>
  <c r="C16" i="9"/>
  <c r="C15" i="9"/>
  <c r="C14" i="9"/>
  <c r="C13" i="9"/>
  <c r="C12" i="9"/>
  <c r="C11" i="9"/>
  <c r="C10" i="9"/>
  <c r="C9" i="9"/>
  <c r="C8" i="9"/>
  <c r="L76" i="8"/>
  <c r="K76" i="8"/>
  <c r="J76" i="8"/>
  <c r="I76" i="8"/>
  <c r="H76" i="8"/>
  <c r="G76" i="8"/>
  <c r="F76" i="8"/>
  <c r="E76" i="8"/>
  <c r="D76" i="8"/>
  <c r="C76" i="8"/>
  <c r="L74" i="8"/>
  <c r="K74" i="8"/>
  <c r="J74" i="8"/>
  <c r="I74" i="8"/>
  <c r="H74" i="8"/>
  <c r="G74" i="8"/>
  <c r="F74" i="8"/>
  <c r="E74" i="8"/>
  <c r="D74" i="8"/>
  <c r="C74" i="8"/>
  <c r="L73" i="8"/>
  <c r="K73" i="8"/>
  <c r="J73" i="8"/>
  <c r="I73" i="8"/>
  <c r="H73" i="8"/>
  <c r="G73" i="8"/>
  <c r="F73" i="8"/>
  <c r="E73" i="8"/>
  <c r="D73" i="8"/>
  <c r="C73" i="8"/>
  <c r="L72" i="8"/>
  <c r="K72" i="8"/>
  <c r="J72" i="8"/>
  <c r="I72" i="8"/>
  <c r="H72" i="8"/>
  <c r="G72" i="8"/>
  <c r="F72" i="8"/>
  <c r="E72" i="8"/>
  <c r="D72" i="8"/>
  <c r="C72" i="8"/>
  <c r="J65" i="8"/>
  <c r="L59" i="8"/>
  <c r="K59" i="8"/>
  <c r="J59" i="8"/>
  <c r="I59" i="8"/>
  <c r="H59" i="8"/>
  <c r="G59" i="8"/>
  <c r="F59" i="8"/>
  <c r="E59" i="8"/>
  <c r="D59" i="8"/>
  <c r="C59" i="8"/>
  <c r="L64" i="8"/>
  <c r="K64" i="8"/>
  <c r="J64" i="8"/>
  <c r="I64" i="8"/>
  <c r="H64" i="8"/>
  <c r="G64" i="8"/>
  <c r="G65" i="8" s="1"/>
  <c r="F64" i="8"/>
  <c r="F65" i="8" s="1"/>
  <c r="F67" i="8" s="1"/>
  <c r="F69" i="8" s="1"/>
  <c r="E64" i="8"/>
  <c r="D64" i="8"/>
  <c r="C64" i="8"/>
  <c r="L63" i="8"/>
  <c r="K63" i="8"/>
  <c r="J63" i="8"/>
  <c r="I63" i="8"/>
  <c r="H63" i="8"/>
  <c r="G63" i="8"/>
  <c r="F63" i="8"/>
  <c r="E63" i="8"/>
  <c r="D63" i="8"/>
  <c r="C63" i="8"/>
  <c r="L62" i="8"/>
  <c r="L65" i="8" s="1"/>
  <c r="K62" i="8"/>
  <c r="K65" i="8" s="1"/>
  <c r="J62" i="8"/>
  <c r="I62" i="8"/>
  <c r="H62" i="8"/>
  <c r="G62" i="8"/>
  <c r="F62" i="8"/>
  <c r="E62" i="8"/>
  <c r="D62" i="8"/>
  <c r="C62" i="8"/>
  <c r="L58" i="8"/>
  <c r="K58" i="8"/>
  <c r="K60" i="8" s="1"/>
  <c r="J58" i="8"/>
  <c r="I58" i="8"/>
  <c r="H58" i="8"/>
  <c r="G58" i="8"/>
  <c r="F58" i="8"/>
  <c r="E58" i="8"/>
  <c r="D58" i="8"/>
  <c r="C58" i="8"/>
  <c r="L57" i="8"/>
  <c r="K57" i="8"/>
  <c r="J57" i="8"/>
  <c r="J60" i="8" s="1"/>
  <c r="I57" i="8"/>
  <c r="I60" i="8" s="1"/>
  <c r="H57" i="8"/>
  <c r="G57" i="8"/>
  <c r="F57" i="8"/>
  <c r="E57" i="8"/>
  <c r="D57" i="8"/>
  <c r="C57" i="8"/>
  <c r="L56" i="8"/>
  <c r="K56" i="8"/>
  <c r="J56" i="8"/>
  <c r="I56" i="8"/>
  <c r="H56" i="8"/>
  <c r="G56" i="8"/>
  <c r="F56" i="8"/>
  <c r="F60" i="8" s="1"/>
  <c r="E56" i="8"/>
  <c r="D56" i="8"/>
  <c r="C56" i="8"/>
  <c r="L54" i="8"/>
  <c r="K54" i="8"/>
  <c r="J54" i="8"/>
  <c r="I54" i="8"/>
  <c r="H54" i="8"/>
  <c r="G54" i="8"/>
  <c r="F54" i="8"/>
  <c r="E54" i="8"/>
  <c r="D54" i="8"/>
  <c r="C54" i="8"/>
  <c r="L53" i="8"/>
  <c r="K53" i="8"/>
  <c r="J53" i="8"/>
  <c r="I53" i="8"/>
  <c r="H53" i="8"/>
  <c r="G53" i="8"/>
  <c r="F53" i="8"/>
  <c r="E53" i="8"/>
  <c r="D53" i="8"/>
  <c r="C53" i="8"/>
  <c r="L52" i="8"/>
  <c r="K52" i="8"/>
  <c r="J52" i="8"/>
  <c r="I52" i="8"/>
  <c r="H52" i="8"/>
  <c r="G52" i="8"/>
  <c r="F52" i="8"/>
  <c r="E52" i="8"/>
  <c r="D52" i="8"/>
  <c r="C52" i="8"/>
  <c r="L51" i="8"/>
  <c r="K51" i="8"/>
  <c r="J51" i="8"/>
  <c r="I51" i="8"/>
  <c r="H51" i="8"/>
  <c r="G51" i="8"/>
  <c r="F51" i="8"/>
  <c r="E51" i="8"/>
  <c r="D51" i="8"/>
  <c r="C51" i="8"/>
  <c r="L50" i="8"/>
  <c r="K50" i="8"/>
  <c r="J50" i="8"/>
  <c r="I50" i="8"/>
  <c r="H50" i="8"/>
  <c r="G50" i="8"/>
  <c r="F50" i="8"/>
  <c r="E50" i="8"/>
  <c r="D50" i="8"/>
  <c r="C50" i="8"/>
  <c r="L39" i="8"/>
  <c r="L44" i="8" s="1"/>
  <c r="K39" i="8"/>
  <c r="K44" i="8" s="1"/>
  <c r="J39" i="8"/>
  <c r="J44" i="8" s="1"/>
  <c r="I39" i="8"/>
  <c r="I44" i="8" s="1"/>
  <c r="H39" i="8"/>
  <c r="H44" i="8" s="1"/>
  <c r="G39" i="8"/>
  <c r="G44" i="8" s="1"/>
  <c r="F39" i="8"/>
  <c r="F44" i="8" s="1"/>
  <c r="E39" i="8"/>
  <c r="E44" i="8" s="1"/>
  <c r="D39" i="8"/>
  <c r="D44" i="8" s="1"/>
  <c r="C39" i="8"/>
  <c r="C44" i="8" s="1"/>
  <c r="L33" i="8"/>
  <c r="K33" i="8"/>
  <c r="J33" i="8"/>
  <c r="I33" i="8"/>
  <c r="H33" i="8"/>
  <c r="G33" i="8"/>
  <c r="F33" i="8"/>
  <c r="E33" i="8"/>
  <c r="D33" i="8"/>
  <c r="C33" i="8"/>
  <c r="L27" i="8"/>
  <c r="K27" i="8"/>
  <c r="J27" i="8"/>
  <c r="I27" i="8"/>
  <c r="H27" i="8"/>
  <c r="G27" i="8"/>
  <c r="F27" i="8"/>
  <c r="E27" i="8"/>
  <c r="D27" i="8"/>
  <c r="C27" i="8"/>
  <c r="L24" i="8"/>
  <c r="K24" i="8"/>
  <c r="J24" i="8"/>
  <c r="I24" i="8"/>
  <c r="H24" i="8"/>
  <c r="G24" i="8"/>
  <c r="F24" i="8"/>
  <c r="E24" i="8"/>
  <c r="D24" i="8"/>
  <c r="D25" i="8" s="1"/>
  <c r="C24" i="8"/>
  <c r="C25" i="8" s="1"/>
  <c r="L18" i="8"/>
  <c r="L19" i="8" s="1"/>
  <c r="K18" i="8"/>
  <c r="J18" i="8"/>
  <c r="I18" i="8"/>
  <c r="H18" i="8"/>
  <c r="G18" i="8"/>
  <c r="F18" i="8"/>
  <c r="E18" i="8"/>
  <c r="D18" i="8"/>
  <c r="C18" i="8"/>
  <c r="D15" i="8"/>
  <c r="C15" i="8"/>
  <c r="C21" i="8" s="1"/>
  <c r="L12" i="8"/>
  <c r="L13" i="8" s="1"/>
  <c r="K12" i="8"/>
  <c r="J12" i="8"/>
  <c r="I12" i="8"/>
  <c r="H12" i="8"/>
  <c r="G12" i="8"/>
  <c r="F12" i="8"/>
  <c r="E12" i="8"/>
  <c r="D12" i="8"/>
  <c r="C12" i="8"/>
  <c r="L9" i="8"/>
  <c r="K9" i="8"/>
  <c r="J9" i="8"/>
  <c r="I9" i="8"/>
  <c r="H9" i="8"/>
  <c r="G9" i="8"/>
  <c r="F9" i="8"/>
  <c r="E9" i="8"/>
  <c r="D9" i="8"/>
  <c r="C9" i="8"/>
  <c r="C6" i="3"/>
  <c r="D6" i="3"/>
  <c r="E6" i="3"/>
  <c r="F6" i="3"/>
  <c r="F14" i="3" s="1"/>
  <c r="G6" i="3"/>
  <c r="G14" i="3" s="1"/>
  <c r="H6" i="3"/>
  <c r="H14" i="3" s="1"/>
  <c r="I6" i="3"/>
  <c r="J6" i="3"/>
  <c r="K6" i="3"/>
  <c r="B6" i="3"/>
  <c r="C5" i="1"/>
  <c r="D5" i="1"/>
  <c r="E5" i="1"/>
  <c r="F5" i="1"/>
  <c r="G5" i="1"/>
  <c r="H5" i="1"/>
  <c r="I5" i="1"/>
  <c r="I6" i="1" s="1"/>
  <c r="I19" i="1" s="1"/>
  <c r="J5" i="1"/>
  <c r="K5" i="1"/>
  <c r="B5" i="1"/>
  <c r="G13" i="1"/>
  <c r="B6" i="6"/>
  <c r="C17" i="2"/>
  <c r="D17" i="2"/>
  <c r="E17" i="2"/>
  <c r="F17" i="2"/>
  <c r="G17" i="2"/>
  <c r="G20" i="2" s="1"/>
  <c r="H17" i="2"/>
  <c r="I17" i="2"/>
  <c r="J17" i="2"/>
  <c r="K17" i="2"/>
  <c r="C18" i="2"/>
  <c r="D18" i="2"/>
  <c r="E18" i="2"/>
  <c r="E21" i="2" s="1"/>
  <c r="F18" i="2"/>
  <c r="G18" i="2"/>
  <c r="H18" i="2"/>
  <c r="H21" i="2" s="1"/>
  <c r="I18" i="2"/>
  <c r="J18" i="2"/>
  <c r="J21" i="2" s="1"/>
  <c r="K18" i="2"/>
  <c r="K21" i="2" s="1"/>
  <c r="B17" i="2"/>
  <c r="C4" i="2"/>
  <c r="D4" i="2"/>
  <c r="E4" i="2"/>
  <c r="E5" i="2"/>
  <c r="F4" i="2"/>
  <c r="G4" i="2"/>
  <c r="H4" i="2"/>
  <c r="I4" i="2"/>
  <c r="I5" i="2"/>
  <c r="J4" i="2"/>
  <c r="J5" i="2"/>
  <c r="J23" i="2" s="1"/>
  <c r="K4" i="2"/>
  <c r="C5" i="2"/>
  <c r="D5" i="2"/>
  <c r="F5" i="2"/>
  <c r="G5" i="2"/>
  <c r="H5" i="2"/>
  <c r="H23" i="2" s="1"/>
  <c r="K5" i="2"/>
  <c r="C6" i="2"/>
  <c r="D6" i="2"/>
  <c r="E6" i="2"/>
  <c r="F6" i="2"/>
  <c r="G6" i="2"/>
  <c r="H6" i="2"/>
  <c r="I6" i="2"/>
  <c r="J6" i="2"/>
  <c r="K6" i="2"/>
  <c r="C7" i="2"/>
  <c r="C16" i="2" s="1"/>
  <c r="D7" i="2"/>
  <c r="E7" i="2"/>
  <c r="F7" i="2"/>
  <c r="G7" i="2"/>
  <c r="H7" i="2"/>
  <c r="H16" i="2" s="1"/>
  <c r="I7" i="2"/>
  <c r="I16" i="2" s="1"/>
  <c r="J7" i="2"/>
  <c r="K7" i="2"/>
  <c r="C8" i="2"/>
  <c r="D8" i="2"/>
  <c r="E8" i="2"/>
  <c r="F8" i="2"/>
  <c r="G8" i="2"/>
  <c r="H8" i="2"/>
  <c r="I8" i="2"/>
  <c r="J8" i="2"/>
  <c r="K8" i="2"/>
  <c r="C10" i="2"/>
  <c r="D10" i="2"/>
  <c r="E10" i="2"/>
  <c r="F10" i="2"/>
  <c r="G10" i="2"/>
  <c r="H10" i="2"/>
  <c r="I10" i="2"/>
  <c r="J10" i="2"/>
  <c r="K10" i="2"/>
  <c r="C11" i="2"/>
  <c r="D11" i="2"/>
  <c r="E11" i="2"/>
  <c r="F11" i="2"/>
  <c r="G11" i="2"/>
  <c r="H11" i="2"/>
  <c r="I11" i="2"/>
  <c r="J11" i="2"/>
  <c r="K11" i="2"/>
  <c r="C12" i="2"/>
  <c r="D12" i="2"/>
  <c r="E12" i="2"/>
  <c r="F12" i="2"/>
  <c r="G12" i="2"/>
  <c r="H12" i="2"/>
  <c r="I12" i="2"/>
  <c r="J12" i="2"/>
  <c r="K12" i="2"/>
  <c r="C13" i="2"/>
  <c r="D13" i="2"/>
  <c r="E13" i="2"/>
  <c r="F13" i="2"/>
  <c r="F16" i="2" s="1"/>
  <c r="G13" i="2"/>
  <c r="H13" i="2"/>
  <c r="I13" i="2"/>
  <c r="J13" i="2"/>
  <c r="K13" i="2"/>
  <c r="K16" i="2" s="1"/>
  <c r="C14" i="2"/>
  <c r="D14" i="2"/>
  <c r="E14" i="2"/>
  <c r="F14" i="2"/>
  <c r="G14" i="2"/>
  <c r="H14" i="2"/>
  <c r="I14" i="2"/>
  <c r="J14" i="2"/>
  <c r="K14" i="2"/>
  <c r="B14" i="2"/>
  <c r="B5" i="2"/>
  <c r="B4" i="2"/>
  <c r="C4" i="4"/>
  <c r="D4" i="4"/>
  <c r="E4" i="4"/>
  <c r="F4" i="4"/>
  <c r="G4" i="4"/>
  <c r="H4" i="4"/>
  <c r="I4" i="4"/>
  <c r="J4" i="4"/>
  <c r="K4" i="4"/>
  <c r="C5" i="4"/>
  <c r="D5" i="4"/>
  <c r="E5" i="4"/>
  <c r="F5" i="4"/>
  <c r="G5" i="4"/>
  <c r="H5" i="4"/>
  <c r="I5" i="4"/>
  <c r="J5" i="4"/>
  <c r="K5" i="4"/>
  <c r="C6" i="4"/>
  <c r="D6" i="4"/>
  <c r="E6" i="4"/>
  <c r="F6" i="4"/>
  <c r="G6" i="4"/>
  <c r="H6" i="4"/>
  <c r="I6" i="4"/>
  <c r="J6" i="4"/>
  <c r="K6" i="4"/>
  <c r="C7" i="4"/>
  <c r="D7" i="4"/>
  <c r="E7" i="4"/>
  <c r="F7" i="4"/>
  <c r="G7" i="4"/>
  <c r="H7" i="4"/>
  <c r="I7" i="4"/>
  <c r="J7" i="4"/>
  <c r="K7" i="4"/>
  <c r="C4" i="3"/>
  <c r="C14" i="3" s="1"/>
  <c r="D4" i="3"/>
  <c r="D14" i="3" s="1"/>
  <c r="E4" i="3"/>
  <c r="F4" i="3"/>
  <c r="G4" i="3"/>
  <c r="H4" i="3"/>
  <c r="I4" i="3"/>
  <c r="J4" i="3"/>
  <c r="J14" i="3" s="1"/>
  <c r="K4" i="3"/>
  <c r="C5" i="3"/>
  <c r="D5" i="3"/>
  <c r="E5" i="3"/>
  <c r="F5" i="3"/>
  <c r="G5" i="3"/>
  <c r="H5" i="3"/>
  <c r="L5" i="1" s="1"/>
  <c r="I5" i="3"/>
  <c r="J5" i="3"/>
  <c r="K5" i="3"/>
  <c r="C7" i="3"/>
  <c r="D7" i="3"/>
  <c r="E7" i="3"/>
  <c r="F7" i="3"/>
  <c r="G7" i="3"/>
  <c r="H7" i="3"/>
  <c r="I7" i="3"/>
  <c r="J7" i="3"/>
  <c r="K7" i="3"/>
  <c r="C8" i="3"/>
  <c r="D8" i="3"/>
  <c r="E8" i="3"/>
  <c r="F8" i="3"/>
  <c r="G8" i="3"/>
  <c r="H8" i="3"/>
  <c r="I8" i="3"/>
  <c r="J8" i="3"/>
  <c r="K8" i="3"/>
  <c r="C9" i="3"/>
  <c r="D9" i="3"/>
  <c r="E9" i="3"/>
  <c r="F9" i="3"/>
  <c r="G9" i="3"/>
  <c r="H9" i="3"/>
  <c r="I9" i="3"/>
  <c r="J9" i="3"/>
  <c r="K9" i="3"/>
  <c r="C10" i="3"/>
  <c r="D10" i="3"/>
  <c r="E10" i="3"/>
  <c r="F10" i="3"/>
  <c r="G10" i="3"/>
  <c r="H10" i="3"/>
  <c r="L10" i="1" s="1"/>
  <c r="I10" i="3"/>
  <c r="J10" i="3"/>
  <c r="K10" i="3"/>
  <c r="C11" i="3"/>
  <c r="D11" i="3"/>
  <c r="E11" i="3"/>
  <c r="F11" i="3"/>
  <c r="G11" i="3"/>
  <c r="H11" i="3"/>
  <c r="I11" i="3"/>
  <c r="J11" i="3"/>
  <c r="L11" i="1" s="1"/>
  <c r="K11" i="3"/>
  <c r="C12" i="3"/>
  <c r="D12" i="3"/>
  <c r="E12" i="3"/>
  <c r="F12" i="3"/>
  <c r="G12" i="3"/>
  <c r="H12" i="3"/>
  <c r="I12" i="3"/>
  <c r="J12" i="3"/>
  <c r="L12" i="1" s="1"/>
  <c r="L13" i="1" s="1"/>
  <c r="L14" i="1" s="1"/>
  <c r="L25" i="1" s="1"/>
  <c r="K12" i="3"/>
  <c r="B5" i="3"/>
  <c r="C18" i="1"/>
  <c r="D18" i="1"/>
  <c r="E18" i="1"/>
  <c r="F18" i="1"/>
  <c r="G18" i="1"/>
  <c r="H18" i="1"/>
  <c r="I18" i="1"/>
  <c r="J18" i="1"/>
  <c r="K18" i="1"/>
  <c r="B18" i="1"/>
  <c r="C4" i="1"/>
  <c r="C21" i="2" s="1"/>
  <c r="D4" i="1"/>
  <c r="I23" i="1" s="1"/>
  <c r="E4" i="1"/>
  <c r="E6" i="1" s="1"/>
  <c r="E19" i="1" s="1"/>
  <c r="F4" i="1"/>
  <c r="G4" i="1"/>
  <c r="H4" i="1"/>
  <c r="I4" i="1"/>
  <c r="J4" i="1"/>
  <c r="K4" i="1"/>
  <c r="C7" i="1"/>
  <c r="D7" i="1"/>
  <c r="E7" i="1"/>
  <c r="F7" i="1"/>
  <c r="G7" i="1"/>
  <c r="H7" i="1"/>
  <c r="I7" i="1"/>
  <c r="J7" i="1"/>
  <c r="K7" i="1"/>
  <c r="C8" i="1"/>
  <c r="D8" i="1"/>
  <c r="E8" i="1"/>
  <c r="F8" i="1"/>
  <c r="G8" i="1"/>
  <c r="H8" i="1"/>
  <c r="I8" i="1"/>
  <c r="J8" i="1"/>
  <c r="K8" i="1"/>
  <c r="C9" i="1"/>
  <c r="D9" i="1"/>
  <c r="E9" i="1"/>
  <c r="F9" i="1"/>
  <c r="G9" i="1"/>
  <c r="H9" i="1"/>
  <c r="I9" i="1"/>
  <c r="J9" i="1"/>
  <c r="K9" i="1"/>
  <c r="C10" i="1"/>
  <c r="D10" i="1"/>
  <c r="E10" i="1"/>
  <c r="F10" i="1"/>
  <c r="G10" i="1"/>
  <c r="H10" i="1"/>
  <c r="I10" i="1"/>
  <c r="J10" i="1"/>
  <c r="K10" i="1"/>
  <c r="C11" i="1"/>
  <c r="D11" i="1"/>
  <c r="E11" i="1"/>
  <c r="F11" i="1"/>
  <c r="G11" i="1"/>
  <c r="H11" i="1"/>
  <c r="I11" i="1"/>
  <c r="J11" i="1"/>
  <c r="K11" i="1"/>
  <c r="C12" i="1"/>
  <c r="C13" i="1" s="1"/>
  <c r="D12" i="1"/>
  <c r="E12" i="1"/>
  <c r="F12" i="1"/>
  <c r="F13" i="1" s="1"/>
  <c r="G12" i="1"/>
  <c r="H12" i="1"/>
  <c r="H13" i="1" s="1"/>
  <c r="I12" i="1"/>
  <c r="I13" i="1" s="1"/>
  <c r="J12" i="1"/>
  <c r="J13" i="1" s="1"/>
  <c r="J14" i="1" s="1"/>
  <c r="K12" i="1"/>
  <c r="K13" i="1" s="1"/>
  <c r="C15" i="1"/>
  <c r="D15" i="1"/>
  <c r="E15" i="1"/>
  <c r="F15" i="1"/>
  <c r="G15" i="1"/>
  <c r="H15" i="1"/>
  <c r="I15" i="1"/>
  <c r="J15" i="1"/>
  <c r="K15" i="1"/>
  <c r="B15" i="1"/>
  <c r="B7" i="1"/>
  <c r="B4" i="1"/>
  <c r="H23" i="1" s="1"/>
  <c r="A1" i="1"/>
  <c r="A1" i="3" s="1"/>
  <c r="E1" i="6"/>
  <c r="H1" i="1" s="1"/>
  <c r="D16" i="2"/>
  <c r="D23" i="2"/>
  <c r="G6" i="1"/>
  <c r="G19" i="1" s="1"/>
  <c r="B6" i="1"/>
  <c r="B19" i="1" s="1"/>
  <c r="C3" i="4"/>
  <c r="D3" i="4"/>
  <c r="E3" i="4"/>
  <c r="F3" i="4"/>
  <c r="G3" i="4"/>
  <c r="H3" i="4"/>
  <c r="I3" i="4"/>
  <c r="J3" i="4"/>
  <c r="K3" i="4"/>
  <c r="C3" i="2"/>
  <c r="D3" i="2"/>
  <c r="E3" i="2"/>
  <c r="F3" i="2"/>
  <c r="G3" i="2"/>
  <c r="H3" i="2"/>
  <c r="I3" i="2"/>
  <c r="J3" i="2"/>
  <c r="K3" i="2"/>
  <c r="C3" i="3"/>
  <c r="D3" i="3"/>
  <c r="E3" i="3"/>
  <c r="F3" i="3"/>
  <c r="G3" i="3"/>
  <c r="H3" i="3"/>
  <c r="I3" i="3"/>
  <c r="J3" i="3"/>
  <c r="K3" i="3"/>
  <c r="C3" i="1"/>
  <c r="D3" i="1"/>
  <c r="E3" i="1"/>
  <c r="F3" i="1"/>
  <c r="G3" i="1"/>
  <c r="H3" i="1"/>
  <c r="I3" i="1"/>
  <c r="J3" i="1"/>
  <c r="K3" i="1"/>
  <c r="B7" i="4"/>
  <c r="B6" i="4"/>
  <c r="B5" i="4"/>
  <c r="B4" i="4"/>
  <c r="B3" i="4"/>
  <c r="I21" i="2"/>
  <c r="G21" i="2"/>
  <c r="B18" i="2"/>
  <c r="B13" i="2"/>
  <c r="B12" i="2"/>
  <c r="B11" i="2"/>
  <c r="B10" i="2"/>
  <c r="B8" i="2"/>
  <c r="B7" i="2"/>
  <c r="B6" i="2"/>
  <c r="B3" i="2"/>
  <c r="B12" i="3"/>
  <c r="B11" i="3"/>
  <c r="B10" i="3"/>
  <c r="B9" i="3"/>
  <c r="B8" i="3"/>
  <c r="B7" i="3"/>
  <c r="B4" i="3"/>
  <c r="B3" i="3"/>
  <c r="L15" i="1"/>
  <c r="B12" i="1"/>
  <c r="B13" i="1" s="1"/>
  <c r="B11" i="1"/>
  <c r="B10" i="1"/>
  <c r="B9" i="1"/>
  <c r="B8" i="1"/>
  <c r="B3" i="1"/>
  <c r="I14" i="3"/>
  <c r="F102" i="10" l="1"/>
  <c r="C73" i="10"/>
  <c r="I73" i="10"/>
  <c r="F77" i="10"/>
  <c r="C66" i="10"/>
  <c r="D66" i="10"/>
  <c r="G102" i="10"/>
  <c r="E66" i="10"/>
  <c r="D71" i="10"/>
  <c r="D73" i="10" s="1"/>
  <c r="D102" i="10"/>
  <c r="H73" i="10"/>
  <c r="C77" i="10"/>
  <c r="C83" i="10" s="1"/>
  <c r="I66" i="10"/>
  <c r="D77" i="10"/>
  <c r="C102" i="10"/>
  <c r="E102" i="10"/>
  <c r="E73" i="10"/>
  <c r="E77" i="10"/>
  <c r="E83" i="10" s="1"/>
  <c r="G77" i="10"/>
  <c r="H77" i="10"/>
  <c r="I77" i="10"/>
  <c r="I83" i="10" s="1"/>
  <c r="F66" i="10"/>
  <c r="G73" i="10"/>
  <c r="F71" i="10"/>
  <c r="F73" i="10" s="1"/>
  <c r="F83" i="10" s="1"/>
  <c r="G66" i="10"/>
  <c r="H66" i="10"/>
  <c r="G60" i="8"/>
  <c r="G67" i="8" s="1"/>
  <c r="G69" i="8" s="1"/>
  <c r="D21" i="2"/>
  <c r="C65" i="8"/>
  <c r="G16" i="2"/>
  <c r="D65" i="8"/>
  <c r="G23" i="2"/>
  <c r="C13" i="8"/>
  <c r="E65" i="8"/>
  <c r="E67" i="8" s="1"/>
  <c r="E69" i="8" s="1"/>
  <c r="L60" i="8"/>
  <c r="L67" i="8" s="1"/>
  <c r="L69" i="8" s="1"/>
  <c r="D60" i="8"/>
  <c r="H65" i="8"/>
  <c r="H67" i="8" s="1"/>
  <c r="H69" i="8" s="1"/>
  <c r="L4" i="1"/>
  <c r="L23" i="1" s="1"/>
  <c r="N23" i="1" s="1"/>
  <c r="N4" i="1" s="1"/>
  <c r="E1" i="3"/>
  <c r="F14" i="1"/>
  <c r="E23" i="2"/>
  <c r="C60" i="8"/>
  <c r="E60" i="8"/>
  <c r="I65" i="8"/>
  <c r="J6" i="1"/>
  <c r="J19" i="1" s="1"/>
  <c r="G14" i="1"/>
  <c r="L6" i="1"/>
  <c r="L19" i="1" s="1"/>
  <c r="L24" i="1" s="1"/>
  <c r="E1" i="2"/>
  <c r="E24" i="2"/>
  <c r="K20" i="2"/>
  <c r="C23" i="2"/>
  <c r="J20" i="2"/>
  <c r="D13" i="1"/>
  <c r="E13" i="1" s="1"/>
  <c r="K19" i="8"/>
  <c r="C14" i="1"/>
  <c r="F20" i="2"/>
  <c r="E14" i="3"/>
  <c r="K23" i="2"/>
  <c r="K6" i="1"/>
  <c r="K19" i="1" s="1"/>
  <c r="H60" i="8"/>
  <c r="K67" i="8"/>
  <c r="K69" i="8" s="1"/>
  <c r="I67" i="8"/>
  <c r="I69" i="8" s="1"/>
  <c r="J67" i="8"/>
  <c r="J69" i="8" s="1"/>
  <c r="L25" i="8"/>
  <c r="K13" i="8"/>
  <c r="C28" i="8"/>
  <c r="H15" i="8"/>
  <c r="H16" i="8" s="1"/>
  <c r="D13" i="8"/>
  <c r="D19" i="8"/>
  <c r="G10" i="8"/>
  <c r="F28" i="8"/>
  <c r="J28" i="8"/>
  <c r="K28" i="8"/>
  <c r="E25" i="8"/>
  <c r="G13" i="8"/>
  <c r="F10" i="8"/>
  <c r="H13" i="8"/>
  <c r="H10" i="8"/>
  <c r="H21" i="8"/>
  <c r="H30" i="8" s="1"/>
  <c r="H31" i="8" s="1"/>
  <c r="E28" i="8"/>
  <c r="E19" i="8"/>
  <c r="G15" i="8"/>
  <c r="G16" i="8" s="1"/>
  <c r="F19" i="8"/>
  <c r="G28" i="8"/>
  <c r="G19" i="8"/>
  <c r="F25" i="8"/>
  <c r="H28" i="8"/>
  <c r="I15" i="8"/>
  <c r="I16" i="8" s="1"/>
  <c r="H19" i="8"/>
  <c r="G25" i="8"/>
  <c r="I28" i="8"/>
  <c r="J13" i="8"/>
  <c r="I19" i="8"/>
  <c r="H25" i="8"/>
  <c r="K15" i="8"/>
  <c r="K21" i="8" s="1"/>
  <c r="J19" i="8"/>
  <c r="I25" i="8"/>
  <c r="L15" i="8"/>
  <c r="L21" i="8" s="1"/>
  <c r="D21" i="8"/>
  <c r="D22" i="8" s="1"/>
  <c r="J25" i="8"/>
  <c r="L28" i="8"/>
  <c r="E15" i="8"/>
  <c r="K25" i="8"/>
  <c r="F15" i="8"/>
  <c r="E13" i="8"/>
  <c r="E10" i="8"/>
  <c r="D10" i="8"/>
  <c r="F13" i="8"/>
  <c r="C19" i="8"/>
  <c r="D28" i="8"/>
  <c r="C30" i="8"/>
  <c r="C22" i="8"/>
  <c r="H36" i="8"/>
  <c r="I13" i="8"/>
  <c r="J10" i="8"/>
  <c r="K10" i="8"/>
  <c r="C16" i="8"/>
  <c r="L10" i="8"/>
  <c r="D16" i="8"/>
  <c r="I10" i="8"/>
  <c r="J15" i="8"/>
  <c r="N11" i="1"/>
  <c r="M11" i="1"/>
  <c r="K14" i="1"/>
  <c r="B14" i="3"/>
  <c r="J24" i="2"/>
  <c r="B20" i="2"/>
  <c r="K14" i="3"/>
  <c r="I24" i="2"/>
  <c r="H24" i="2"/>
  <c r="L7" i="1"/>
  <c r="C24" i="2"/>
  <c r="E20" i="2"/>
  <c r="B23" i="2"/>
  <c r="J16" i="2"/>
  <c r="L8" i="1"/>
  <c r="A1" i="2"/>
  <c r="A1" i="4" s="1"/>
  <c r="B21" i="2"/>
  <c r="E14" i="1"/>
  <c r="K24" i="1"/>
  <c r="L9" i="1"/>
  <c r="M9" i="1" s="1"/>
  <c r="E16" i="2"/>
  <c r="F21" i="2"/>
  <c r="C20" i="2"/>
  <c r="G24" i="2"/>
  <c r="D20" i="2"/>
  <c r="F23" i="2"/>
  <c r="B14" i="1"/>
  <c r="D14" i="1"/>
  <c r="D24" i="2"/>
  <c r="K24" i="2"/>
  <c r="D6" i="1"/>
  <c r="D19" i="1" s="1"/>
  <c r="H24" i="1" s="1"/>
  <c r="I14" i="1"/>
  <c r="K25" i="1" s="1"/>
  <c r="M25" i="1" s="1"/>
  <c r="M14" i="1" s="1"/>
  <c r="I23" i="2"/>
  <c r="J23" i="1"/>
  <c r="H14" i="1"/>
  <c r="C6" i="1"/>
  <c r="C19" i="1" s="1"/>
  <c r="B16" i="2"/>
  <c r="F24" i="2"/>
  <c r="J25" i="1"/>
  <c r="N8" i="1"/>
  <c r="M8" i="1"/>
  <c r="H25" i="1"/>
  <c r="I25" i="1"/>
  <c r="I20" i="2"/>
  <c r="H20" i="2"/>
  <c r="K23" i="1"/>
  <c r="H6" i="1"/>
  <c r="H19" i="1" s="1"/>
  <c r="F6" i="1"/>
  <c r="F19" i="1" s="1"/>
  <c r="I24" i="1" s="1"/>
  <c r="E1" i="4"/>
  <c r="D83" i="10" l="1"/>
  <c r="H83" i="10"/>
  <c r="G83" i="10"/>
  <c r="M24" i="1"/>
  <c r="D67" i="8"/>
  <c r="D69" i="8" s="1"/>
  <c r="G21" i="8"/>
  <c r="J24" i="1"/>
  <c r="C67" i="8"/>
  <c r="C69" i="8" s="1"/>
  <c r="H34" i="8"/>
  <c r="I21" i="8"/>
  <c r="I22" i="8" s="1"/>
  <c r="H22" i="8"/>
  <c r="F16" i="8"/>
  <c r="F21" i="8"/>
  <c r="K16" i="8"/>
  <c r="E16" i="8"/>
  <c r="E21" i="8"/>
  <c r="L16" i="8"/>
  <c r="D30" i="8"/>
  <c r="D36" i="8" s="1"/>
  <c r="C34" i="8"/>
  <c r="C36" i="8"/>
  <c r="C31" i="8"/>
  <c r="G30" i="8"/>
  <c r="G22" i="8"/>
  <c r="I30" i="8"/>
  <c r="H37" i="8"/>
  <c r="H41" i="8"/>
  <c r="L22" i="8"/>
  <c r="L30" i="8"/>
  <c r="K22" i="8"/>
  <c r="K30" i="8"/>
  <c r="J21" i="8"/>
  <c r="J16" i="8"/>
  <c r="N24" i="1"/>
  <c r="N9" i="1"/>
  <c r="M23" i="1"/>
  <c r="M4" i="1" s="1"/>
  <c r="M6" i="1" s="1"/>
  <c r="M10" i="1" s="1"/>
  <c r="M12" i="1" s="1"/>
  <c r="M13" i="1" s="1"/>
  <c r="M15" i="1" s="1"/>
  <c r="N25" i="1"/>
  <c r="N14" i="1" s="1"/>
  <c r="N6" i="1"/>
  <c r="N10" i="1" s="1"/>
  <c r="N12" i="1" s="1"/>
  <c r="N13" i="1" s="1"/>
  <c r="N5" i="1" l="1"/>
  <c r="D34" i="8"/>
  <c r="D31" i="8"/>
  <c r="E22" i="8"/>
  <c r="E30" i="8"/>
  <c r="F30" i="8"/>
  <c r="F22" i="8"/>
  <c r="K34" i="8"/>
  <c r="K36" i="8"/>
  <c r="K31" i="8"/>
  <c r="G34" i="8"/>
  <c r="G36" i="8"/>
  <c r="G31" i="8"/>
  <c r="I31" i="8"/>
  <c r="I36" i="8"/>
  <c r="I34" i="8"/>
  <c r="J30" i="8"/>
  <c r="J22" i="8"/>
  <c r="H45" i="8"/>
  <c r="H47" i="8" s="1"/>
  <c r="L36" i="8"/>
  <c r="L31" i="8"/>
  <c r="L34" i="8"/>
  <c r="D37" i="8"/>
  <c r="D41" i="8"/>
  <c r="C37" i="8"/>
  <c r="C41" i="8"/>
  <c r="C45" i="8" s="1"/>
  <c r="C47" i="8" s="1"/>
  <c r="N15" i="1"/>
  <c r="M5" i="1"/>
  <c r="F36" i="8" l="1"/>
  <c r="F34" i="8"/>
  <c r="F31" i="8"/>
  <c r="E34" i="8"/>
  <c r="E31" i="8"/>
  <c r="E36" i="8"/>
  <c r="D45" i="8"/>
  <c r="D47" i="8" s="1"/>
  <c r="D42" i="8"/>
  <c r="I37" i="8"/>
  <c r="I41" i="8"/>
  <c r="G37" i="8"/>
  <c r="G41" i="8"/>
  <c r="J34" i="8"/>
  <c r="J36" i="8"/>
  <c r="J31" i="8"/>
  <c r="L37" i="8"/>
  <c r="L41" i="8"/>
  <c r="K41" i="8"/>
  <c r="K37" i="8"/>
  <c r="E41" i="8" l="1"/>
  <c r="E37" i="8"/>
  <c r="F37" i="8"/>
  <c r="F41" i="8"/>
  <c r="I42" i="8"/>
  <c r="I45" i="8"/>
  <c r="I47" i="8" s="1"/>
  <c r="J37" i="8"/>
  <c r="J41" i="8"/>
  <c r="G42" i="8"/>
  <c r="G45" i="8"/>
  <c r="G47" i="8" s="1"/>
  <c r="H42" i="8"/>
  <c r="K42" i="8"/>
  <c r="K45" i="8"/>
  <c r="K47" i="8" s="1"/>
  <c r="L42" i="8"/>
  <c r="L45" i="8"/>
  <c r="L47" i="8" s="1"/>
  <c r="F45" i="8" l="1"/>
  <c r="F47" i="8" s="1"/>
  <c r="F42" i="8"/>
  <c r="E45" i="8"/>
  <c r="E47" i="8" s="1"/>
  <c r="E42" i="8"/>
  <c r="J42" i="8"/>
  <c r="J45" i="8"/>
  <c r="J47" i="8" s="1"/>
</calcChain>
</file>

<file path=xl/sharedStrings.xml><?xml version="1.0" encoding="utf-8"?>
<sst xmlns="http://schemas.openxmlformats.org/spreadsheetml/2006/main" count="298" uniqueCount="169">
  <si>
    <t>COMPANY NAME</t>
  </si>
  <si>
    <t>SCREENER.IN</t>
  </si>
  <si>
    <t>Narration</t>
  </si>
  <si>
    <t>Trailing</t>
  </si>
  <si>
    <t>Best Case</t>
  </si>
  <si>
    <t>Worst Case</t>
  </si>
  <si>
    <t>Sales</t>
  </si>
  <si>
    <t>Expenses</t>
  </si>
  <si>
    <t>Operating Profit</t>
  </si>
  <si>
    <t>Other Income</t>
  </si>
  <si>
    <t>Depreciation</t>
  </si>
  <si>
    <t>Interest</t>
  </si>
  <si>
    <t>Profit before tax</t>
  </si>
  <si>
    <t>Tax</t>
  </si>
  <si>
    <t>Net profit</t>
  </si>
  <si>
    <t>RATIOS:</t>
  </si>
  <si>
    <t>Price to earning</t>
  </si>
  <si>
    <t>Dividend Payout</t>
  </si>
  <si>
    <t>OPM</t>
  </si>
  <si>
    <t>TRENDS:</t>
  </si>
  <si>
    <t>BEST</t>
  </si>
  <si>
    <t>WORST</t>
  </si>
  <si>
    <t>Sales Growth</t>
  </si>
  <si>
    <t>Price to Earning</t>
  </si>
  <si>
    <t>Equity Share Capital</t>
  </si>
  <si>
    <t>Reserves</t>
  </si>
  <si>
    <t>Total</t>
  </si>
  <si>
    <t>Net Block</t>
  </si>
  <si>
    <t>Capital Work in Progress</t>
  </si>
  <si>
    <t>Investments</t>
  </si>
  <si>
    <t>Working Capital</t>
  </si>
  <si>
    <t>Face Value</t>
  </si>
  <si>
    <t>Cash from Operating Activity</t>
  </si>
  <si>
    <t>Cash from Investing Activity</t>
  </si>
  <si>
    <t>Cash from Financing Activity</t>
  </si>
  <si>
    <t>Net Cash Flow</t>
  </si>
  <si>
    <t>PLEASE DO NOT MAKE ANY CHANGES TO THIS SHEET</t>
  </si>
  <si>
    <t>PROFIT &amp; LOSS</t>
  </si>
  <si>
    <t>Report Date</t>
  </si>
  <si>
    <t>Quarters</t>
  </si>
  <si>
    <t>BALANCE SHEET</t>
  </si>
  <si>
    <t>CASH FLOW:</t>
  </si>
  <si>
    <t>Number of shares</t>
  </si>
  <si>
    <t>Current Price</t>
  </si>
  <si>
    <t>Debtors</t>
  </si>
  <si>
    <t>Inventory</t>
  </si>
  <si>
    <t>Debtor Days</t>
  </si>
  <si>
    <t>Inventory Turnover</t>
  </si>
  <si>
    <t>You can customize this workbook as you want.</t>
  </si>
  <si>
    <t>Please don't edit the "Data Sheet" only.</t>
  </si>
  <si>
    <t>After customization, you can upload this back on Screener.</t>
  </si>
  <si>
    <t>Upload on:</t>
  </si>
  <si>
    <t>Download your customized workbooks now onwards.</t>
  </si>
  <si>
    <t>Now whenever you will "Export to excel" from Screener, it will export your customized file.</t>
  </si>
  <si>
    <t>TESTING:</t>
  </si>
  <si>
    <t>This is a testing feature currently.</t>
  </si>
  <si>
    <t>How to use it?</t>
  </si>
  <si>
    <t>EPS</t>
  </si>
  <si>
    <t>Price</t>
  </si>
  <si>
    <t>Return on Equity</t>
  </si>
  <si>
    <t>Return on Capital Emp</t>
  </si>
  <si>
    <t>LATEST VERSION</t>
  </si>
  <si>
    <t>CURRENT VERSION</t>
  </si>
  <si>
    <t>SUN PHARMACEUTICALS INDUSTRIES LTD</t>
  </si>
  <si>
    <t>META</t>
  </si>
  <si>
    <t>10 YEARS</t>
  </si>
  <si>
    <t>7 YEARS</t>
  </si>
  <si>
    <t>5 YEARS</t>
  </si>
  <si>
    <t>3 YEARS</t>
  </si>
  <si>
    <t>RECENT</t>
  </si>
  <si>
    <t>Dividend Amount</t>
  </si>
  <si>
    <t>Borrowings</t>
  </si>
  <si>
    <t>Other Liabilities</t>
  </si>
  <si>
    <t>Other Assets</t>
  </si>
  <si>
    <t>No. of Equity Shares</t>
  </si>
  <si>
    <t>New Bonus Shares</t>
  </si>
  <si>
    <t>DERIVED:</t>
  </si>
  <si>
    <t>PRICE:</t>
  </si>
  <si>
    <t>Receivables</t>
  </si>
  <si>
    <t>Market Capitalization</t>
  </si>
  <si>
    <t>Raw Material Cost</t>
  </si>
  <si>
    <t>Change in Inventory</t>
  </si>
  <si>
    <t>Power and Fuel</t>
  </si>
  <si>
    <t>Other Mfr. Exp</t>
  </si>
  <si>
    <t>Employee Cost</t>
  </si>
  <si>
    <t>Selling and admin</t>
  </si>
  <si>
    <t>Other Expenses</t>
  </si>
  <si>
    <t>Cash &amp; Bank</t>
  </si>
  <si>
    <t>Face value</t>
  </si>
  <si>
    <t>Adjusted Equity Shares in Cr</t>
  </si>
  <si>
    <t>You can add custom formating, add conditional formating, add your own formulas… do ANYTHING.</t>
  </si>
  <si>
    <t xml:space="preserve"> https://www.screener.in/excel/</t>
  </si>
  <si>
    <r>
      <t xml:space="preserve">You can report any formula errors on the worksheet at: </t>
    </r>
    <r>
      <rPr>
        <b/>
        <sz val="11"/>
        <color theme="1"/>
        <rFont val="Calibri"/>
        <family val="2"/>
        <scheme val="minor"/>
      </rPr>
      <t>support@screener.in</t>
    </r>
  </si>
  <si>
    <t>Historical Financial Statement - Sun Pharmaceuticals Industries Ltd</t>
  </si>
  <si>
    <t>Years</t>
  </si>
  <si>
    <t>Income Statement</t>
  </si>
  <si>
    <t xml:space="preserve"> </t>
  </si>
  <si>
    <t>COGS</t>
  </si>
  <si>
    <t>Gross Profit</t>
  </si>
  <si>
    <t>Selling &amp; General Expenses</t>
  </si>
  <si>
    <t>EBITDA</t>
  </si>
  <si>
    <t>Earnings Before Tax</t>
  </si>
  <si>
    <t>Net Profit</t>
  </si>
  <si>
    <t>No of Equity Shares</t>
  </si>
  <si>
    <t>Earnings per Share</t>
  </si>
  <si>
    <t>Dividend per Share</t>
  </si>
  <si>
    <t>Dividend payout Ratio</t>
  </si>
  <si>
    <t>EPS Growth %</t>
  </si>
  <si>
    <t>COGS % Sales</t>
  </si>
  <si>
    <t>Gross Margin</t>
  </si>
  <si>
    <t>S&amp;G % Sales</t>
  </si>
  <si>
    <t>EBITDA Margin</t>
  </si>
  <si>
    <t>Net Margin</t>
  </si>
  <si>
    <t>Effective Tax Rate</t>
  </si>
  <si>
    <t>EBT % Sales</t>
  </si>
  <si>
    <t>Depriciation % Sales</t>
  </si>
  <si>
    <t>Interest % Sales</t>
  </si>
  <si>
    <t>Retained Earnings</t>
  </si>
  <si>
    <t>Balance Sheet</t>
  </si>
  <si>
    <t>Total Liabilities</t>
  </si>
  <si>
    <t>Total Non Current Asset</t>
  </si>
  <si>
    <t>Total Current Asset</t>
  </si>
  <si>
    <t>Total Asset</t>
  </si>
  <si>
    <t>check</t>
  </si>
  <si>
    <t xml:space="preserve">  </t>
  </si>
  <si>
    <t>Cash Flow Statement</t>
  </si>
  <si>
    <t xml:space="preserve">   </t>
  </si>
  <si>
    <t>Particulars</t>
  </si>
  <si>
    <t>Total Assets</t>
  </si>
  <si>
    <t>Common Size Balance Sheet - Sun Pharmaceuticals Industries Ltd</t>
  </si>
  <si>
    <t>Common Size Income Statement - Sun Pharmaceuticals Industries Ltd</t>
  </si>
  <si>
    <t>Sun Pharmaceuticals Industries Ltd</t>
  </si>
  <si>
    <t>(SUNPHARMA | BSE Code: 524715)</t>
  </si>
  <si>
    <t>INR 1568.75</t>
  </si>
  <si>
    <t>52 Week (High - INR 1724 &amp; Low - 1068)</t>
  </si>
  <si>
    <t>About the Company</t>
  </si>
  <si>
    <t>Sun Pharmaceutical Industries Limited is an Indian multinational pharmaceutical company headquartered in Mumbai, that manufactures and sells pharmaceutical formulations and active pharmaceutical ingredients (APIs) in more than 100 countries across the globe. It is the largest pharmaceutical company in India and the fourth largest specialty generic pharmaceutical company in the world. The products cater to a vast range of therapeutic segments covering  psychiatry, anti-infectives, neurology, cardiology, diabetology, gastroenterology, ophthalmology, nephrology, urology, dermatology, gynecology, respiratory, oncology, dental and nutritionals.</t>
  </si>
  <si>
    <t>Return on Equity (ROE)</t>
  </si>
  <si>
    <t>Avearge Shareholder Equity</t>
  </si>
  <si>
    <t>ROE - Dupont Equation</t>
  </si>
  <si>
    <t>Revenue</t>
  </si>
  <si>
    <t>Net Profit Margin</t>
  </si>
  <si>
    <t>Average Total Asset</t>
  </si>
  <si>
    <t>Asset Turnover Ratio</t>
  </si>
  <si>
    <t>Equity Multiplier</t>
  </si>
  <si>
    <t>Return on Asset (ROA)</t>
  </si>
  <si>
    <t xml:space="preserve">Return on Asset </t>
  </si>
  <si>
    <t>ROA - Dupont Analysis</t>
  </si>
  <si>
    <t>Recent Updates</t>
  </si>
  <si>
    <t>Dupont Analysis - Return on Equity &amp; Return on Asset</t>
  </si>
  <si>
    <r>
      <rPr>
        <i/>
        <sz val="9"/>
        <color theme="6" tint="0.39997558519241921"/>
        <rFont val="Calibri"/>
        <family val="2"/>
        <scheme val="minor"/>
      </rPr>
      <t>Disclaimer :</t>
    </r>
    <r>
      <rPr>
        <i/>
        <sz val="9"/>
        <color rgb="FF028655"/>
        <rFont val="Calibri"/>
        <family val="2"/>
        <scheme val="minor"/>
      </rPr>
      <t xml:space="preserve"> </t>
    </r>
    <r>
      <rPr>
        <i/>
        <sz val="9"/>
        <color rgb="FF000000"/>
        <rFont val="Calibri"/>
        <family val="2"/>
        <scheme val="minor"/>
      </rPr>
      <t>This report is made as part of educational assignment and is meant for educational purpose only. The author of the report is not liable for any losses due to actions taken basis this report. It is advisable to consult SEBI registered reasearch analyst before making any investments</t>
    </r>
  </si>
  <si>
    <t>Dupont Summary</t>
  </si>
  <si>
    <t>Altman's Z Score Analysis Calculation</t>
  </si>
  <si>
    <t xml:space="preserve">Working Capital / Total Assets </t>
  </si>
  <si>
    <t>Working Capital / Total Assets</t>
  </si>
  <si>
    <t>Retained Earnings / Total Assets</t>
  </si>
  <si>
    <t xml:space="preserve">Retained Earnings / Total Assets </t>
  </si>
  <si>
    <t>EBIT / Total Assets</t>
  </si>
  <si>
    <t>EBIT</t>
  </si>
  <si>
    <t xml:space="preserve">EBIT/Total Assets </t>
  </si>
  <si>
    <t>Market Cap / Long term Liabilities</t>
  </si>
  <si>
    <t>Market Cap</t>
  </si>
  <si>
    <t>Long term Liabilities</t>
  </si>
  <si>
    <t xml:space="preserve">Market Cap / Long term Liabilities </t>
  </si>
  <si>
    <t>Sales / Total Assets</t>
  </si>
  <si>
    <t>Total Sales</t>
  </si>
  <si>
    <t>Altman's Z Score</t>
  </si>
  <si>
    <t>Final Score</t>
  </si>
  <si>
    <t>Financial Stability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</si>
</sst>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_(* #,##0.00_);_(* \(#,##0.00\);_(* &quot;-&quot;??_);_(@_)"/>
    <numFmt numFmtId="165" formatCode="[$-409]mmm\-yy;@"/>
    <numFmt numFmtId="166" formatCode="&quot;₹&quot;\ #,##0.0"/>
    <numFmt numFmtId="167" formatCode="&quot;₹&quot;\ #,##0.0;\(&quot;₹&quot;\ #,##0.0\)"/>
    <numFmt numFmtId="168" formatCode="#,##0.0"/>
    <numFmt numFmtId="169" formatCode="0.00\x"/>
  </numFmts>
  <fonts count="22" x14ac:knownFonts="1">
    <font>
      <sz val="11"/>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u/>
      <sz val="11"/>
      <color theme="10"/>
      <name val="Calibri"/>
      <family val="2"/>
    </font>
    <font>
      <sz val="11"/>
      <color theme="0"/>
      <name val="Calibri"/>
      <family val="2"/>
      <scheme val="minor"/>
    </font>
    <font>
      <b/>
      <u/>
      <sz val="11"/>
      <color theme="10"/>
      <name val="Calibri"/>
      <family val="2"/>
    </font>
    <font>
      <b/>
      <sz val="16"/>
      <color theme="1"/>
      <name val="Calibri"/>
      <family val="2"/>
      <scheme val="minor"/>
    </font>
    <font>
      <b/>
      <sz val="11"/>
      <color rgb="FFFF0000"/>
      <name val="Calibri"/>
      <family val="2"/>
      <scheme val="minor"/>
    </font>
    <font>
      <sz val="11"/>
      <name val="Calibri"/>
      <family val="2"/>
      <scheme val="minor"/>
    </font>
    <font>
      <i/>
      <sz val="11"/>
      <color theme="0" tint="-0.34998626667073579"/>
      <name val="Calibri"/>
      <family val="2"/>
      <scheme val="minor"/>
    </font>
    <font>
      <b/>
      <sz val="12"/>
      <color theme="6" tint="0.39997558519241921"/>
      <name val="Calibri"/>
      <family val="2"/>
      <scheme val="minor"/>
    </font>
    <font>
      <b/>
      <sz val="14"/>
      <color theme="6" tint="0.39997558519241921"/>
      <name val="Calibri"/>
      <family val="2"/>
      <scheme val="minor"/>
    </font>
    <font>
      <b/>
      <sz val="16"/>
      <color theme="6" tint="0.39997558519241921"/>
      <name val="Calibri"/>
      <family val="2"/>
      <scheme val="minor"/>
    </font>
    <font>
      <b/>
      <sz val="20"/>
      <color theme="6" tint="0.39997558519241921"/>
      <name val="Calibri"/>
      <family val="2"/>
      <scheme val="minor"/>
    </font>
    <font>
      <b/>
      <sz val="12"/>
      <color theme="0"/>
      <name val="Calibri"/>
      <family val="2"/>
      <scheme val="minor"/>
    </font>
    <font>
      <sz val="16"/>
      <color theme="1"/>
      <name val="Calibri"/>
      <family val="2"/>
      <scheme val="minor"/>
    </font>
    <font>
      <i/>
      <sz val="9"/>
      <color rgb="FF028655"/>
      <name val="Calibri"/>
      <family val="2"/>
      <scheme val="minor"/>
    </font>
    <font>
      <i/>
      <sz val="9"/>
      <color rgb="FF000000"/>
      <name val="Calibri"/>
      <family val="2"/>
      <scheme val="minor"/>
    </font>
    <font>
      <i/>
      <sz val="9"/>
      <color theme="6" tint="0.39997558519241921"/>
      <name val="Calibri"/>
      <family val="2"/>
      <scheme val="minor"/>
    </font>
    <font>
      <b/>
      <sz val="18"/>
      <color theme="6" tint="0.39997558519241921"/>
      <name val="Calibri"/>
      <family val="2"/>
      <scheme val="minor"/>
    </font>
    <font>
      <b/>
      <i/>
      <sz val="11"/>
      <color theme="6" tint="0.39997558519241921"/>
      <name val="Calibri"/>
      <family val="2"/>
      <scheme val="minor"/>
    </font>
  </fonts>
  <fills count="10">
    <fill>
      <patternFill patternType="none"/>
    </fill>
    <fill>
      <patternFill patternType="gray125"/>
    </fill>
    <fill>
      <patternFill patternType="solid">
        <fgColor theme="4" tint="0.39997558519241921"/>
        <bgColor indexed="65"/>
      </patternFill>
    </fill>
    <fill>
      <patternFill patternType="solid">
        <fgColor theme="6" tint="0.39997558519241921"/>
        <bgColor indexed="65"/>
      </patternFill>
    </fill>
    <fill>
      <patternFill patternType="solid">
        <fgColor theme="9"/>
      </patternFill>
    </fill>
    <fill>
      <patternFill patternType="solid">
        <fgColor rgb="FF0275D8"/>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0"/>
        <bgColor indexed="64"/>
      </patternFill>
    </fill>
  </fills>
  <borders count="3">
    <border>
      <left/>
      <right/>
      <top/>
      <bottom/>
      <diagonal/>
    </border>
    <border>
      <left/>
      <right/>
      <top style="thin">
        <color auto="1"/>
      </top>
      <bottom style="thin">
        <color auto="1"/>
      </bottom>
      <diagonal/>
    </border>
    <border>
      <left/>
      <right/>
      <top/>
      <bottom style="thin">
        <color theme="6" tint="0.39997558519241921"/>
      </bottom>
      <diagonal/>
    </border>
  </borders>
  <cellStyleXfs count="7">
    <xf numFmtId="0" fontId="0" fillId="0" borderId="0"/>
    <xf numFmtId="43" fontId="3" fillId="0" borderId="0" applyFont="0" applyFill="0" applyBorder="0" applyAlignment="0" applyProtection="0"/>
    <xf numFmtId="0" fontId="4" fillId="0" borderId="0" applyNumberFormat="0" applyFill="0" applyBorder="0" applyAlignment="0" applyProtection="0">
      <alignment vertical="top"/>
      <protection locked="0"/>
    </xf>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9" fontId="3" fillId="0" borderId="0" applyFont="0" applyFill="0" applyBorder="0" applyAlignment="0" applyProtection="0"/>
  </cellStyleXfs>
  <cellXfs count="65">
    <xf numFmtId="0" fontId="0" fillId="0" borderId="0" xfId="0"/>
    <xf numFmtId="43" fontId="1" fillId="0" borderId="0" xfId="1" applyFont="1" applyBorder="1"/>
    <xf numFmtId="0" fontId="1" fillId="0" borderId="0" xfId="0" applyFont="1"/>
    <xf numFmtId="0" fontId="8" fillId="0" borderId="0" xfId="0" applyFont="1"/>
    <xf numFmtId="43" fontId="0" fillId="0" borderId="0" xfId="1" applyFont="1" applyBorder="1"/>
    <xf numFmtId="10" fontId="0" fillId="0" borderId="0" xfId="0" applyNumberFormat="1"/>
    <xf numFmtId="43" fontId="3" fillId="0" borderId="0" xfId="1" applyFont="1" applyBorder="1"/>
    <xf numFmtId="9" fontId="3" fillId="0" borderId="0" xfId="1" applyNumberFormat="1" applyFont="1" applyBorder="1"/>
    <xf numFmtId="43" fontId="2" fillId="2" borderId="0" xfId="3" applyNumberFormat="1" applyFont="1" applyBorder="1"/>
    <xf numFmtId="43" fontId="2" fillId="3" borderId="0" xfId="4" applyNumberFormat="1" applyFont="1" applyBorder="1"/>
    <xf numFmtId="9" fontId="1" fillId="0" borderId="0" xfId="6" applyFont="1" applyBorder="1"/>
    <xf numFmtId="0" fontId="2" fillId="5" borderId="0" xfId="0" applyFont="1" applyFill="1"/>
    <xf numFmtId="165" fontId="2" fillId="5" borderId="0" xfId="0" applyNumberFormat="1" applyFont="1" applyFill="1" applyAlignment="1">
      <alignment horizontal="center"/>
    </xf>
    <xf numFmtId="0" fontId="2" fillId="5" borderId="0" xfId="0" applyFont="1" applyFill="1" applyAlignment="1">
      <alignment horizontal="center"/>
    </xf>
    <xf numFmtId="43" fontId="0" fillId="0" borderId="0" xfId="1" applyFont="1" applyBorder="1" applyAlignment="1">
      <alignment horizontal="center"/>
    </xf>
    <xf numFmtId="43" fontId="1" fillId="0" borderId="0" xfId="1" applyFont="1" applyBorder="1" applyAlignment="1">
      <alignment horizontal="center"/>
    </xf>
    <xf numFmtId="10" fontId="1" fillId="0" borderId="0" xfId="0" applyNumberFormat="1" applyFont="1"/>
    <xf numFmtId="165" fontId="2" fillId="5" borderId="0" xfId="1" applyNumberFormat="1" applyFont="1" applyFill="1" applyBorder="1"/>
    <xf numFmtId="165" fontId="9" fillId="0" borderId="0" xfId="1" applyNumberFormat="1" applyFont="1" applyFill="1" applyBorder="1"/>
    <xf numFmtId="0" fontId="7" fillId="0" borderId="0" xfId="0" applyFont="1"/>
    <xf numFmtId="0" fontId="0" fillId="0" borderId="0" xfId="0" applyAlignment="1">
      <alignment horizontal="left"/>
    </xf>
    <xf numFmtId="0" fontId="6" fillId="0" borderId="0" xfId="2" applyFont="1" applyBorder="1" applyAlignment="1" applyProtection="1">
      <alignment horizontal="left"/>
    </xf>
    <xf numFmtId="0" fontId="6" fillId="0" borderId="0" xfId="2" applyFont="1" applyBorder="1" applyAlignment="1" applyProtection="1"/>
    <xf numFmtId="0" fontId="9" fillId="0" borderId="0" xfId="0" applyFont="1"/>
    <xf numFmtId="164" fontId="0" fillId="0" borderId="0" xfId="1" applyNumberFormat="1" applyFont="1" applyBorder="1"/>
    <xf numFmtId="0" fontId="1" fillId="8" borderId="0" xfId="0" applyFont="1" applyFill="1"/>
    <xf numFmtId="17" fontId="1" fillId="8" borderId="0" xfId="0" applyNumberFormat="1" applyFont="1" applyFill="1"/>
    <xf numFmtId="166" fontId="0" fillId="0" borderId="0" xfId="0" applyNumberFormat="1"/>
    <xf numFmtId="10" fontId="0" fillId="0" borderId="0" xfId="6" applyNumberFormat="1" applyFont="1"/>
    <xf numFmtId="0" fontId="10" fillId="0" borderId="0" xfId="0" applyFont="1"/>
    <xf numFmtId="10" fontId="10" fillId="0" borderId="0" xfId="6" applyNumberFormat="1" applyFont="1"/>
    <xf numFmtId="166" fontId="1" fillId="0" borderId="0" xfId="0" applyNumberFormat="1" applyFont="1"/>
    <xf numFmtId="167" fontId="0" fillId="0" borderId="0" xfId="0" applyNumberFormat="1"/>
    <xf numFmtId="43" fontId="1" fillId="0" borderId="1" xfId="1" applyFont="1" applyBorder="1"/>
    <xf numFmtId="167" fontId="1" fillId="0" borderId="1" xfId="0" applyNumberFormat="1" applyFont="1" applyBorder="1"/>
    <xf numFmtId="166" fontId="1" fillId="0" borderId="1" xfId="0" applyNumberFormat="1" applyFont="1" applyBorder="1"/>
    <xf numFmtId="43" fontId="1" fillId="0" borderId="1" xfId="1" applyFont="1" applyFill="1" applyBorder="1"/>
    <xf numFmtId="0" fontId="1" fillId="0" borderId="1" xfId="0" applyFont="1" applyBorder="1"/>
    <xf numFmtId="10" fontId="1" fillId="0" borderId="0" xfId="6" applyNumberFormat="1" applyFont="1"/>
    <xf numFmtId="0" fontId="0" fillId="6" borderId="0" xfId="0" applyFill="1"/>
    <xf numFmtId="0" fontId="13" fillId="9" borderId="0" xfId="0" applyFont="1" applyFill="1"/>
    <xf numFmtId="0" fontId="14" fillId="9" borderId="0" xfId="0" applyFont="1" applyFill="1"/>
    <xf numFmtId="0" fontId="12" fillId="0" borderId="0" xfId="0" applyFont="1"/>
    <xf numFmtId="0" fontId="0" fillId="0" borderId="2" xfId="0" applyBorder="1"/>
    <xf numFmtId="0" fontId="11" fillId="0" borderId="0" xfId="0" applyFont="1"/>
    <xf numFmtId="165" fontId="1" fillId="8" borderId="0" xfId="0" applyNumberFormat="1" applyFont="1" applyFill="1" applyAlignment="1">
      <alignment horizontal="center"/>
    </xf>
    <xf numFmtId="0" fontId="0" fillId="8" borderId="0" xfId="0" applyFill="1"/>
    <xf numFmtId="168" fontId="0" fillId="0" borderId="0" xfId="0" applyNumberFormat="1"/>
    <xf numFmtId="0" fontId="1" fillId="7" borderId="0" xfId="0" applyFont="1" applyFill="1"/>
    <xf numFmtId="10" fontId="1" fillId="7" borderId="0" xfId="6" applyNumberFormat="1" applyFont="1" applyFill="1"/>
    <xf numFmtId="169" fontId="1" fillId="7" borderId="0" xfId="6" applyNumberFormat="1" applyFont="1" applyFill="1"/>
    <xf numFmtId="0" fontId="13" fillId="0" borderId="0" xfId="0" applyFont="1"/>
    <xf numFmtId="0" fontId="16" fillId="0" borderId="0" xfId="0" applyFont="1"/>
    <xf numFmtId="0" fontId="19" fillId="6" borderId="0" xfId="0" applyFont="1" applyFill="1" applyAlignment="1">
      <alignment vertical="center" readingOrder="1"/>
    </xf>
    <xf numFmtId="43" fontId="4" fillId="0" borderId="0" xfId="2" applyNumberFormat="1" applyBorder="1" applyAlignment="1" applyProtection="1">
      <alignment horizontal="center"/>
    </xf>
    <xf numFmtId="43" fontId="2" fillId="4" borderId="0" xfId="5" applyNumberFormat="1" applyFont="1" applyBorder="1" applyAlignment="1">
      <alignment horizontal="center"/>
    </xf>
    <xf numFmtId="0" fontId="2" fillId="6" borderId="0" xfId="0" applyFont="1" applyFill="1" applyAlignment="1">
      <alignment horizontal="center"/>
    </xf>
    <xf numFmtId="0" fontId="1" fillId="7" borderId="0" xfId="0" applyFont="1" applyFill="1" applyAlignment="1">
      <alignment horizontal="center"/>
    </xf>
    <xf numFmtId="0" fontId="15" fillId="6" borderId="0" xfId="0" applyFont="1" applyFill="1" applyAlignment="1">
      <alignment horizontal="center"/>
    </xf>
    <xf numFmtId="0" fontId="17" fillId="0" borderId="0" xfId="0" applyFont="1" applyAlignment="1">
      <alignment horizontal="center" vertical="center" wrapText="1" readingOrder="1"/>
    </xf>
    <xf numFmtId="0" fontId="0" fillId="0" borderId="0" xfId="0" applyAlignment="1">
      <alignment horizontal="left" vertical="top" wrapText="1"/>
    </xf>
    <xf numFmtId="0" fontId="20" fillId="0" borderId="0" xfId="0" applyFont="1"/>
    <xf numFmtId="0" fontId="21" fillId="0" borderId="0" xfId="0" applyFont="1" applyAlignment="1">
      <alignment horizontal="right"/>
    </xf>
    <xf numFmtId="0" fontId="0" fillId="7" borderId="0" xfId="0" applyFill="1"/>
    <xf numFmtId="2" fontId="0" fillId="7" borderId="0" xfId="0" applyNumberFormat="1" applyFill="1"/>
  </cellXfs>
  <cellStyles count="7">
    <cellStyle name="60% - Accent1" xfId="3" builtinId="32"/>
    <cellStyle name="60% - Accent3" xfId="4" builtinId="40"/>
    <cellStyle name="Accent6" xfId="5" builtinId="49"/>
    <cellStyle name="Comma" xfId="1" builtinId="3"/>
    <cellStyle name="Hyperlink" xfId="2" builtinId="8"/>
    <cellStyle name="Normal" xfId="0" builtinId="0"/>
    <cellStyle name="Percent" xfId="6" builtinId="5"/>
  </cellStyles>
  <dxfs count="31">
    <dxf>
      <font>
        <b/>
        <i val="0"/>
        <color theme="0"/>
      </font>
      <fill>
        <patternFill>
          <bgColor theme="5"/>
        </patternFill>
      </fill>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style="thin">
          <color theme="4"/>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style="thin">
          <color theme="4"/>
        </right>
        <top/>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dxf>
  </dxfs>
  <tableStyles count="0" defaultTableStyle="TableStyleMedium9" defaultPivotStyle="PivotStyleLight16"/>
  <colors>
    <mruColors>
      <color rgb="FFFF6600"/>
      <color rgb="FF0275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aseline="0">
                <a:solidFill>
                  <a:sysClr val="windowText" lastClr="000000"/>
                </a:solidFill>
              </a:rPr>
              <a:t>Net profit </a:t>
            </a:r>
            <a:endParaRPr lang="en-IN" sz="1600">
              <a:solidFill>
                <a:sysClr val="windowText" lastClr="000000"/>
              </a:solidFill>
            </a:endParaRPr>
          </a:p>
        </c:rich>
      </c:tx>
      <c:layout>
        <c:manualLayout>
          <c:xMode val="edge"/>
          <c:yMode val="edge"/>
          <c:x val="0.26441267510470307"/>
          <c:y val="3.0568514189687659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78679872615965E-2"/>
          <c:y val="7.4773866092222821E-2"/>
          <c:w val="0.9222426402547681"/>
          <c:h val="0.8401789568236121"/>
        </c:manualLayout>
      </c:layout>
      <c:barChart>
        <c:barDir val="col"/>
        <c:grouping val="clustered"/>
        <c:varyColors val="0"/>
        <c:ser>
          <c:idx val="0"/>
          <c:order val="0"/>
          <c:spPr>
            <a:solidFill>
              <a:schemeClr val="accent3">
                <a:lumMod val="60000"/>
                <a:lumOff val="40000"/>
              </a:schemeClr>
            </a:solidFill>
            <a:ln>
              <a:noFill/>
            </a:ln>
            <a:effectLst/>
          </c:spPr>
          <c:invertIfNegative val="0"/>
          <c:dPt>
            <c:idx val="0"/>
            <c:invertIfNegative val="0"/>
            <c:bubble3D val="0"/>
            <c:spPr>
              <a:solidFill>
                <a:srgbClr val="FF6600"/>
              </a:solidFill>
              <a:ln>
                <a:noFill/>
              </a:ln>
              <a:effectLst/>
            </c:spPr>
            <c:extLst>
              <c:ext xmlns:c16="http://schemas.microsoft.com/office/drawing/2014/chart" uri="{C3380CC4-5D6E-409C-BE32-E72D297353CC}">
                <c16:uniqueId val="{00000004-9743-4348-A577-87463B212B0E}"/>
              </c:ext>
            </c:extLst>
          </c:dPt>
          <c:dPt>
            <c:idx val="1"/>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3-9743-4348-A577-87463B212B0E}"/>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1-9743-4348-A577-87463B212B0E}"/>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743-4348-A577-87463B212B0E}"/>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43-4348-A577-87463B212B0E}"/>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43-4348-A577-87463B212B0E}"/>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743-4348-A577-87463B212B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dupont!$F$63:$I$63</c:f>
              <c:numCache>
                <c:formatCode>[$-409]mmm\-yy;@</c:formatCode>
                <c:ptCount val="4"/>
                <c:pt idx="0">
                  <c:v>44286</c:v>
                </c:pt>
                <c:pt idx="1">
                  <c:v>44651</c:v>
                </c:pt>
                <c:pt idx="2">
                  <c:v>45016</c:v>
                </c:pt>
                <c:pt idx="3">
                  <c:v>45382</c:v>
                </c:pt>
              </c:numCache>
            </c:numRef>
          </c:cat>
          <c:val>
            <c:numRef>
              <c:f>dupont!$F$64:$I$64</c:f>
              <c:numCache>
                <c:formatCode>#,##0.0</c:formatCode>
                <c:ptCount val="4"/>
                <c:pt idx="0">
                  <c:v>2903.82</c:v>
                </c:pt>
                <c:pt idx="1">
                  <c:v>3272.73</c:v>
                </c:pt>
                <c:pt idx="2">
                  <c:v>8473.58</c:v>
                </c:pt>
                <c:pt idx="3">
                  <c:v>9576.3799999999992</c:v>
                </c:pt>
              </c:numCache>
            </c:numRef>
          </c:val>
          <c:extLst>
            <c:ext xmlns:c16="http://schemas.microsoft.com/office/drawing/2014/chart" uri="{C3380CC4-5D6E-409C-BE32-E72D297353CC}">
              <c16:uniqueId val="{00000000-9743-4348-A577-87463B212B0E}"/>
            </c:ext>
          </c:extLst>
        </c:ser>
        <c:dLbls>
          <c:showLegendKey val="0"/>
          <c:showVal val="0"/>
          <c:showCatName val="0"/>
          <c:showSerName val="0"/>
          <c:showPercent val="0"/>
          <c:showBubbleSize val="0"/>
        </c:dLbls>
        <c:gapWidth val="219"/>
        <c:overlap val="-27"/>
        <c:axId val="1676487008"/>
        <c:axId val="1676485088"/>
      </c:barChart>
      <c:dateAx>
        <c:axId val="167648700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485088"/>
        <c:crosses val="autoZero"/>
        <c:auto val="1"/>
        <c:lblOffset val="100"/>
        <c:baseTimeUnit val="years"/>
      </c:dateAx>
      <c:valAx>
        <c:axId val="1676485088"/>
        <c:scaling>
          <c:orientation val="minMax"/>
        </c:scaling>
        <c:delete val="1"/>
        <c:axPos val="l"/>
        <c:numFmt formatCode="#,##0.0" sourceLinked="1"/>
        <c:majorTickMark val="none"/>
        <c:minorTickMark val="none"/>
        <c:tickLblPos val="nextTo"/>
        <c:crossAx val="167648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aseline="0">
                <a:solidFill>
                  <a:sysClr val="windowText" lastClr="000000"/>
                </a:solidFill>
              </a:rPr>
              <a:t>Revenue</a:t>
            </a:r>
            <a:r>
              <a:rPr lang="en-IN" sz="1600" baseline="0">
                <a:solidFill>
                  <a:schemeClr val="bg1">
                    <a:lumMod val="50000"/>
                  </a:schemeClr>
                </a:solidFill>
              </a:rPr>
              <a:t> </a:t>
            </a:r>
            <a:endParaRPr lang="en-IN" sz="1600">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78679872615965E-2"/>
          <c:y val="7.4773866092222821E-2"/>
          <c:w val="0.9222426402547681"/>
          <c:h val="0.8401789568236121"/>
        </c:manualLayout>
      </c:layout>
      <c:barChart>
        <c:barDir val="col"/>
        <c:grouping val="clustered"/>
        <c:varyColors val="0"/>
        <c:ser>
          <c:idx val="0"/>
          <c:order val="0"/>
          <c:spPr>
            <a:solidFill>
              <a:schemeClr val="accent3">
                <a:lumMod val="60000"/>
                <a:lumOff val="40000"/>
              </a:schemeClr>
            </a:solidFill>
            <a:ln>
              <a:noFill/>
            </a:ln>
            <a:effectLst/>
          </c:spPr>
          <c:invertIfNegative val="0"/>
          <c:dPt>
            <c:idx val="0"/>
            <c:invertIfNegative val="0"/>
            <c:bubble3D val="0"/>
            <c:spPr>
              <a:solidFill>
                <a:srgbClr val="FF6600"/>
              </a:solidFill>
              <a:ln>
                <a:noFill/>
              </a:ln>
              <a:effectLst/>
            </c:spPr>
            <c:extLst>
              <c:ext xmlns:c16="http://schemas.microsoft.com/office/drawing/2014/chart" uri="{C3380CC4-5D6E-409C-BE32-E72D297353CC}">
                <c16:uniqueId val="{0000000B-BDA4-41B6-97AD-2CE17715EEBF}"/>
              </c:ext>
            </c:extLst>
          </c:dPt>
          <c:dPt>
            <c:idx val="1"/>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A-BDA4-41B6-97AD-2CE17715EEBF}"/>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9-BDA4-41B6-97AD-2CE17715EE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dupont!$F$69:$I$69</c:f>
              <c:numCache>
                <c:formatCode>[$-409]mmm\-yy;@</c:formatCode>
                <c:ptCount val="4"/>
                <c:pt idx="0">
                  <c:v>44286</c:v>
                </c:pt>
                <c:pt idx="1">
                  <c:v>44651</c:v>
                </c:pt>
                <c:pt idx="2">
                  <c:v>45016</c:v>
                </c:pt>
                <c:pt idx="3">
                  <c:v>45382</c:v>
                </c:pt>
              </c:numCache>
            </c:numRef>
          </c:cat>
          <c:val>
            <c:numRef>
              <c:f>dupont!$F$72:$I$72</c:f>
              <c:numCache>
                <c:formatCode>#,##0.0</c:formatCode>
                <c:ptCount val="4"/>
                <c:pt idx="0">
                  <c:v>33498.14</c:v>
                </c:pt>
                <c:pt idx="1">
                  <c:v>38654.49</c:v>
                </c:pt>
                <c:pt idx="2">
                  <c:v>43885.68</c:v>
                </c:pt>
                <c:pt idx="3">
                  <c:v>48496.85</c:v>
                </c:pt>
              </c:numCache>
            </c:numRef>
          </c:val>
          <c:extLst>
            <c:ext xmlns:c16="http://schemas.microsoft.com/office/drawing/2014/chart" uri="{C3380CC4-5D6E-409C-BE32-E72D297353CC}">
              <c16:uniqueId val="{00000008-BDA4-41B6-97AD-2CE17715EEBF}"/>
            </c:ext>
          </c:extLst>
        </c:ser>
        <c:dLbls>
          <c:showLegendKey val="0"/>
          <c:showVal val="0"/>
          <c:showCatName val="0"/>
          <c:showSerName val="0"/>
          <c:showPercent val="0"/>
          <c:showBubbleSize val="0"/>
        </c:dLbls>
        <c:gapWidth val="219"/>
        <c:overlap val="-27"/>
        <c:axId val="1676487008"/>
        <c:axId val="1676485088"/>
      </c:barChart>
      <c:dateAx>
        <c:axId val="167648700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485088"/>
        <c:crosses val="autoZero"/>
        <c:auto val="1"/>
        <c:lblOffset val="100"/>
        <c:baseTimeUnit val="years"/>
      </c:dateAx>
      <c:valAx>
        <c:axId val="1676485088"/>
        <c:scaling>
          <c:orientation val="minMax"/>
        </c:scaling>
        <c:delete val="1"/>
        <c:axPos val="l"/>
        <c:numFmt formatCode="#,##0.0" sourceLinked="1"/>
        <c:majorTickMark val="none"/>
        <c:minorTickMark val="none"/>
        <c:tickLblPos val="nextTo"/>
        <c:crossAx val="167648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aseline="0">
                <a:solidFill>
                  <a:sysClr val="windowText" lastClr="000000"/>
                </a:solidFill>
              </a:rPr>
              <a:t>Avearge Total Asset </a:t>
            </a:r>
            <a:endParaRPr lang="en-IN" sz="1600">
              <a:solidFill>
                <a:sysClr val="windowText" lastClr="000000"/>
              </a:solidFill>
            </a:endParaRPr>
          </a:p>
        </c:rich>
      </c:tx>
      <c:layout>
        <c:manualLayout>
          <c:xMode val="edge"/>
          <c:yMode val="edge"/>
          <c:x val="0.1335184264774181"/>
          <c:y val="1.02689286879503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4052439888862642E-2"/>
          <c:y val="0.12799613176733518"/>
          <c:w val="0.9222426402547681"/>
          <c:h val="0.77856551151999953"/>
        </c:manualLayout>
      </c:layout>
      <c:barChart>
        <c:barDir val="col"/>
        <c:grouping val="clustered"/>
        <c:varyColors val="0"/>
        <c:ser>
          <c:idx val="0"/>
          <c:order val="0"/>
          <c:spPr>
            <a:solidFill>
              <a:schemeClr val="accent3">
                <a:lumMod val="60000"/>
                <a:lumOff val="40000"/>
              </a:schemeClr>
            </a:solidFill>
            <a:ln>
              <a:noFill/>
            </a:ln>
            <a:effectLst/>
          </c:spPr>
          <c:invertIfNegative val="0"/>
          <c:dPt>
            <c:idx val="0"/>
            <c:invertIfNegative val="0"/>
            <c:bubble3D val="0"/>
            <c:spPr>
              <a:solidFill>
                <a:srgbClr val="FF6600"/>
              </a:solidFill>
              <a:ln>
                <a:noFill/>
              </a:ln>
              <a:effectLst/>
            </c:spPr>
            <c:extLst>
              <c:ext xmlns:c16="http://schemas.microsoft.com/office/drawing/2014/chart" uri="{C3380CC4-5D6E-409C-BE32-E72D297353CC}">
                <c16:uniqueId val="{00000001-A69F-46E6-9473-B05A00DA3489}"/>
              </c:ext>
            </c:extLst>
          </c:dPt>
          <c:dPt>
            <c:idx val="1"/>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3-A69F-46E6-9473-B05A00DA3489}"/>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5-A69F-46E6-9473-B05A00DA34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dupont!$F$69:$I$69</c:f>
              <c:numCache>
                <c:formatCode>[$-409]mmm\-yy;@</c:formatCode>
                <c:ptCount val="4"/>
                <c:pt idx="0">
                  <c:v>44286</c:v>
                </c:pt>
                <c:pt idx="1">
                  <c:v>44651</c:v>
                </c:pt>
                <c:pt idx="2">
                  <c:v>45016</c:v>
                </c:pt>
                <c:pt idx="3">
                  <c:v>45382</c:v>
                </c:pt>
              </c:numCache>
            </c:numRef>
          </c:cat>
          <c:val>
            <c:numRef>
              <c:f>dupont!$F$76:$I$76</c:f>
              <c:numCache>
                <c:formatCode>#,##0.0</c:formatCode>
                <c:ptCount val="4"/>
                <c:pt idx="0">
                  <c:v>34436.959999999999</c:v>
                </c:pt>
                <c:pt idx="1">
                  <c:v>33932.660000000003</c:v>
                </c:pt>
                <c:pt idx="2">
                  <c:v>34912.160000000003</c:v>
                </c:pt>
                <c:pt idx="3">
                  <c:v>39282.875</c:v>
                </c:pt>
              </c:numCache>
            </c:numRef>
          </c:val>
          <c:extLst>
            <c:ext xmlns:c16="http://schemas.microsoft.com/office/drawing/2014/chart" uri="{C3380CC4-5D6E-409C-BE32-E72D297353CC}">
              <c16:uniqueId val="{00000006-A69F-46E6-9473-B05A00DA3489}"/>
            </c:ext>
          </c:extLst>
        </c:ser>
        <c:dLbls>
          <c:showLegendKey val="0"/>
          <c:showVal val="0"/>
          <c:showCatName val="0"/>
          <c:showSerName val="0"/>
          <c:showPercent val="0"/>
          <c:showBubbleSize val="0"/>
        </c:dLbls>
        <c:gapWidth val="219"/>
        <c:overlap val="-27"/>
        <c:axId val="1676487008"/>
        <c:axId val="1676485088"/>
      </c:barChart>
      <c:dateAx>
        <c:axId val="167648700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485088"/>
        <c:crosses val="autoZero"/>
        <c:auto val="1"/>
        <c:lblOffset val="100"/>
        <c:baseTimeUnit val="years"/>
      </c:dateAx>
      <c:valAx>
        <c:axId val="1676485088"/>
        <c:scaling>
          <c:orientation val="minMax"/>
        </c:scaling>
        <c:delete val="1"/>
        <c:axPos val="l"/>
        <c:numFmt formatCode="#,##0.0" sourceLinked="1"/>
        <c:majorTickMark val="none"/>
        <c:minorTickMark val="none"/>
        <c:tickLblPos val="nextTo"/>
        <c:crossAx val="167648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aseline="0">
                <a:solidFill>
                  <a:sysClr val="windowText" lastClr="000000"/>
                </a:solidFill>
              </a:rPr>
              <a:t>Return on Equity </a:t>
            </a:r>
            <a:endParaRPr lang="en-IN" sz="1600">
              <a:solidFill>
                <a:sysClr val="windowText" lastClr="000000"/>
              </a:solidFill>
            </a:endParaRPr>
          </a:p>
        </c:rich>
      </c:tx>
      <c:layout>
        <c:manualLayout>
          <c:xMode val="edge"/>
          <c:yMode val="edge"/>
          <c:x val="0.12782419499100098"/>
          <c:y val="0"/>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78679872615965E-2"/>
          <c:y val="0.12513229458651995"/>
          <c:w val="0.9222426402547681"/>
          <c:h val="0.78982067054250149"/>
        </c:manualLayout>
      </c:layout>
      <c:barChart>
        <c:barDir val="col"/>
        <c:grouping val="clustered"/>
        <c:varyColors val="0"/>
        <c:ser>
          <c:idx val="0"/>
          <c:order val="0"/>
          <c:spPr>
            <a:solidFill>
              <a:schemeClr val="accent3">
                <a:lumMod val="60000"/>
                <a:lumOff val="40000"/>
              </a:schemeClr>
            </a:solidFill>
            <a:ln>
              <a:noFill/>
            </a:ln>
            <a:effectLst/>
          </c:spPr>
          <c:invertIfNegative val="0"/>
          <c:dPt>
            <c:idx val="0"/>
            <c:invertIfNegative val="0"/>
            <c:bubble3D val="0"/>
            <c:spPr>
              <a:solidFill>
                <a:srgbClr val="FF6600"/>
              </a:solidFill>
              <a:ln>
                <a:noFill/>
              </a:ln>
              <a:effectLst/>
            </c:spPr>
            <c:extLst>
              <c:ext xmlns:c16="http://schemas.microsoft.com/office/drawing/2014/chart" uri="{C3380CC4-5D6E-409C-BE32-E72D297353CC}">
                <c16:uniqueId val="{00000001-1415-41BB-8490-0498341694A8}"/>
              </c:ext>
            </c:extLst>
          </c:dPt>
          <c:dPt>
            <c:idx val="1"/>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3-1415-41BB-8490-0498341694A8}"/>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5-1415-41BB-8490-0498341694A8}"/>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15-41BB-8490-0498341694A8}"/>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15-41BB-8490-0498341694A8}"/>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415-41BB-8490-0498341694A8}"/>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415-41BB-8490-0498341694A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dupont!$F$63:$I$63</c:f>
              <c:numCache>
                <c:formatCode>[$-409]mmm\-yy;@</c:formatCode>
                <c:ptCount val="4"/>
                <c:pt idx="0">
                  <c:v>44286</c:v>
                </c:pt>
                <c:pt idx="1">
                  <c:v>44651</c:v>
                </c:pt>
                <c:pt idx="2">
                  <c:v>45016</c:v>
                </c:pt>
                <c:pt idx="3">
                  <c:v>45382</c:v>
                </c:pt>
              </c:numCache>
            </c:numRef>
          </c:cat>
          <c:val>
            <c:numRef>
              <c:f>dupont!$F$66:$I$66</c:f>
              <c:numCache>
                <c:formatCode>0.00%</c:formatCode>
                <c:ptCount val="4"/>
                <c:pt idx="0">
                  <c:v>6.3314241583442565E-2</c:v>
                </c:pt>
                <c:pt idx="1">
                  <c:v>6.9283189025552E-2</c:v>
                </c:pt>
                <c:pt idx="2">
                  <c:v>0.16294312091732638</c:v>
                </c:pt>
                <c:pt idx="3">
                  <c:v>0.16005698711864813</c:v>
                </c:pt>
              </c:numCache>
            </c:numRef>
          </c:val>
          <c:extLst>
            <c:ext xmlns:c16="http://schemas.microsoft.com/office/drawing/2014/chart" uri="{C3380CC4-5D6E-409C-BE32-E72D297353CC}">
              <c16:uniqueId val="{00000007-1415-41BB-8490-0498341694A8}"/>
            </c:ext>
          </c:extLst>
        </c:ser>
        <c:dLbls>
          <c:showLegendKey val="0"/>
          <c:showVal val="0"/>
          <c:showCatName val="0"/>
          <c:showSerName val="0"/>
          <c:showPercent val="0"/>
          <c:showBubbleSize val="0"/>
        </c:dLbls>
        <c:gapWidth val="219"/>
        <c:overlap val="-27"/>
        <c:axId val="1676487008"/>
        <c:axId val="1676485088"/>
      </c:barChart>
      <c:dateAx>
        <c:axId val="167648700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485088"/>
        <c:crosses val="autoZero"/>
        <c:auto val="1"/>
        <c:lblOffset val="100"/>
        <c:baseTimeUnit val="years"/>
      </c:dateAx>
      <c:valAx>
        <c:axId val="1676485088"/>
        <c:scaling>
          <c:orientation val="minMax"/>
        </c:scaling>
        <c:delete val="1"/>
        <c:axPos val="l"/>
        <c:numFmt formatCode="0.00%" sourceLinked="1"/>
        <c:majorTickMark val="none"/>
        <c:minorTickMark val="none"/>
        <c:tickLblPos val="nextTo"/>
        <c:crossAx val="167648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aseline="0">
                <a:solidFill>
                  <a:sysClr val="windowText" lastClr="000000"/>
                </a:solidFill>
              </a:rPr>
              <a:t>Return on Asset </a:t>
            </a:r>
            <a:endParaRPr lang="en-IN" sz="1600">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78679872615965E-2"/>
          <c:y val="0.13847872011098564"/>
          <c:w val="0.9222426402547681"/>
          <c:h val="0.77647409953163604"/>
        </c:manualLayout>
      </c:layout>
      <c:barChart>
        <c:barDir val="col"/>
        <c:grouping val="clustered"/>
        <c:varyColors val="0"/>
        <c:ser>
          <c:idx val="0"/>
          <c:order val="0"/>
          <c:spPr>
            <a:solidFill>
              <a:schemeClr val="accent3">
                <a:lumMod val="60000"/>
                <a:lumOff val="40000"/>
              </a:schemeClr>
            </a:solidFill>
            <a:ln>
              <a:noFill/>
            </a:ln>
            <a:effectLst/>
          </c:spPr>
          <c:invertIfNegative val="0"/>
          <c:dPt>
            <c:idx val="0"/>
            <c:invertIfNegative val="0"/>
            <c:bubble3D val="0"/>
            <c:spPr>
              <a:solidFill>
                <a:srgbClr val="FF6600"/>
              </a:solidFill>
              <a:ln>
                <a:noFill/>
              </a:ln>
              <a:effectLst/>
            </c:spPr>
            <c:extLst>
              <c:ext xmlns:c16="http://schemas.microsoft.com/office/drawing/2014/chart" uri="{C3380CC4-5D6E-409C-BE32-E72D297353CC}">
                <c16:uniqueId val="{00000001-8E57-422F-8821-9B256BEDFD38}"/>
              </c:ext>
            </c:extLst>
          </c:dPt>
          <c:dPt>
            <c:idx val="1"/>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3-8E57-422F-8821-9B256BEDFD38}"/>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5-8E57-422F-8821-9B256BEDFD38}"/>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57-422F-8821-9B256BEDFD38}"/>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E57-422F-8821-9B256BEDFD38}"/>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E57-422F-8821-9B256BEDFD38}"/>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E57-422F-8821-9B256BEDFD3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dupont!$F$86:$I$86</c:f>
              <c:numCache>
                <c:formatCode>[$-409]mmm\-yy;@</c:formatCode>
                <c:ptCount val="4"/>
                <c:pt idx="0">
                  <c:v>44286</c:v>
                </c:pt>
                <c:pt idx="1">
                  <c:v>44651</c:v>
                </c:pt>
                <c:pt idx="2">
                  <c:v>45016</c:v>
                </c:pt>
                <c:pt idx="3">
                  <c:v>45382</c:v>
                </c:pt>
              </c:numCache>
            </c:numRef>
          </c:cat>
          <c:val>
            <c:numRef>
              <c:f>dupont!$F$89:$I$89</c:f>
              <c:numCache>
                <c:formatCode>0.00%</c:formatCode>
                <c:ptCount val="4"/>
                <c:pt idx="0">
                  <c:v>8.4322774135696069E-2</c:v>
                </c:pt>
                <c:pt idx="1">
                  <c:v>9.6447788060234588E-2</c:v>
                </c:pt>
                <c:pt idx="2">
                  <c:v>0.24271142203747917</c:v>
                </c:pt>
                <c:pt idx="3">
                  <c:v>0.24378001864680218</c:v>
                </c:pt>
              </c:numCache>
            </c:numRef>
          </c:val>
          <c:extLst>
            <c:ext xmlns:c16="http://schemas.microsoft.com/office/drawing/2014/chart" uri="{C3380CC4-5D6E-409C-BE32-E72D297353CC}">
              <c16:uniqueId val="{00000007-8E57-422F-8821-9B256BEDFD38}"/>
            </c:ext>
          </c:extLst>
        </c:ser>
        <c:dLbls>
          <c:showLegendKey val="0"/>
          <c:showVal val="0"/>
          <c:showCatName val="0"/>
          <c:showSerName val="0"/>
          <c:showPercent val="0"/>
          <c:showBubbleSize val="0"/>
        </c:dLbls>
        <c:gapWidth val="219"/>
        <c:overlap val="-27"/>
        <c:axId val="1676487008"/>
        <c:axId val="1676485088"/>
      </c:barChart>
      <c:dateAx>
        <c:axId val="167648700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485088"/>
        <c:crosses val="autoZero"/>
        <c:auto val="1"/>
        <c:lblOffset val="100"/>
        <c:baseTimeUnit val="years"/>
      </c:dateAx>
      <c:valAx>
        <c:axId val="1676485088"/>
        <c:scaling>
          <c:orientation val="minMax"/>
        </c:scaling>
        <c:delete val="1"/>
        <c:axPos val="l"/>
        <c:numFmt formatCode="0.00%" sourceLinked="1"/>
        <c:majorTickMark val="none"/>
        <c:minorTickMark val="none"/>
        <c:tickLblPos val="nextTo"/>
        <c:crossAx val="167648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aseline="0">
                <a:solidFill>
                  <a:sysClr val="windowText" lastClr="000000"/>
                </a:solidFill>
              </a:rPr>
              <a:t>Financial Leverage </a:t>
            </a:r>
            <a:endParaRPr lang="en-IN" sz="1600">
              <a:solidFill>
                <a:sysClr val="windowText" lastClr="000000"/>
              </a:solidFill>
            </a:endParaRPr>
          </a:p>
        </c:rich>
      </c:tx>
      <c:layout>
        <c:manualLayout>
          <c:xMode val="edge"/>
          <c:yMode val="edge"/>
          <c:x val="0.17403224861692093"/>
          <c:y val="4.4328541411238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78679872615965E-2"/>
          <c:y val="0.21545016408063392"/>
          <c:w val="0.9222426402547681"/>
          <c:h val="0.69950268417622374"/>
        </c:manualLayout>
      </c:layout>
      <c:barChart>
        <c:barDir val="col"/>
        <c:grouping val="clustered"/>
        <c:varyColors val="0"/>
        <c:ser>
          <c:idx val="0"/>
          <c:order val="0"/>
          <c:spPr>
            <a:solidFill>
              <a:schemeClr val="accent3">
                <a:lumMod val="60000"/>
                <a:lumOff val="40000"/>
              </a:schemeClr>
            </a:solidFill>
            <a:ln>
              <a:noFill/>
            </a:ln>
            <a:effectLst/>
          </c:spPr>
          <c:invertIfNegative val="0"/>
          <c:dPt>
            <c:idx val="0"/>
            <c:invertIfNegative val="0"/>
            <c:bubble3D val="0"/>
            <c:spPr>
              <a:solidFill>
                <a:srgbClr val="FF6600"/>
              </a:solidFill>
              <a:ln>
                <a:noFill/>
              </a:ln>
              <a:effectLst/>
            </c:spPr>
            <c:extLst>
              <c:ext xmlns:c16="http://schemas.microsoft.com/office/drawing/2014/chart" uri="{C3380CC4-5D6E-409C-BE32-E72D297353CC}">
                <c16:uniqueId val="{00000001-5CD9-421B-A2CE-19F7715A5966}"/>
              </c:ext>
            </c:extLst>
          </c:dPt>
          <c:dPt>
            <c:idx val="1"/>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3-5CD9-421B-A2CE-19F7715A5966}"/>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5-5CD9-421B-A2CE-19F7715A5966}"/>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D9-421B-A2CE-19F7715A5966}"/>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D9-421B-A2CE-19F7715A5966}"/>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CD9-421B-A2CE-19F7715A5966}"/>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CD9-421B-A2CE-19F7715A59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dupont!$F$69:$I$69</c:f>
              <c:numCache>
                <c:formatCode>[$-409]mmm\-yy;@</c:formatCode>
                <c:ptCount val="4"/>
                <c:pt idx="0">
                  <c:v>44286</c:v>
                </c:pt>
                <c:pt idx="1">
                  <c:v>44651</c:v>
                </c:pt>
                <c:pt idx="2">
                  <c:v>45016</c:v>
                </c:pt>
                <c:pt idx="3">
                  <c:v>45382</c:v>
                </c:pt>
              </c:numCache>
            </c:numRef>
          </c:cat>
          <c:val>
            <c:numRef>
              <c:f>dupont!$F$81:$I$81</c:f>
              <c:numCache>
                <c:formatCode>0.00\x</c:formatCode>
                <c:ptCount val="4"/>
                <c:pt idx="0">
                  <c:v>0.7508557709635405</c:v>
                </c:pt>
                <c:pt idx="1">
                  <c:v>0.71834917543451116</c:v>
                </c:pt>
                <c:pt idx="2">
                  <c:v>0.67134508771558732</c:v>
                </c:pt>
                <c:pt idx="3">
                  <c:v>0.6565631917132011</c:v>
                </c:pt>
              </c:numCache>
            </c:numRef>
          </c:val>
          <c:extLst>
            <c:ext xmlns:c16="http://schemas.microsoft.com/office/drawing/2014/chart" uri="{C3380CC4-5D6E-409C-BE32-E72D297353CC}">
              <c16:uniqueId val="{00000007-5CD9-421B-A2CE-19F7715A5966}"/>
            </c:ext>
          </c:extLst>
        </c:ser>
        <c:dLbls>
          <c:showLegendKey val="0"/>
          <c:showVal val="0"/>
          <c:showCatName val="0"/>
          <c:showSerName val="0"/>
          <c:showPercent val="0"/>
          <c:showBubbleSize val="0"/>
        </c:dLbls>
        <c:gapWidth val="219"/>
        <c:overlap val="-27"/>
        <c:axId val="1676487008"/>
        <c:axId val="1676485088"/>
      </c:barChart>
      <c:dateAx>
        <c:axId val="1676487008"/>
        <c:scaling>
          <c:orientation val="minMax"/>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485088"/>
        <c:crosses val="autoZero"/>
        <c:auto val="1"/>
        <c:lblOffset val="100"/>
        <c:baseTimeUnit val="years"/>
      </c:dateAx>
      <c:valAx>
        <c:axId val="1676485088"/>
        <c:scaling>
          <c:orientation val="minMax"/>
        </c:scaling>
        <c:delete val="1"/>
        <c:axPos val="l"/>
        <c:numFmt formatCode="0.00\x" sourceLinked="1"/>
        <c:majorTickMark val="none"/>
        <c:minorTickMark val="none"/>
        <c:tickLblPos val="nextTo"/>
        <c:crossAx val="167648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xdr:rowOff>
    </xdr:from>
    <xdr:to>
      <xdr:col>1</xdr:col>
      <xdr:colOff>542925</xdr:colOff>
      <xdr:row>3</xdr:row>
      <xdr:rowOff>148071</xdr:rowOff>
    </xdr:to>
    <xdr:pic>
      <xdr:nvPicPr>
        <xdr:cNvPr id="3" name="Picture 2">
          <a:extLst>
            <a:ext uri="{FF2B5EF4-FFF2-40B4-BE49-F238E27FC236}">
              <a16:creationId xmlns:a16="http://schemas.microsoft.com/office/drawing/2014/main" id="{DECAA3BF-4049-00FB-2CBD-3C953031D2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
          <a:ext cx="542925" cy="690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xdr:rowOff>
    </xdr:from>
    <xdr:to>
      <xdr:col>1</xdr:col>
      <xdr:colOff>542925</xdr:colOff>
      <xdr:row>3</xdr:row>
      <xdr:rowOff>148071</xdr:rowOff>
    </xdr:to>
    <xdr:pic>
      <xdr:nvPicPr>
        <xdr:cNvPr id="2" name="Picture 1">
          <a:extLst>
            <a:ext uri="{FF2B5EF4-FFF2-40B4-BE49-F238E27FC236}">
              <a16:creationId xmlns:a16="http://schemas.microsoft.com/office/drawing/2014/main" id="{53D125CA-8F9B-42CD-A568-FFEFCACA7C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
          <a:ext cx="542925" cy="69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652463</xdr:colOff>
      <xdr:row>1</xdr:row>
      <xdr:rowOff>52388</xdr:rowOff>
    </xdr:from>
    <xdr:to>
      <xdr:col>8</xdr:col>
      <xdr:colOff>700088</xdr:colOff>
      <xdr:row>5</xdr:row>
      <xdr:rowOff>138113</xdr:rowOff>
    </xdr:to>
    <xdr:pic>
      <xdr:nvPicPr>
        <xdr:cNvPr id="3" name="Picture 2">
          <a:extLst>
            <a:ext uri="{FF2B5EF4-FFF2-40B4-BE49-F238E27FC236}">
              <a16:creationId xmlns:a16="http://schemas.microsoft.com/office/drawing/2014/main" id="{FCDB5403-D3ED-7949-BFB0-2BE2C2A725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19913" y="233363"/>
          <a:ext cx="762000" cy="1000125"/>
        </a:xfrm>
        <a:prstGeom prst="rect">
          <a:avLst/>
        </a:prstGeom>
      </xdr:spPr>
    </xdr:pic>
    <xdr:clientData/>
  </xdr:twoCellAnchor>
  <xdr:twoCellAnchor>
    <xdr:from>
      <xdr:col>0</xdr:col>
      <xdr:colOff>90970</xdr:colOff>
      <xdr:row>15</xdr:row>
      <xdr:rowOff>8985</xdr:rowOff>
    </xdr:from>
    <xdr:to>
      <xdr:col>1</xdr:col>
      <xdr:colOff>2401372</xdr:colOff>
      <xdr:row>29</xdr:row>
      <xdr:rowOff>67077</xdr:rowOff>
    </xdr:to>
    <xdr:grpSp>
      <xdr:nvGrpSpPr>
        <xdr:cNvPr id="8" name="Group 7">
          <a:extLst>
            <a:ext uri="{FF2B5EF4-FFF2-40B4-BE49-F238E27FC236}">
              <a16:creationId xmlns:a16="http://schemas.microsoft.com/office/drawing/2014/main" id="{5278E1DA-2611-FBA3-FDD0-3AF616C80FF7}"/>
            </a:ext>
          </a:extLst>
        </xdr:cNvPr>
        <xdr:cNvGrpSpPr/>
      </xdr:nvGrpSpPr>
      <xdr:grpSpPr>
        <a:xfrm>
          <a:off x="90970" y="2903120"/>
          <a:ext cx="2463601" cy="2575889"/>
          <a:chOff x="90970" y="3094548"/>
          <a:chExt cx="2731347" cy="2779942"/>
        </a:xfrm>
      </xdr:grpSpPr>
      <xdr:graphicFrame macro="">
        <xdr:nvGraphicFramePr>
          <xdr:cNvPr id="5" name="Chart 4">
            <a:extLst>
              <a:ext uri="{FF2B5EF4-FFF2-40B4-BE49-F238E27FC236}">
                <a16:creationId xmlns:a16="http://schemas.microsoft.com/office/drawing/2014/main" id="{996E6507-FFD6-9FF3-633E-A118236B741F}"/>
              </a:ext>
            </a:extLst>
          </xdr:cNvPr>
          <xdr:cNvGraphicFramePr/>
        </xdr:nvGraphicFramePr>
        <xdr:xfrm>
          <a:off x="90970" y="3148463"/>
          <a:ext cx="2731347" cy="2726027"/>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7" name="Straight Connector 6">
            <a:extLst>
              <a:ext uri="{FF2B5EF4-FFF2-40B4-BE49-F238E27FC236}">
                <a16:creationId xmlns:a16="http://schemas.microsoft.com/office/drawing/2014/main" id="{E2395056-F7F4-A9C7-1CD2-711A4BDEC1F4}"/>
              </a:ext>
            </a:extLst>
          </xdr:cNvPr>
          <xdr:cNvCxnSpPr/>
        </xdr:nvCxnSpPr>
        <xdr:spPr>
          <a:xfrm>
            <a:off x="181236" y="3094548"/>
            <a:ext cx="2345307"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xdr:colOff>
      <xdr:row>15</xdr:row>
      <xdr:rowOff>20124</xdr:rowOff>
    </xdr:from>
    <xdr:to>
      <xdr:col>5</xdr:col>
      <xdr:colOff>311495</xdr:colOff>
      <xdr:row>29</xdr:row>
      <xdr:rowOff>78216</xdr:rowOff>
    </xdr:to>
    <xdr:grpSp>
      <xdr:nvGrpSpPr>
        <xdr:cNvPr id="9" name="Group 8">
          <a:extLst>
            <a:ext uri="{FF2B5EF4-FFF2-40B4-BE49-F238E27FC236}">
              <a16:creationId xmlns:a16="http://schemas.microsoft.com/office/drawing/2014/main" id="{5B9C0BB0-5EBA-40BC-BF79-30CAE717398B}"/>
            </a:ext>
          </a:extLst>
        </xdr:cNvPr>
        <xdr:cNvGrpSpPr/>
      </xdr:nvGrpSpPr>
      <xdr:grpSpPr>
        <a:xfrm>
          <a:off x="2697641" y="2914259"/>
          <a:ext cx="2459615" cy="2575889"/>
          <a:chOff x="90970" y="3094548"/>
          <a:chExt cx="2731347" cy="2779942"/>
        </a:xfrm>
      </xdr:grpSpPr>
      <xdr:graphicFrame macro="">
        <xdr:nvGraphicFramePr>
          <xdr:cNvPr id="10" name="Chart 9">
            <a:extLst>
              <a:ext uri="{FF2B5EF4-FFF2-40B4-BE49-F238E27FC236}">
                <a16:creationId xmlns:a16="http://schemas.microsoft.com/office/drawing/2014/main" id="{EE305371-EBEC-7AE8-691A-9C5F8FDA3139}"/>
              </a:ext>
            </a:extLst>
          </xdr:cNvPr>
          <xdr:cNvGraphicFramePr/>
        </xdr:nvGraphicFramePr>
        <xdr:xfrm>
          <a:off x="90970" y="3148463"/>
          <a:ext cx="2731347" cy="2726027"/>
        </xdr:xfrm>
        <a:graphic>
          <a:graphicData uri="http://schemas.openxmlformats.org/drawingml/2006/chart">
            <c:chart xmlns:c="http://schemas.openxmlformats.org/drawingml/2006/chart" xmlns:r="http://schemas.openxmlformats.org/officeDocument/2006/relationships" r:id="rId3"/>
          </a:graphicData>
        </a:graphic>
      </xdr:graphicFrame>
      <xdr:cxnSp macro="">
        <xdr:nvCxnSpPr>
          <xdr:cNvPr id="11" name="Straight Connector 10">
            <a:extLst>
              <a:ext uri="{FF2B5EF4-FFF2-40B4-BE49-F238E27FC236}">
                <a16:creationId xmlns:a16="http://schemas.microsoft.com/office/drawing/2014/main" id="{05F93622-C536-2484-5B2C-D25017F6402D}"/>
              </a:ext>
            </a:extLst>
          </xdr:cNvPr>
          <xdr:cNvCxnSpPr/>
        </xdr:nvCxnSpPr>
        <xdr:spPr>
          <a:xfrm>
            <a:off x="181236" y="3094548"/>
            <a:ext cx="2345307"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470144</xdr:colOff>
      <xdr:row>15</xdr:row>
      <xdr:rowOff>18318</xdr:rowOff>
    </xdr:from>
    <xdr:to>
      <xdr:col>9</xdr:col>
      <xdr:colOff>67264</xdr:colOff>
      <xdr:row>29</xdr:row>
      <xdr:rowOff>82516</xdr:rowOff>
    </xdr:to>
    <xdr:grpSp>
      <xdr:nvGrpSpPr>
        <xdr:cNvPr id="24" name="Group 23">
          <a:extLst>
            <a:ext uri="{FF2B5EF4-FFF2-40B4-BE49-F238E27FC236}">
              <a16:creationId xmlns:a16="http://schemas.microsoft.com/office/drawing/2014/main" id="{7C1D65D3-2BC9-4234-86A7-5DF8BAD0AF3F}"/>
            </a:ext>
          </a:extLst>
        </xdr:cNvPr>
        <xdr:cNvGrpSpPr/>
      </xdr:nvGrpSpPr>
      <xdr:grpSpPr>
        <a:xfrm>
          <a:off x="5315905" y="2912453"/>
          <a:ext cx="2461281" cy="2581995"/>
          <a:chOff x="9441" y="3094548"/>
          <a:chExt cx="2731347" cy="2786415"/>
        </a:xfrm>
      </xdr:grpSpPr>
      <xdr:graphicFrame macro="">
        <xdr:nvGraphicFramePr>
          <xdr:cNvPr id="25" name="Chart 24">
            <a:extLst>
              <a:ext uri="{FF2B5EF4-FFF2-40B4-BE49-F238E27FC236}">
                <a16:creationId xmlns:a16="http://schemas.microsoft.com/office/drawing/2014/main" id="{06F9C574-7FB1-62C7-699F-C9F680799088}"/>
              </a:ext>
            </a:extLst>
          </xdr:cNvPr>
          <xdr:cNvGraphicFramePr/>
        </xdr:nvGraphicFramePr>
        <xdr:xfrm>
          <a:off x="9441" y="3154936"/>
          <a:ext cx="2731347" cy="2726027"/>
        </xdr:xfrm>
        <a:graphic>
          <a:graphicData uri="http://schemas.openxmlformats.org/drawingml/2006/chart">
            <c:chart xmlns:c="http://schemas.openxmlformats.org/drawingml/2006/chart" xmlns:r="http://schemas.openxmlformats.org/officeDocument/2006/relationships" r:id="rId4"/>
          </a:graphicData>
        </a:graphic>
      </xdr:graphicFrame>
      <xdr:cxnSp macro="">
        <xdr:nvCxnSpPr>
          <xdr:cNvPr id="26" name="Straight Connector 25">
            <a:extLst>
              <a:ext uri="{FF2B5EF4-FFF2-40B4-BE49-F238E27FC236}">
                <a16:creationId xmlns:a16="http://schemas.microsoft.com/office/drawing/2014/main" id="{3760ADCC-05FA-EF42-2F32-5B0554C544E9}"/>
              </a:ext>
            </a:extLst>
          </xdr:cNvPr>
          <xdr:cNvCxnSpPr/>
        </xdr:nvCxnSpPr>
        <xdr:spPr>
          <a:xfrm>
            <a:off x="181236" y="3094548"/>
            <a:ext cx="2345307"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0</xdr:colOff>
      <xdr:row>31</xdr:row>
      <xdr:rowOff>0</xdr:rowOff>
    </xdr:from>
    <xdr:to>
      <xdr:col>1</xdr:col>
      <xdr:colOff>2463047</xdr:colOff>
      <xdr:row>45</xdr:row>
      <xdr:rowOff>89297</xdr:rowOff>
    </xdr:to>
    <xdr:grpSp>
      <xdr:nvGrpSpPr>
        <xdr:cNvPr id="27" name="Group 26">
          <a:extLst>
            <a:ext uri="{FF2B5EF4-FFF2-40B4-BE49-F238E27FC236}">
              <a16:creationId xmlns:a16="http://schemas.microsoft.com/office/drawing/2014/main" id="{9EC98020-D6BD-49AE-A4B2-45912391C3D7}"/>
            </a:ext>
          </a:extLst>
        </xdr:cNvPr>
        <xdr:cNvGrpSpPr/>
      </xdr:nvGrpSpPr>
      <xdr:grpSpPr>
        <a:xfrm>
          <a:off x="153199" y="5771617"/>
          <a:ext cx="2463047" cy="2607095"/>
          <a:chOff x="90970" y="3094548"/>
          <a:chExt cx="2731347" cy="2779942"/>
        </a:xfrm>
      </xdr:grpSpPr>
      <xdr:graphicFrame macro="">
        <xdr:nvGraphicFramePr>
          <xdr:cNvPr id="28" name="Chart 27">
            <a:extLst>
              <a:ext uri="{FF2B5EF4-FFF2-40B4-BE49-F238E27FC236}">
                <a16:creationId xmlns:a16="http://schemas.microsoft.com/office/drawing/2014/main" id="{E095B39C-613D-63B4-F96D-ADEBA5EB6B39}"/>
              </a:ext>
            </a:extLst>
          </xdr:cNvPr>
          <xdr:cNvGraphicFramePr/>
        </xdr:nvGraphicFramePr>
        <xdr:xfrm>
          <a:off x="90970" y="3148463"/>
          <a:ext cx="2731347" cy="2726027"/>
        </xdr:xfrm>
        <a:graphic>
          <a:graphicData uri="http://schemas.openxmlformats.org/drawingml/2006/chart">
            <c:chart xmlns:c="http://schemas.openxmlformats.org/drawingml/2006/chart" xmlns:r="http://schemas.openxmlformats.org/officeDocument/2006/relationships" r:id="rId5"/>
          </a:graphicData>
        </a:graphic>
      </xdr:graphicFrame>
      <xdr:cxnSp macro="">
        <xdr:nvCxnSpPr>
          <xdr:cNvPr id="29" name="Straight Connector 28">
            <a:extLst>
              <a:ext uri="{FF2B5EF4-FFF2-40B4-BE49-F238E27FC236}">
                <a16:creationId xmlns:a16="http://schemas.microsoft.com/office/drawing/2014/main" id="{A51F3F0F-1C24-422E-519C-C5C5C73A2C93}"/>
              </a:ext>
            </a:extLst>
          </xdr:cNvPr>
          <xdr:cNvCxnSpPr/>
        </xdr:nvCxnSpPr>
        <xdr:spPr>
          <a:xfrm>
            <a:off x="181236" y="3094548"/>
            <a:ext cx="2345307"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0</xdr:colOff>
      <xdr:row>31</xdr:row>
      <xdr:rowOff>0</xdr:rowOff>
    </xdr:from>
    <xdr:to>
      <xdr:col>5</xdr:col>
      <xdr:colOff>319921</xdr:colOff>
      <xdr:row>45</xdr:row>
      <xdr:rowOff>59531</xdr:rowOff>
    </xdr:to>
    <xdr:grpSp>
      <xdr:nvGrpSpPr>
        <xdr:cNvPr id="30" name="Group 29">
          <a:extLst>
            <a:ext uri="{FF2B5EF4-FFF2-40B4-BE49-F238E27FC236}">
              <a16:creationId xmlns:a16="http://schemas.microsoft.com/office/drawing/2014/main" id="{9E29FEA8-1A67-4C3E-BD00-3442BB53ACD7}"/>
            </a:ext>
          </a:extLst>
        </xdr:cNvPr>
        <xdr:cNvGrpSpPr/>
      </xdr:nvGrpSpPr>
      <xdr:grpSpPr>
        <a:xfrm>
          <a:off x="2697640" y="5771617"/>
          <a:ext cx="2468042" cy="2577329"/>
          <a:chOff x="90970" y="3094548"/>
          <a:chExt cx="2731347" cy="2779942"/>
        </a:xfrm>
      </xdr:grpSpPr>
      <xdr:graphicFrame macro="">
        <xdr:nvGraphicFramePr>
          <xdr:cNvPr id="31" name="Chart 30">
            <a:extLst>
              <a:ext uri="{FF2B5EF4-FFF2-40B4-BE49-F238E27FC236}">
                <a16:creationId xmlns:a16="http://schemas.microsoft.com/office/drawing/2014/main" id="{A28D5D21-42ED-3FC4-911D-109C00114658}"/>
              </a:ext>
            </a:extLst>
          </xdr:cNvPr>
          <xdr:cNvGraphicFramePr/>
        </xdr:nvGraphicFramePr>
        <xdr:xfrm>
          <a:off x="90970" y="3148463"/>
          <a:ext cx="2731347" cy="2726027"/>
        </xdr:xfrm>
        <a:graphic>
          <a:graphicData uri="http://schemas.openxmlformats.org/drawingml/2006/chart">
            <c:chart xmlns:c="http://schemas.openxmlformats.org/drawingml/2006/chart" xmlns:r="http://schemas.openxmlformats.org/officeDocument/2006/relationships" r:id="rId6"/>
          </a:graphicData>
        </a:graphic>
      </xdr:graphicFrame>
      <xdr:cxnSp macro="">
        <xdr:nvCxnSpPr>
          <xdr:cNvPr id="32" name="Straight Connector 31">
            <a:extLst>
              <a:ext uri="{FF2B5EF4-FFF2-40B4-BE49-F238E27FC236}">
                <a16:creationId xmlns:a16="http://schemas.microsoft.com/office/drawing/2014/main" id="{C124C8EC-2EE4-9698-B9D8-1D792A10287C}"/>
              </a:ext>
            </a:extLst>
          </xdr:cNvPr>
          <xdr:cNvCxnSpPr/>
        </xdr:nvCxnSpPr>
        <xdr:spPr>
          <a:xfrm>
            <a:off x="181236" y="3094548"/>
            <a:ext cx="2345307"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501108</xdr:colOff>
      <xdr:row>30</xdr:row>
      <xdr:rowOff>103531</xdr:rowOff>
    </xdr:from>
    <xdr:to>
      <xdr:col>9</xdr:col>
      <xdr:colOff>119063</xdr:colOff>
      <xdr:row>45</xdr:row>
      <xdr:rowOff>89297</xdr:rowOff>
    </xdr:to>
    <xdr:grpSp>
      <xdr:nvGrpSpPr>
        <xdr:cNvPr id="33" name="Group 32">
          <a:extLst>
            <a:ext uri="{FF2B5EF4-FFF2-40B4-BE49-F238E27FC236}">
              <a16:creationId xmlns:a16="http://schemas.microsoft.com/office/drawing/2014/main" id="{DD3AA063-A386-43B4-9500-CC4BFAB7ED65}"/>
            </a:ext>
          </a:extLst>
        </xdr:cNvPr>
        <xdr:cNvGrpSpPr/>
      </xdr:nvGrpSpPr>
      <xdr:grpSpPr>
        <a:xfrm>
          <a:off x="5346869" y="5695306"/>
          <a:ext cx="2482116" cy="2683406"/>
          <a:chOff x="84715" y="3025717"/>
          <a:chExt cx="2731347" cy="2856695"/>
        </a:xfrm>
      </xdr:grpSpPr>
      <xdr:graphicFrame macro="">
        <xdr:nvGraphicFramePr>
          <xdr:cNvPr id="34" name="Chart 33">
            <a:extLst>
              <a:ext uri="{FF2B5EF4-FFF2-40B4-BE49-F238E27FC236}">
                <a16:creationId xmlns:a16="http://schemas.microsoft.com/office/drawing/2014/main" id="{498B3347-7903-71E9-8AAB-93F0D81D36C3}"/>
              </a:ext>
            </a:extLst>
          </xdr:cNvPr>
          <xdr:cNvGraphicFramePr/>
        </xdr:nvGraphicFramePr>
        <xdr:xfrm>
          <a:off x="84715" y="3025717"/>
          <a:ext cx="2731347" cy="2856695"/>
        </xdr:xfrm>
        <a:graphic>
          <a:graphicData uri="http://schemas.openxmlformats.org/drawingml/2006/chart">
            <c:chart xmlns:c="http://schemas.openxmlformats.org/drawingml/2006/chart" xmlns:r="http://schemas.openxmlformats.org/officeDocument/2006/relationships" r:id="rId7"/>
          </a:graphicData>
        </a:graphic>
      </xdr:graphicFrame>
      <xdr:cxnSp macro="">
        <xdr:nvCxnSpPr>
          <xdr:cNvPr id="35" name="Straight Connector 34">
            <a:extLst>
              <a:ext uri="{FF2B5EF4-FFF2-40B4-BE49-F238E27FC236}">
                <a16:creationId xmlns:a16="http://schemas.microsoft.com/office/drawing/2014/main" id="{7D8AE193-5D1A-47D1-B1C2-C7BC8AABA3E3}"/>
              </a:ext>
            </a:extLst>
          </xdr:cNvPr>
          <xdr:cNvCxnSpPr/>
        </xdr:nvCxnSpPr>
        <xdr:spPr>
          <a:xfrm>
            <a:off x="181236" y="3094548"/>
            <a:ext cx="2345307"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4477</xdr:colOff>
      <xdr:row>46</xdr:row>
      <xdr:rowOff>221436</xdr:rowOff>
    </xdr:from>
    <xdr:to>
      <xdr:col>8</xdr:col>
      <xdr:colOff>533643</xdr:colOff>
      <xdr:row>56</xdr:row>
      <xdr:rowOff>6919</xdr:rowOff>
    </xdr:to>
    <xdr:sp macro="" textlink="">
      <xdr:nvSpPr>
        <xdr:cNvPr id="36" name="TextBox 35">
          <a:extLst>
            <a:ext uri="{FF2B5EF4-FFF2-40B4-BE49-F238E27FC236}">
              <a16:creationId xmlns:a16="http://schemas.microsoft.com/office/drawing/2014/main" id="{2EF96924-F72A-519C-DF9A-7F5D3C81F5E4}"/>
            </a:ext>
          </a:extLst>
        </xdr:cNvPr>
        <xdr:cNvSpPr txBox="1"/>
      </xdr:nvSpPr>
      <xdr:spPr>
        <a:xfrm>
          <a:off x="158342" y="8673042"/>
          <a:ext cx="7357859" cy="1668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400" b="0" i="0">
              <a:solidFill>
                <a:schemeClr val="dk1"/>
              </a:solidFill>
              <a:effectLst/>
              <a:latin typeface="+mn-lt"/>
              <a:ea typeface="+mn-ea"/>
              <a:cs typeface="+mn-cs"/>
            </a:rPr>
            <a:t>Profit jumps 34% YoY to Rs 2,654 crore, meets Street estimates.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400" b="0" i="0">
              <a:solidFill>
                <a:schemeClr val="dk1"/>
              </a:solidFill>
              <a:effectLst/>
              <a:latin typeface="+mn-lt"/>
              <a:ea typeface="+mn-ea"/>
              <a:cs typeface="+mn-cs"/>
            </a:rPr>
            <a:t>Revenue from operations increased 10% year-on-year to Rs 11,983 crore in the fourth quarter.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400" b="0" i="0">
              <a:solidFill>
                <a:schemeClr val="dk1"/>
              </a:solidFill>
              <a:effectLst/>
              <a:latin typeface="+mn-lt"/>
              <a:ea typeface="+mn-ea"/>
              <a:cs typeface="+mn-cs"/>
            </a:rPr>
            <a:t>The pharma major may report an ebitda of 3,302 crore, up 10 per cent YoY and 4 per cent QoQ with a Ebitda margin expanding to 27.3 per cent for the quarter.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400" b="0" i="0">
              <a:solidFill>
                <a:schemeClr val="dk1"/>
              </a:solidFill>
              <a:effectLst/>
              <a:latin typeface="+mn-lt"/>
              <a:ea typeface="+mn-ea"/>
              <a:cs typeface="+mn-cs"/>
            </a:rPr>
            <a:t> Ebitda margins are seen expanding for the quarter, aiding Ebitda by 10 per cent YoY ranging in Rs 3,200-3,300 crore. PAT is largely to be around 2,800 crore, rising in double digits YoY.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400" b="0" i="0">
              <a:solidFill>
                <a:schemeClr val="dk1"/>
              </a:solidFill>
              <a:effectLst/>
              <a:latin typeface="+mn-lt"/>
              <a:ea typeface="+mn-ea"/>
              <a:cs typeface="+mn-cs"/>
            </a:rPr>
            <a:t>Ebitda and Net Earnings should expand 13 per cent and 17 per cent YoY</a:t>
          </a:r>
        </a:p>
      </xdr:txBody>
    </xdr:sp>
    <xdr:clientData/>
  </xdr:twoCellAnchor>
  <xdr:twoCellAnchor>
    <xdr:from>
      <xdr:col>1</xdr:col>
      <xdr:colOff>32619</xdr:colOff>
      <xdr:row>104</xdr:row>
      <xdr:rowOff>52191</xdr:rowOff>
    </xdr:from>
    <xdr:to>
      <xdr:col>8</xdr:col>
      <xdr:colOff>482774</xdr:colOff>
      <xdr:row>111</xdr:row>
      <xdr:rowOff>26096</xdr:rowOff>
    </xdr:to>
    <xdr:sp macro="" textlink="">
      <xdr:nvSpPr>
        <xdr:cNvPr id="37" name="TextBox 36">
          <a:extLst>
            <a:ext uri="{FF2B5EF4-FFF2-40B4-BE49-F238E27FC236}">
              <a16:creationId xmlns:a16="http://schemas.microsoft.com/office/drawing/2014/main" id="{423AF8B6-64F6-E5C5-7722-235F9AF063B6}"/>
            </a:ext>
          </a:extLst>
        </xdr:cNvPr>
        <xdr:cNvSpPr txBox="1"/>
      </xdr:nvSpPr>
      <xdr:spPr>
        <a:xfrm>
          <a:off x="182671" y="19532773"/>
          <a:ext cx="7300326" cy="1252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IN" sz="1400" b="0" i="0">
              <a:solidFill>
                <a:schemeClr val="dk1"/>
              </a:solidFill>
              <a:effectLst/>
              <a:latin typeface="+mn-lt"/>
              <a:ea typeface="+mn-ea"/>
              <a:cs typeface="+mn-cs"/>
            </a:rPr>
            <a:t>ROA of Avenue Supermart has been increased from 5.57% in FY2018 to 24.38% in FY2024. While the asset efficiency remains constant, the reason for increase in ROA is increased net margin of the company.</a:t>
          </a:r>
        </a:p>
        <a:p>
          <a:pPr marL="171450" indent="-171450">
            <a:buFont typeface="Arial" panose="020B0604020202020204" pitchFamily="34" charset="0"/>
            <a:buChar char="•"/>
          </a:pPr>
          <a:r>
            <a:rPr lang="en-IN" sz="1400" b="0" i="0">
              <a:solidFill>
                <a:schemeClr val="dk1"/>
              </a:solidFill>
              <a:effectLst/>
              <a:latin typeface="+mn-lt"/>
              <a:ea typeface="+mn-ea"/>
              <a:cs typeface="+mn-cs"/>
            </a:rPr>
            <a:t>ROE has increased in past seven years from 5.59% to 16.01%.financial levarage is constantly decreasing throughout the period.</a:t>
          </a:r>
          <a:endParaRPr lang="en-IN" sz="14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nnual" displayName="Annual" ref="A3:N19" headerRowCount="0" totalsRowShown="0" headerRowDxfId="30">
  <tableColumns count="14">
    <tableColumn id="1" xr3:uid="{00000000-0010-0000-0000-000001000000}" name="Column1" headerRowDxfId="29" dataDxfId="28"/>
    <tableColumn id="2" xr3:uid="{00000000-0010-0000-0000-000002000000}" name="Column2" headerRowDxfId="27"/>
    <tableColumn id="3" xr3:uid="{00000000-0010-0000-0000-000003000000}" name="Column3" headerRowDxfId="26"/>
    <tableColumn id="4" xr3:uid="{00000000-0010-0000-0000-000004000000}" name="Column4" headerRowDxfId="25"/>
    <tableColumn id="5" xr3:uid="{00000000-0010-0000-0000-000005000000}" name="Column5" headerRowDxfId="24"/>
    <tableColumn id="6" xr3:uid="{00000000-0010-0000-0000-000006000000}" name="Column6" headerRowDxfId="23"/>
    <tableColumn id="7" xr3:uid="{00000000-0010-0000-0000-000007000000}" name="Column7" headerRowDxfId="22"/>
    <tableColumn id="8" xr3:uid="{00000000-0010-0000-0000-000008000000}" name="Column8" headerRowDxfId="21"/>
    <tableColumn id="9" xr3:uid="{00000000-0010-0000-0000-000009000000}" name="Column9" headerRowDxfId="20"/>
    <tableColumn id="10" xr3:uid="{00000000-0010-0000-0000-00000A000000}" name="Column10" headerRowDxfId="19"/>
    <tableColumn id="11" xr3:uid="{00000000-0010-0000-0000-00000B000000}" name="Column11" headerRowDxfId="18"/>
    <tableColumn id="12" xr3:uid="{00000000-0010-0000-0000-00000C000000}" name="Column12" headerRowDxfId="17"/>
    <tableColumn id="13" xr3:uid="{00000000-0010-0000-0000-00000D000000}" name="Column13" headerRowDxfId="16" dataDxfId="15"/>
    <tableColumn id="14" xr3:uid="{00000000-0010-0000-0000-00000E000000}" name="Column14" headerRowDxfId="14" dataDxfId="13"/>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Quarters" displayName="Quarters" ref="A3:K14" headerRowCount="0" totalsRowShown="0" headerRowDxfId="12">
  <tableColumns count="11">
    <tableColumn id="1" xr3:uid="{00000000-0010-0000-0100-000001000000}" name="Column1" headerRowDxfId="11"/>
    <tableColumn id="2" xr3:uid="{00000000-0010-0000-0100-000002000000}" name="Column2" headerRowDxfId="10"/>
    <tableColumn id="3" xr3:uid="{00000000-0010-0000-0100-000003000000}" name="Column3" headerRowDxfId="9"/>
    <tableColumn id="4" xr3:uid="{00000000-0010-0000-0100-000004000000}" name="Column4" headerRowDxfId="8"/>
    <tableColumn id="5" xr3:uid="{00000000-0010-0000-0100-000005000000}" name="Column5" headerRowDxfId="7"/>
    <tableColumn id="6" xr3:uid="{00000000-0010-0000-0100-000006000000}" name="Column6" headerRowDxfId="6"/>
    <tableColumn id="7" xr3:uid="{00000000-0010-0000-0100-000007000000}" name="Column7" headerRowDxfId="5"/>
    <tableColumn id="8" xr3:uid="{00000000-0010-0000-0100-000008000000}" name="Column8" headerRowDxfId="4"/>
    <tableColumn id="9" xr3:uid="{00000000-0010-0000-0100-000009000000}" name="Column9" headerRowDxfId="3"/>
    <tableColumn id="10" xr3:uid="{00000000-0010-0000-0100-00000A000000}" name="Column10" headerRowDxfId="2"/>
    <tableColumn id="11" xr3:uid="{00000000-0010-0000-0100-00000B000000}" name="Column11" headerRowDxfId="1"/>
  </tableColumns>
  <tableStyleInfo name="TableStyleLight1"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screener.in/"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www.screener.i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screener.i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creener.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screener.in/exce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screener.in/exce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25"/>
  <sheetViews>
    <sheetView zoomScale="71" zoomScaleNormal="120" zoomScaleSheetLayoutView="100" zoomScalePageLayoutView="120" workbookViewId="0">
      <pane xSplit="1" ySplit="4" topLeftCell="C5" activePane="bottomRight" state="frozen"/>
      <selection activeCell="I2" sqref="I2"/>
      <selection pane="topRight" activeCell="I2" sqref="I2"/>
      <selection pane="bottomLeft" activeCell="I2" sqref="I2"/>
      <selection pane="bottomRight" activeCell="M15" sqref="M15"/>
    </sheetView>
  </sheetViews>
  <sheetFormatPr defaultColWidth="8.796875" defaultRowHeight="14.25" x14ac:dyDescent="0.45"/>
  <cols>
    <col min="1" max="1" width="20.6640625" customWidth="1"/>
    <col min="2" max="6" width="13.46484375" customWidth="1"/>
    <col min="7" max="7" width="14.796875" bestFit="1" customWidth="1"/>
    <col min="8" max="11" width="13.46484375" customWidth="1"/>
    <col min="12" max="12" width="13.33203125" customWidth="1"/>
    <col min="13" max="14" width="12.1328125" customWidth="1"/>
  </cols>
  <sheetData>
    <row r="1" spans="1:14" s="2" customFormat="1" x14ac:dyDescent="0.45">
      <c r="A1" s="2" t="str">
        <f>'Data Sheet'!B1</f>
        <v>SUN PHARMACEUTICALS INDUSTRIES LTD</v>
      </c>
      <c r="H1" t="str">
        <f>UPDATE</f>
        <v/>
      </c>
      <c r="J1" s="3"/>
      <c r="K1" s="3"/>
      <c r="M1" s="2" t="s">
        <v>1</v>
      </c>
    </row>
    <row r="3" spans="1:14" s="2" customFormat="1" x14ac:dyDescent="0.45">
      <c r="A3" s="11" t="s">
        <v>2</v>
      </c>
      <c r="B3" s="12">
        <f>'Data Sheet'!B16</f>
        <v>42094</v>
      </c>
      <c r="C3" s="12">
        <f>'Data Sheet'!C16</f>
        <v>42460</v>
      </c>
      <c r="D3" s="12">
        <f>'Data Sheet'!D16</f>
        <v>42825</v>
      </c>
      <c r="E3" s="12">
        <f>'Data Sheet'!E16</f>
        <v>43190</v>
      </c>
      <c r="F3" s="12">
        <f>'Data Sheet'!F16</f>
        <v>43555</v>
      </c>
      <c r="G3" s="12">
        <f>'Data Sheet'!G16</f>
        <v>43921</v>
      </c>
      <c r="H3" s="12">
        <f>'Data Sheet'!H16</f>
        <v>44286</v>
      </c>
      <c r="I3" s="12">
        <f>'Data Sheet'!I16</f>
        <v>44651</v>
      </c>
      <c r="J3" s="12">
        <f>'Data Sheet'!J16</f>
        <v>45016</v>
      </c>
      <c r="K3" s="12">
        <f>'Data Sheet'!K16</f>
        <v>45382</v>
      </c>
      <c r="L3" s="13" t="s">
        <v>3</v>
      </c>
      <c r="M3" s="13" t="s">
        <v>4</v>
      </c>
      <c r="N3" s="13" t="s">
        <v>5</v>
      </c>
    </row>
    <row r="4" spans="1:14" s="2" customFormat="1" x14ac:dyDescent="0.45">
      <c r="A4" s="2" t="s">
        <v>6</v>
      </c>
      <c r="B4" s="1">
        <f>'Data Sheet'!B17</f>
        <v>27392.01</v>
      </c>
      <c r="C4" s="1">
        <f>'Data Sheet'!C17</f>
        <v>28487.03</v>
      </c>
      <c r="D4" s="1">
        <f>'Data Sheet'!D17</f>
        <v>31578.44</v>
      </c>
      <c r="E4" s="1">
        <f>'Data Sheet'!E17</f>
        <v>26489.46</v>
      </c>
      <c r="F4" s="1">
        <f>'Data Sheet'!F17</f>
        <v>29065.91</v>
      </c>
      <c r="G4" s="1">
        <f>'Data Sheet'!G17</f>
        <v>32837.5</v>
      </c>
      <c r="H4" s="1">
        <f>'Data Sheet'!H17</f>
        <v>33498.14</v>
      </c>
      <c r="I4" s="1">
        <f>'Data Sheet'!I17</f>
        <v>38654.49</v>
      </c>
      <c r="J4" s="1">
        <f>'Data Sheet'!J17</f>
        <v>43885.68</v>
      </c>
      <c r="K4" s="1">
        <f>'Data Sheet'!K17</f>
        <v>48496.85</v>
      </c>
      <c r="L4" s="1">
        <f>SUM(Quarters!H4:K4)</f>
        <v>48496.85</v>
      </c>
      <c r="M4" s="1">
        <f>$K4+M23*K4</f>
        <v>54862.779974617573</v>
      </c>
      <c r="N4" s="1">
        <f>$K4+N23*L4</f>
        <v>51562.157634433985</v>
      </c>
    </row>
    <row r="5" spans="1:14" x14ac:dyDescent="0.45">
      <c r="A5" t="s">
        <v>7</v>
      </c>
      <c r="B5" s="6">
        <f>SUM('Data Sheet'!B18,'Data Sheet'!B20:B24, -1*'Data Sheet'!B19)</f>
        <v>19498.190000000002</v>
      </c>
      <c r="C5" s="6">
        <f>SUM('Data Sheet'!C18,'Data Sheet'!C20:C24, -1*'Data Sheet'!C19)</f>
        <v>20313.13</v>
      </c>
      <c r="D5" s="6">
        <f>SUM('Data Sheet'!D18,'Data Sheet'!D20:D24, -1*'Data Sheet'!D19)</f>
        <v>21476.420000000002</v>
      </c>
      <c r="E5" s="6">
        <f>SUM('Data Sheet'!E18,'Data Sheet'!E20:E24, -1*'Data Sheet'!E19)</f>
        <v>20858.04</v>
      </c>
      <c r="F5" s="6">
        <f>SUM('Data Sheet'!F18,'Data Sheet'!F20:F24, -1*'Data Sheet'!F19)</f>
        <v>22688.929999999997</v>
      </c>
      <c r="G5" s="6">
        <f>SUM('Data Sheet'!G18,'Data Sheet'!G20:G24, -1*'Data Sheet'!G19)</f>
        <v>25854.659999999996</v>
      </c>
      <c r="H5" s="6">
        <f>SUM('Data Sheet'!H18,'Data Sheet'!H20:H24, -1*'Data Sheet'!H19)</f>
        <v>25028.18</v>
      </c>
      <c r="I5" s="6">
        <f>SUM('Data Sheet'!I18,'Data Sheet'!I20:I24, -1*'Data Sheet'!I19)</f>
        <v>28396.920000000002</v>
      </c>
      <c r="J5" s="6">
        <f>SUM('Data Sheet'!J18,'Data Sheet'!J20:J24, -1*'Data Sheet'!J19)</f>
        <v>32235.24</v>
      </c>
      <c r="K5" s="6">
        <f>SUM('Data Sheet'!K18,'Data Sheet'!K20:K24, -1*'Data Sheet'!K19)</f>
        <v>35479.08</v>
      </c>
      <c r="L5" s="6">
        <f>SUM(Quarters!H5:K5)</f>
        <v>35473.72</v>
      </c>
      <c r="M5" s="6">
        <f t="shared" ref="M5:N5" si="0">M4-M6</f>
        <v>40130.171242899094</v>
      </c>
      <c r="N5" s="6">
        <f t="shared" si="0"/>
        <v>38843.886365344988</v>
      </c>
    </row>
    <row r="6" spans="1:14" s="2" customFormat="1" x14ac:dyDescent="0.45">
      <c r="A6" s="2" t="s">
        <v>8</v>
      </c>
      <c r="B6" s="1">
        <f>B4-B5</f>
        <v>7893.8199999999961</v>
      </c>
      <c r="C6" s="1">
        <f t="shared" ref="C6:K6" si="1">C4-C5</f>
        <v>8173.8999999999978</v>
      </c>
      <c r="D6" s="1">
        <f t="shared" si="1"/>
        <v>10102.019999999997</v>
      </c>
      <c r="E6" s="1">
        <f t="shared" si="1"/>
        <v>5631.4199999999983</v>
      </c>
      <c r="F6" s="1">
        <f t="shared" si="1"/>
        <v>6376.9800000000032</v>
      </c>
      <c r="G6" s="1">
        <f t="shared" si="1"/>
        <v>6982.8400000000038</v>
      </c>
      <c r="H6" s="1">
        <f t="shared" si="1"/>
        <v>8469.9599999999991</v>
      </c>
      <c r="I6" s="1">
        <f t="shared" si="1"/>
        <v>10257.569999999996</v>
      </c>
      <c r="J6" s="1">
        <f t="shared" si="1"/>
        <v>11650.439999999999</v>
      </c>
      <c r="K6" s="1">
        <f t="shared" si="1"/>
        <v>13017.769999999997</v>
      </c>
      <c r="L6" s="1">
        <f>SUM(Quarters!H6:K6)</f>
        <v>13023.13</v>
      </c>
      <c r="M6" s="1">
        <f>M4*M24</f>
        <v>14732.608731718479</v>
      </c>
      <c r="N6" s="1">
        <f>N4*N24</f>
        <v>12718.271269088998</v>
      </c>
    </row>
    <row r="7" spans="1:14" x14ac:dyDescent="0.45">
      <c r="A7" t="s">
        <v>9</v>
      </c>
      <c r="B7" s="6">
        <f>'Data Sheet'!B25</f>
        <v>282.79000000000002</v>
      </c>
      <c r="C7" s="6">
        <f>'Data Sheet'!C25</f>
        <v>-42.5</v>
      </c>
      <c r="D7" s="6">
        <f>'Data Sheet'!D25</f>
        <v>610.4</v>
      </c>
      <c r="E7" s="6">
        <f>'Data Sheet'!E25</f>
        <v>-135.03</v>
      </c>
      <c r="F7" s="6">
        <f>'Data Sheet'!F25</f>
        <v>-258.27999999999997</v>
      </c>
      <c r="G7" s="6">
        <f>'Data Sheet'!G25</f>
        <v>382.26</v>
      </c>
      <c r="H7" s="6">
        <f>'Data Sheet'!H25</f>
        <v>-3449.21</v>
      </c>
      <c r="I7" s="6">
        <f>'Data Sheet'!I25</f>
        <v>-3505.16</v>
      </c>
      <c r="J7" s="6">
        <f>'Data Sheet'!J25</f>
        <v>459.42</v>
      </c>
      <c r="K7" s="6">
        <f>'Data Sheet'!K25</f>
        <v>865.23</v>
      </c>
      <c r="L7" s="6">
        <f>SUM(Quarters!H7:K7)</f>
        <v>859.87</v>
      </c>
      <c r="M7" s="6">
        <v>0</v>
      </c>
      <c r="N7" s="6">
        <v>0</v>
      </c>
    </row>
    <row r="8" spans="1:14" x14ac:dyDescent="0.45">
      <c r="A8" t="s">
        <v>10</v>
      </c>
      <c r="B8" s="6">
        <f>'Data Sheet'!B26</f>
        <v>1194.72</v>
      </c>
      <c r="C8" s="6">
        <f>'Data Sheet'!C26</f>
        <v>1037.53</v>
      </c>
      <c r="D8" s="6">
        <f>'Data Sheet'!D26</f>
        <v>1264.75</v>
      </c>
      <c r="E8" s="6">
        <f>'Data Sheet'!E26</f>
        <v>1499.84</v>
      </c>
      <c r="F8" s="6">
        <f>'Data Sheet'!F26</f>
        <v>1753.25</v>
      </c>
      <c r="G8" s="6">
        <f>'Data Sheet'!G26</f>
        <v>2052.7800000000002</v>
      </c>
      <c r="H8" s="6">
        <f>'Data Sheet'!H26</f>
        <v>2079.9499999999998</v>
      </c>
      <c r="I8" s="6">
        <f>'Data Sheet'!I26</f>
        <v>2143.7399999999998</v>
      </c>
      <c r="J8" s="6">
        <f>'Data Sheet'!J26</f>
        <v>2529.4299999999998</v>
      </c>
      <c r="K8" s="6">
        <f>'Data Sheet'!K26</f>
        <v>2556.64</v>
      </c>
      <c r="L8" s="6">
        <f>SUM(Quarters!H8:K8)</f>
        <v>2556.6400000000003</v>
      </c>
      <c r="M8" s="6">
        <f>+$L8</f>
        <v>2556.6400000000003</v>
      </c>
      <c r="N8" s="6">
        <f>+$L8</f>
        <v>2556.6400000000003</v>
      </c>
    </row>
    <row r="9" spans="1:14" x14ac:dyDescent="0.45">
      <c r="A9" t="s">
        <v>11</v>
      </c>
      <c r="B9" s="6">
        <f>'Data Sheet'!B27</f>
        <v>578.99</v>
      </c>
      <c r="C9" s="6">
        <f>'Data Sheet'!C27</f>
        <v>523.24</v>
      </c>
      <c r="D9" s="6">
        <f>'Data Sheet'!D27</f>
        <v>399.8</v>
      </c>
      <c r="E9" s="6">
        <f>'Data Sheet'!E27</f>
        <v>517.57000000000005</v>
      </c>
      <c r="F9" s="6">
        <f>'Data Sheet'!F27</f>
        <v>555.25</v>
      </c>
      <c r="G9" s="6">
        <f>'Data Sheet'!G27</f>
        <v>302.73</v>
      </c>
      <c r="H9" s="6">
        <f>'Data Sheet'!H27</f>
        <v>141.43</v>
      </c>
      <c r="I9" s="6">
        <f>'Data Sheet'!I27</f>
        <v>127.35</v>
      </c>
      <c r="J9" s="6">
        <f>'Data Sheet'!J27</f>
        <v>172</v>
      </c>
      <c r="K9" s="6">
        <f>'Data Sheet'!K27</f>
        <v>238.47</v>
      </c>
      <c r="L9" s="6">
        <f>SUM(Quarters!H9:K9)</f>
        <v>238.46999999999997</v>
      </c>
      <c r="M9" s="6">
        <f>+$L9</f>
        <v>238.46999999999997</v>
      </c>
      <c r="N9" s="6">
        <f>+$L9</f>
        <v>238.46999999999997</v>
      </c>
    </row>
    <row r="10" spans="1:14" x14ac:dyDescent="0.45">
      <c r="A10" t="s">
        <v>12</v>
      </c>
      <c r="B10" s="6">
        <f>'Data Sheet'!B28</f>
        <v>6402.9</v>
      </c>
      <c r="C10" s="6">
        <f>'Data Sheet'!C28</f>
        <v>6570.63</v>
      </c>
      <c r="D10" s="6">
        <f>'Data Sheet'!D28</f>
        <v>9047.8700000000008</v>
      </c>
      <c r="E10" s="6">
        <f>'Data Sheet'!E28</f>
        <v>3478.98</v>
      </c>
      <c r="F10" s="6">
        <f>'Data Sheet'!F28</f>
        <v>3810.2</v>
      </c>
      <c r="G10" s="6">
        <f>'Data Sheet'!G28</f>
        <v>5009.59</v>
      </c>
      <c r="H10" s="6">
        <f>'Data Sheet'!H28</f>
        <v>2799.37</v>
      </c>
      <c r="I10" s="6">
        <f>'Data Sheet'!I28</f>
        <v>4481.32</v>
      </c>
      <c r="J10" s="6">
        <f>'Data Sheet'!J28</f>
        <v>9408.43</v>
      </c>
      <c r="K10" s="6">
        <f>'Data Sheet'!K28</f>
        <v>11087.89</v>
      </c>
      <c r="L10" s="6">
        <f>SUM(Quarters!H10:K10)</f>
        <v>11087.890000000001</v>
      </c>
      <c r="M10" s="6">
        <f>M6+M7-SUM(M8:M9)</f>
        <v>11937.498731718479</v>
      </c>
      <c r="N10" s="6">
        <f>N6+N7-SUM(N8:N9)</f>
        <v>9923.1612690889979</v>
      </c>
    </row>
    <row r="11" spans="1:14" x14ac:dyDescent="0.45">
      <c r="A11" t="s">
        <v>13</v>
      </c>
      <c r="B11" s="6">
        <f>'Data Sheet'!B29</f>
        <v>914.69</v>
      </c>
      <c r="C11" s="6">
        <f>'Data Sheet'!C29</f>
        <v>913.77</v>
      </c>
      <c r="D11" s="6">
        <f>'Data Sheet'!D29</f>
        <v>1211.57</v>
      </c>
      <c r="E11" s="6">
        <f>'Data Sheet'!E29</f>
        <v>911.04</v>
      </c>
      <c r="F11" s="6">
        <f>'Data Sheet'!F29</f>
        <v>600.88</v>
      </c>
      <c r="G11" s="6">
        <f>'Data Sheet'!G29</f>
        <v>822.8</v>
      </c>
      <c r="H11" s="6">
        <f>'Data Sheet'!H29</f>
        <v>514.69000000000005</v>
      </c>
      <c r="I11" s="6">
        <f>'Data Sheet'!I29</f>
        <v>1075.5</v>
      </c>
      <c r="J11" s="6">
        <f>'Data Sheet'!J29</f>
        <v>847.59</v>
      </c>
      <c r="K11" s="6">
        <f>'Data Sheet'!K29</f>
        <v>1439.45</v>
      </c>
      <c r="L11" s="6">
        <f>SUM(Quarters!H11:K11)</f>
        <v>1439.45</v>
      </c>
      <c r="M11" s="7">
        <f>IF($L10&gt;0,$L11/$L10,0)</f>
        <v>0.12982181461035416</v>
      </c>
      <c r="N11" s="7">
        <f>IF($L10&gt;0,$L11/$L10,0)</f>
        <v>0.12982181461035416</v>
      </c>
    </row>
    <row r="12" spans="1:14" s="2" customFormat="1" x14ac:dyDescent="0.45">
      <c r="A12" s="2" t="s">
        <v>14</v>
      </c>
      <c r="B12" s="1">
        <f>'Data Sheet'!B30</f>
        <v>4539.38</v>
      </c>
      <c r="C12" s="1">
        <f>'Data Sheet'!C30</f>
        <v>4545.71</v>
      </c>
      <c r="D12" s="1">
        <f>'Data Sheet'!D30</f>
        <v>6964.37</v>
      </c>
      <c r="E12" s="1">
        <f>'Data Sheet'!E30</f>
        <v>2095.6999999999998</v>
      </c>
      <c r="F12" s="1">
        <f>'Data Sheet'!F30</f>
        <v>2665.42</v>
      </c>
      <c r="G12" s="1">
        <f>'Data Sheet'!G30</f>
        <v>3764.93</v>
      </c>
      <c r="H12" s="1">
        <f>'Data Sheet'!H30</f>
        <v>2903.82</v>
      </c>
      <c r="I12" s="1">
        <f>'Data Sheet'!I30</f>
        <v>3272.73</v>
      </c>
      <c r="J12" s="1">
        <f>'Data Sheet'!J30</f>
        <v>8473.58</v>
      </c>
      <c r="K12" s="1">
        <f>'Data Sheet'!K30</f>
        <v>9576.3799999999992</v>
      </c>
      <c r="L12" s="1">
        <f>SUM(Quarters!H12:K12)</f>
        <v>9576.380000000001</v>
      </c>
      <c r="M12" s="1">
        <f>M10-M11*M10</f>
        <v>10387.750984457984</v>
      </c>
      <c r="N12" s="1">
        <f>N10-N11*N10</f>
        <v>8634.91846646468</v>
      </c>
    </row>
    <row r="13" spans="1:14" x14ac:dyDescent="0.45">
      <c r="A13" t="s">
        <v>57</v>
      </c>
      <c r="B13" s="6">
        <f>IF('Data Sheet'!B93&gt;0,B12/'Data Sheet'!B93,0)</f>
        <v>21.916666666666668</v>
      </c>
      <c r="C13" s="6">
        <f>IF('Data Sheet'!C93&gt;0,C12/'Data Sheet'!C93,0)</f>
        <v>18.887730086840904</v>
      </c>
      <c r="D13" s="6">
        <f>IF('Data Sheet'!D93&gt;0,D12/'Data Sheet'!D93,0)</f>
        <v>29.026674446713624</v>
      </c>
      <c r="E13" s="6">
        <f>IF('Data Sheet'!E93&gt;0,E12/'Data Sheet'!E93,0)</f>
        <v>8.7346309340224231</v>
      </c>
      <c r="F13" s="6">
        <f>IF('Data Sheet'!F93&gt;0,F12/'Data Sheet'!F93,0)</f>
        <v>11.109156837410911</v>
      </c>
      <c r="G13" s="6">
        <f>IF('Data Sheet'!G93&gt;0,G12/'Data Sheet'!G93,0)</f>
        <v>15.691785103988662</v>
      </c>
      <c r="H13" s="6">
        <f>IF('Data Sheet'!H93&gt;0,H12/'Data Sheet'!H93,0)</f>
        <v>12.102779977493435</v>
      </c>
      <c r="I13" s="6">
        <f>IF('Data Sheet'!I93&gt;0,I12/'Data Sheet'!I93,0)</f>
        <v>13.640353436418955</v>
      </c>
      <c r="J13" s="6">
        <f>IF('Data Sheet'!J93&gt;0,J12/'Data Sheet'!J93,0)</f>
        <v>35.316884091193266</v>
      </c>
      <c r="K13" s="6">
        <f>IF('Data Sheet'!K93&gt;0,K12/'Data Sheet'!K93,0)</f>
        <v>39.913224690534733</v>
      </c>
      <c r="L13" s="6">
        <f>IF('Data Sheet'!$B6&gt;0,'Profit &amp; Loss'!L12/'Data Sheet'!$B6,0)</f>
        <v>39.912642967717453</v>
      </c>
      <c r="M13" s="6">
        <f>IF('Data Sheet'!$B6&gt;0,'Profit &amp; Loss'!M12/'Data Sheet'!$B6,0)</f>
        <v>43.294292444559105</v>
      </c>
      <c r="N13" s="6">
        <f>IF('Data Sheet'!$B6&gt;0,'Profit &amp; Loss'!N12/'Data Sheet'!$B6,0)</f>
        <v>35.988799296535333</v>
      </c>
    </row>
    <row r="14" spans="1:14" x14ac:dyDescent="0.45">
      <c r="A14" t="s">
        <v>16</v>
      </c>
      <c r="B14" s="6">
        <f>IF(B15&gt;0,B15/B13,"")</f>
        <v>46.717870722433453</v>
      </c>
      <c r="C14" s="6">
        <f t="shared" ref="C14:K14" si="2">IF(C15&gt;0,C15/C13,"")</f>
        <v>43.41442810914026</v>
      </c>
      <c r="D14" s="6">
        <f t="shared" si="2"/>
        <v>23.70750398097746</v>
      </c>
      <c r="E14" s="6">
        <f t="shared" si="2"/>
        <v>56.682417807892357</v>
      </c>
      <c r="F14" s="6">
        <f t="shared" si="2"/>
        <v>43.104081345529039</v>
      </c>
      <c r="G14" s="6">
        <f t="shared" si="2"/>
        <v>22.451237871620457</v>
      </c>
      <c r="H14" s="6">
        <f t="shared" si="2"/>
        <v>49.393610485498407</v>
      </c>
      <c r="I14" s="6">
        <f t="shared" si="2"/>
        <v>67.062045295517805</v>
      </c>
      <c r="J14" s="6">
        <f t="shared" si="2"/>
        <v>27.836544058119472</v>
      </c>
      <c r="K14" s="6">
        <f t="shared" si="2"/>
        <v>40.60183091105408</v>
      </c>
      <c r="L14" s="6">
        <f t="shared" ref="L14" si="3">IF(L13&gt;0,L15/L13,0)</f>
        <v>39.302082832970278</v>
      </c>
      <c r="M14" s="6">
        <f>M25</f>
        <v>43.700625774415407</v>
      </c>
      <c r="N14" s="6">
        <f>N25</f>
        <v>39.302082832970278</v>
      </c>
    </row>
    <row r="15" spans="1:14" s="2" customFormat="1" x14ac:dyDescent="0.45">
      <c r="A15" s="2" t="s">
        <v>58</v>
      </c>
      <c r="B15" s="1">
        <f>'Data Sheet'!B90</f>
        <v>1023.9</v>
      </c>
      <c r="C15" s="1">
        <f>'Data Sheet'!C90</f>
        <v>820</v>
      </c>
      <c r="D15" s="1">
        <f>'Data Sheet'!D90</f>
        <v>688.15</v>
      </c>
      <c r="E15" s="1">
        <f>'Data Sheet'!E90</f>
        <v>495.1</v>
      </c>
      <c r="F15" s="1">
        <f>'Data Sheet'!F90</f>
        <v>478.85</v>
      </c>
      <c r="G15" s="1">
        <f>'Data Sheet'!G90</f>
        <v>352.3</v>
      </c>
      <c r="H15" s="1">
        <f>'Data Sheet'!H90</f>
        <v>597.79999999999995</v>
      </c>
      <c r="I15" s="1">
        <f>'Data Sheet'!I90</f>
        <v>914.75</v>
      </c>
      <c r="J15" s="1">
        <f>'Data Sheet'!J90</f>
        <v>983.1</v>
      </c>
      <c r="K15" s="1">
        <f>'Data Sheet'!K90</f>
        <v>1620.55</v>
      </c>
      <c r="L15" s="1">
        <f>'Data Sheet'!B8</f>
        <v>1568.65</v>
      </c>
      <c r="M15" s="8">
        <f>M13*M14</f>
        <v>1891.9876722877777</v>
      </c>
      <c r="N15" s="9">
        <f>N13*N14</f>
        <v>1414.4347710115742</v>
      </c>
    </row>
    <row r="17" spans="1:14" s="2" customFormat="1" x14ac:dyDescent="0.45">
      <c r="A17" s="2" t="s">
        <v>15</v>
      </c>
    </row>
    <row r="18" spans="1:14" x14ac:dyDescent="0.45">
      <c r="A18" t="s">
        <v>17</v>
      </c>
      <c r="B18" s="5">
        <f>IF('Data Sheet'!B30&gt;0, 'Data Sheet'!B31/'Data Sheet'!B30, 0)</f>
        <v>0.13688212927756654</v>
      </c>
      <c r="C18" s="5">
        <f>IF('Data Sheet'!C30&gt;0, 'Data Sheet'!C31/'Data Sheet'!C30, 0)</f>
        <v>5.2942224646974838E-2</v>
      </c>
      <c r="D18" s="5">
        <f>IF('Data Sheet'!D30&gt;0, 'Data Sheet'!D31/'Data Sheet'!D30, 0)</f>
        <v>0.12057946375623352</v>
      </c>
      <c r="E18" s="5">
        <f>IF('Data Sheet'!E30&gt;0, 'Data Sheet'!E31/'Data Sheet'!E30, 0)</f>
        <v>0.22897361263539631</v>
      </c>
      <c r="F18" s="5">
        <f>IF('Data Sheet'!F30&gt;0, 'Data Sheet'!F31/'Data Sheet'!F30, 0)</f>
        <v>0.24754447704301757</v>
      </c>
      <c r="G18" s="5">
        <f>IF('Data Sheet'!G30&gt;0, 'Data Sheet'!G31/'Data Sheet'!G30, 0)</f>
        <v>0.25491044986228167</v>
      </c>
      <c r="H18" s="5">
        <f>IF('Data Sheet'!H30&gt;0, 'Data Sheet'!H31/'Data Sheet'!H30, 0)</f>
        <v>0.61969405817164969</v>
      </c>
      <c r="I18" s="5">
        <f>IF('Data Sheet'!I30&gt;0, 'Data Sheet'!I31/'Data Sheet'!I30, 0)</f>
        <v>0.73311883351208329</v>
      </c>
      <c r="J18" s="5">
        <f>IF('Data Sheet'!J30&gt;0, 'Data Sheet'!J31/'Data Sheet'!J30, 0)</f>
        <v>0.32562388034337314</v>
      </c>
      <c r="K18" s="5">
        <f>IF('Data Sheet'!K30&gt;0, 'Data Sheet'!K31/'Data Sheet'!K30, 0)</f>
        <v>0.33823428059454619</v>
      </c>
    </row>
    <row r="19" spans="1:14" x14ac:dyDescent="0.45">
      <c r="A19" t="s">
        <v>18</v>
      </c>
      <c r="B19" s="5">
        <f t="shared" ref="B19:L19" si="4">IF(B6&gt;0,B6/B4,0)</f>
        <v>0.28817965530824485</v>
      </c>
      <c r="C19" s="5">
        <f t="shared" ref="C19:K19" si="5">IF(C6&gt;0,C6/C4,0)</f>
        <v>0.28693408895205985</v>
      </c>
      <c r="D19" s="5">
        <f t="shared" si="5"/>
        <v>0.31990243976586547</v>
      </c>
      <c r="E19" s="5">
        <f t="shared" si="5"/>
        <v>0.21259097014435169</v>
      </c>
      <c r="F19" s="5">
        <f t="shared" si="5"/>
        <v>0.21939722513418652</v>
      </c>
      <c r="G19" s="5">
        <f t="shared" si="5"/>
        <v>0.21264834411876676</v>
      </c>
      <c r="H19" s="5">
        <f t="shared" si="5"/>
        <v>0.25284866562740499</v>
      </c>
      <c r="I19" s="5">
        <f t="shared" si="5"/>
        <v>0.26536555003053969</v>
      </c>
      <c r="J19" s="5">
        <f t="shared" si="5"/>
        <v>0.26547247302536953</v>
      </c>
      <c r="K19" s="5">
        <f t="shared" si="5"/>
        <v>0.26842506265870869</v>
      </c>
      <c r="L19" s="5">
        <f t="shared" si="4"/>
        <v>0.26853558530090099</v>
      </c>
    </row>
    <row r="20" spans="1:14" x14ac:dyDescent="0.45">
      <c r="B20" s="5"/>
      <c r="C20" s="5"/>
      <c r="D20" s="5"/>
      <c r="E20" s="5"/>
      <c r="F20" s="5"/>
      <c r="G20" s="5"/>
      <c r="H20" s="5"/>
      <c r="I20" s="5"/>
      <c r="J20" s="5"/>
      <c r="K20" s="5"/>
      <c r="L20" s="5"/>
    </row>
    <row r="21" spans="1:14" x14ac:dyDescent="0.45">
      <c r="B21" s="5"/>
      <c r="C21" s="5"/>
      <c r="D21" s="5"/>
      <c r="E21" s="5"/>
      <c r="F21" s="5"/>
      <c r="G21" s="5"/>
      <c r="H21" s="5"/>
      <c r="I21" s="5"/>
      <c r="J21" s="5"/>
      <c r="K21" s="5"/>
      <c r="L21" s="5"/>
    </row>
    <row r="22" spans="1:14" s="2" customFormat="1" x14ac:dyDescent="0.45">
      <c r="A22" s="11"/>
      <c r="B22" s="12"/>
      <c r="C22" s="12"/>
      <c r="D22" s="12"/>
      <c r="E22" s="12"/>
      <c r="F22" s="12"/>
      <c r="G22" s="12" t="s">
        <v>19</v>
      </c>
      <c r="H22" s="12" t="s">
        <v>65</v>
      </c>
      <c r="I22" s="12" t="s">
        <v>66</v>
      </c>
      <c r="J22" s="12" t="s">
        <v>67</v>
      </c>
      <c r="K22" s="12" t="s">
        <v>68</v>
      </c>
      <c r="L22" s="13" t="s">
        <v>69</v>
      </c>
      <c r="M22" s="13" t="s">
        <v>20</v>
      </c>
      <c r="N22" s="13" t="s">
        <v>21</v>
      </c>
    </row>
    <row r="23" spans="1:14" s="2" customFormat="1" x14ac:dyDescent="0.45">
      <c r="A23"/>
      <c r="B23"/>
      <c r="C23"/>
      <c r="D23"/>
      <c r="E23"/>
      <c r="F23"/>
      <c r="G23" t="s">
        <v>22</v>
      </c>
      <c r="H23" s="5">
        <f>IF(B4=0,"",POWER($K4/B4,1/9)-1)</f>
        <v>6.5529589267993238E-2</v>
      </c>
      <c r="I23" s="5">
        <f>IF(D4=0,"",POWER($K4/D4,1/7)-1)</f>
        <v>6.3206324419709414E-2</v>
      </c>
      <c r="J23" s="5">
        <f>IF(F4=0,"",POWER($K4/F4,1/5)-1)</f>
        <v>0.10781163295773566</v>
      </c>
      <c r="K23" s="5">
        <f>IF(H4=0,"",POWER($K4/H4, 1/3)-1)</f>
        <v>0.13126481358310027</v>
      </c>
      <c r="L23" s="5">
        <f>IF(ISERROR(MAX(IF(J4=0,"",(K4-J4)/J4),IF(K4=0,"",(L4-K4)/K4))),"",MAX(IF(J4=0,"",(K4-J4)/J4),IF(K4=0,"",(L4-K4)/K4)))</f>
        <v>0.10507231516066284</v>
      </c>
      <c r="M23" s="16">
        <f>MAX(K23:L23)</f>
        <v>0.13126481358310027</v>
      </c>
      <c r="N23" s="16">
        <f>MIN(H23:L23)</f>
        <v>6.3206324419709414E-2</v>
      </c>
    </row>
    <row r="24" spans="1:14" x14ac:dyDescent="0.45">
      <c r="G24" t="s">
        <v>18</v>
      </c>
      <c r="H24" s="5">
        <f>IF(SUM(B4:$K$4)=0,"",SUMPRODUCT(B19:$K$19,B4:$K$4)/SUM(B4:$K$4))</f>
        <v>0.26016595124745473</v>
      </c>
      <c r="I24" s="5">
        <f>IF(SUM(E4:$K$4)=0,"",SUMPRODUCT(E19:$K$19,E4:$K$4)/SUM(E4:$K$4))</f>
        <v>0.24665901995915598</v>
      </c>
      <c r="J24" s="5">
        <f>IF(SUM(G4:$K$4)=0,"",SUMPRODUCT(G19:$K$19,G4:$K$4)/SUM(G4:$K$4))</f>
        <v>0.25524598999679082</v>
      </c>
      <c r="K24" s="5">
        <f>IF(SUM(I4:$K$4)=0, "", SUMPRODUCT(I19:$K$19,I4:$K$4)/SUM(I4:$K$4))</f>
        <v>0.26653368643456632</v>
      </c>
      <c r="L24" s="5">
        <f>L19</f>
        <v>0.26853558530090099</v>
      </c>
      <c r="M24" s="16">
        <f>MAX(K24:L24)</f>
        <v>0.26853558530090099</v>
      </c>
      <c r="N24" s="16">
        <f>MIN(H24:L24)</f>
        <v>0.24665901995915598</v>
      </c>
    </row>
    <row r="25" spans="1:14" x14ac:dyDescent="0.45">
      <c r="G25" t="s">
        <v>23</v>
      </c>
      <c r="H25" s="6">
        <f>IF(ISERROR(AVERAGEIF(B14:$L14,"&gt;0")),"",AVERAGEIF(B14:$L14,"&gt;0"))</f>
        <v>41.843059401886642</v>
      </c>
      <c r="I25" s="6">
        <f>IF(ISERROR(AVERAGEIF(E14:$L14,"&gt;0")),"",AVERAGEIF(E14:$L14,"&gt;0"))</f>
        <v>43.304231326025239</v>
      </c>
      <c r="J25" s="6">
        <f>IF(ISERROR(AVERAGEIF(G14:$L14,"&gt;0")),"",AVERAGEIF(G14:$L14,"&gt;0"))</f>
        <v>41.107891909130082</v>
      </c>
      <c r="K25" s="6">
        <f>IF(ISERROR(AVERAGEIF(I14:$L14,"&gt;0")),"",AVERAGEIF(I14:$L14,"&gt;0"))</f>
        <v>43.700625774415407</v>
      </c>
      <c r="L25" s="6">
        <f>L14</f>
        <v>39.302082832970278</v>
      </c>
      <c r="M25" s="1">
        <f>MAX(K25:L25)</f>
        <v>43.700625774415407</v>
      </c>
      <c r="N25" s="1">
        <f>MIN(H25:L25)</f>
        <v>39.302082832970278</v>
      </c>
    </row>
  </sheetData>
  <hyperlinks>
    <hyperlink ref="M1" r:id="rId1" xr:uid="{00000000-0004-0000-0000-000000000000}"/>
  </hyperlinks>
  <printOptions gridLines="1"/>
  <pageMargins left="0.7" right="0.7" top="0.75" bottom="0.75" header="0.3" footer="0.3"/>
  <pageSetup paperSize="9" orientation="landscape" horizontalDpi="300" verticalDpi="300"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C2F0B-8901-40C7-B211-43BD91F9506E}">
  <dimension ref="B1:J50"/>
  <sheetViews>
    <sheetView showGridLines="0" tabSelected="1" zoomScale="56" workbookViewId="0">
      <selection sqref="A1:I50"/>
    </sheetView>
  </sheetViews>
  <sheetFormatPr defaultRowHeight="14.25" x14ac:dyDescent="0.45"/>
  <cols>
    <col min="1" max="1" width="2.1328125" customWidth="1"/>
    <col min="2" max="2" width="35.59765625" customWidth="1"/>
    <col min="3" max="9" width="10" customWidth="1"/>
  </cols>
  <sheetData>
    <row r="1" spans="2:10" x14ac:dyDescent="0.45">
      <c r="B1" s="39"/>
      <c r="C1" s="39"/>
      <c r="D1" s="39"/>
      <c r="E1" s="39"/>
      <c r="F1" s="39"/>
      <c r="G1" s="39"/>
      <c r="H1" s="39"/>
      <c r="I1" s="39"/>
    </row>
    <row r="3" spans="2:10" ht="23.25" x14ac:dyDescent="0.7">
      <c r="B3" s="61" t="s">
        <v>152</v>
      </c>
    </row>
    <row r="5" spans="2:10" ht="15.75" x14ac:dyDescent="0.5">
      <c r="B5" s="58" t="s">
        <v>154</v>
      </c>
      <c r="C5" s="58"/>
      <c r="D5" s="58"/>
      <c r="E5" s="58"/>
      <c r="F5" s="58"/>
      <c r="G5" s="58"/>
      <c r="H5" s="58"/>
      <c r="I5" s="58"/>
    </row>
    <row r="6" spans="2:10" x14ac:dyDescent="0.45">
      <c r="B6" s="46"/>
      <c r="C6" s="45">
        <v>43190</v>
      </c>
      <c r="D6" s="45">
        <v>43555</v>
      </c>
      <c r="E6" s="45">
        <v>43921</v>
      </c>
      <c r="F6" s="45">
        <v>44286</v>
      </c>
      <c r="G6" s="45">
        <v>44651</v>
      </c>
      <c r="H6" s="45">
        <v>45016</v>
      </c>
      <c r="I6" s="45">
        <v>45382</v>
      </c>
    </row>
    <row r="8" spans="2:10" x14ac:dyDescent="0.45">
      <c r="B8" t="s">
        <v>30</v>
      </c>
      <c r="C8" s="47">
        <f>'Data Sheet'!E65-'Data Sheet'!E60</f>
        <v>20238.699999999997</v>
      </c>
      <c r="D8" s="47">
        <f>'Data Sheet'!F65-'Data Sheet'!F60</f>
        <v>20773.199999999997</v>
      </c>
      <c r="E8" s="47">
        <f>'Data Sheet'!G65-'Data Sheet'!G60</f>
        <v>19368.97</v>
      </c>
      <c r="F8" s="47">
        <f>'Data Sheet'!H65-'Data Sheet'!H60</f>
        <v>17599.099999999999</v>
      </c>
      <c r="G8" s="47">
        <f>'Data Sheet'!I65-'Data Sheet'!I60</f>
        <v>12500.970000000001</v>
      </c>
      <c r="H8" s="47">
        <f>'Data Sheet'!J65-'Data Sheet'!J60</f>
        <v>19018.309999999998</v>
      </c>
      <c r="I8" s="47">
        <f>'Data Sheet'!K65-'Data Sheet'!K60</f>
        <v>23349.39</v>
      </c>
      <c r="J8" s="47"/>
    </row>
    <row r="9" spans="2:10" x14ac:dyDescent="0.45">
      <c r="B9" t="s">
        <v>128</v>
      </c>
      <c r="C9" s="47">
        <f>'Data Sheet'!E66</f>
        <v>64297.39</v>
      </c>
      <c r="D9" s="47">
        <f>'Data Sheet'!F66</f>
        <v>64589.53</v>
      </c>
      <c r="E9" s="47">
        <f>'Data Sheet'!G66</f>
        <v>68194.320000000007</v>
      </c>
      <c r="F9" s="47">
        <f>'Data Sheet'!H66</f>
        <v>67622.22</v>
      </c>
      <c r="G9" s="47">
        <f>'Data Sheet'!I66</f>
        <v>69775.91</v>
      </c>
      <c r="H9" s="47">
        <f>'Data Sheet'!J66</f>
        <v>80711.899999999994</v>
      </c>
      <c r="I9" s="47">
        <f>'Data Sheet'!K66</f>
        <v>85307.82</v>
      </c>
    </row>
    <row r="10" spans="2:10" x14ac:dyDescent="0.45">
      <c r="B10" s="48" t="s">
        <v>153</v>
      </c>
      <c r="C10" s="49">
        <f>C8/C9</f>
        <v>0.31476705353047763</v>
      </c>
      <c r="D10" s="49">
        <f t="shared" ref="D10:I10" si="0">D8/D9</f>
        <v>0.32161868959257017</v>
      </c>
      <c r="E10" s="49">
        <f t="shared" si="0"/>
        <v>0.28402614763223683</v>
      </c>
      <c r="F10" s="49">
        <f t="shared" si="0"/>
        <v>0.26025617023516823</v>
      </c>
      <c r="G10" s="49">
        <f t="shared" si="0"/>
        <v>0.17915882429910265</v>
      </c>
      <c r="H10" s="49">
        <f t="shared" si="0"/>
        <v>0.23563204434538151</v>
      </c>
      <c r="I10" s="49">
        <f t="shared" si="0"/>
        <v>0.27370749832782032</v>
      </c>
    </row>
    <row r="12" spans="2:10" ht="15.75" x14ac:dyDescent="0.5">
      <c r="B12" s="58" t="s">
        <v>155</v>
      </c>
      <c r="C12" s="58"/>
      <c r="D12" s="58"/>
      <c r="E12" s="58"/>
      <c r="F12" s="58"/>
      <c r="G12" s="58"/>
      <c r="H12" s="58"/>
      <c r="I12" s="58"/>
    </row>
    <row r="13" spans="2:10" x14ac:dyDescent="0.45">
      <c r="B13" s="46"/>
      <c r="C13" s="45">
        <v>43190</v>
      </c>
      <c r="D13" s="45">
        <v>43555</v>
      </c>
      <c r="E13" s="45">
        <v>43921</v>
      </c>
      <c r="F13" s="45">
        <v>44286</v>
      </c>
      <c r="G13" s="45">
        <v>44651</v>
      </c>
      <c r="H13" s="45">
        <v>45016</v>
      </c>
      <c r="I13" s="45">
        <v>45382</v>
      </c>
    </row>
    <row r="15" spans="2:10" x14ac:dyDescent="0.45">
      <c r="B15" t="s">
        <v>117</v>
      </c>
      <c r="C15">
        <f>fs!F47*fs!F41*fs!F39</f>
        <v>2223.1100000000006</v>
      </c>
      <c r="D15">
        <f>fs!G47*fs!G41*fs!G39</f>
        <v>2807.7900000000013</v>
      </c>
      <c r="E15">
        <f>fs!H47*fs!H41*fs!H39</f>
        <v>2844.8100000000009</v>
      </c>
      <c r="F15">
        <f>fs!I47*fs!I41*fs!I39</f>
        <v>3934.4099999999989</v>
      </c>
      <c r="G15">
        <f>fs!J47*fs!J41*fs!J39</f>
        <v>4511.6799999999957</v>
      </c>
      <c r="H15">
        <f>fs!K47*fs!K41*fs!K39</f>
        <v>5342.2200000000012</v>
      </c>
      <c r="I15">
        <f>fs!L47*fs!L41*fs!L39</f>
        <v>5544.149999999996</v>
      </c>
    </row>
    <row r="16" spans="2:10" x14ac:dyDescent="0.45">
      <c r="B16" t="s">
        <v>128</v>
      </c>
      <c r="C16" s="47">
        <f>C9</f>
        <v>64297.39</v>
      </c>
      <c r="D16" s="47">
        <f t="shared" ref="D16:I16" si="1">D9</f>
        <v>64589.53</v>
      </c>
      <c r="E16" s="47">
        <f t="shared" si="1"/>
        <v>68194.320000000007</v>
      </c>
      <c r="F16" s="47">
        <f t="shared" si="1"/>
        <v>67622.22</v>
      </c>
      <c r="G16" s="47">
        <f t="shared" si="1"/>
        <v>69775.91</v>
      </c>
      <c r="H16" s="47">
        <f t="shared" si="1"/>
        <v>80711.899999999994</v>
      </c>
      <c r="I16" s="47">
        <f t="shared" si="1"/>
        <v>85307.82</v>
      </c>
    </row>
    <row r="17" spans="2:9" x14ac:dyDescent="0.45">
      <c r="B17" s="48" t="s">
        <v>156</v>
      </c>
      <c r="C17" s="49">
        <f>C15/C16</f>
        <v>3.4575431444417895E-2</v>
      </c>
      <c r="D17" s="49">
        <f t="shared" ref="D17:I17" si="2">D15/D16</f>
        <v>4.3471287064637279E-2</v>
      </c>
      <c r="E17" s="49">
        <f t="shared" si="2"/>
        <v>4.17162309119E-2</v>
      </c>
      <c r="F17" s="49">
        <f t="shared" si="2"/>
        <v>5.8182206972796795E-2</v>
      </c>
      <c r="G17" s="49">
        <f t="shared" si="2"/>
        <v>6.4659565170844716E-2</v>
      </c>
      <c r="H17" s="49">
        <f t="shared" si="2"/>
        <v>6.6188752835703302E-2</v>
      </c>
      <c r="I17" s="49">
        <f t="shared" si="2"/>
        <v>6.4989938788729981E-2</v>
      </c>
    </row>
    <row r="19" spans="2:9" ht="15.75" x14ac:dyDescent="0.5">
      <c r="B19" s="58" t="s">
        <v>157</v>
      </c>
      <c r="C19" s="58"/>
      <c r="D19" s="58"/>
      <c r="E19" s="58"/>
      <c r="F19" s="58"/>
      <c r="G19" s="58"/>
      <c r="H19" s="58"/>
      <c r="I19" s="58"/>
    </row>
    <row r="20" spans="2:9" x14ac:dyDescent="0.45">
      <c r="B20" s="46"/>
      <c r="C20" s="45">
        <v>43190</v>
      </c>
      <c r="D20" s="45">
        <v>43555</v>
      </c>
      <c r="E20" s="45">
        <v>43921</v>
      </c>
      <c r="F20" s="45">
        <v>44286</v>
      </c>
      <c r="G20" s="45">
        <v>44651</v>
      </c>
      <c r="H20" s="45">
        <v>45016</v>
      </c>
      <c r="I20" s="45">
        <v>45382</v>
      </c>
    </row>
    <row r="22" spans="2:9" x14ac:dyDescent="0.45">
      <c r="B22" t="s">
        <v>158</v>
      </c>
      <c r="C22" s="47">
        <f>fs!F21-fs!F27</f>
        <v>4131.58</v>
      </c>
      <c r="D22" s="47">
        <f>fs!G21-fs!G27</f>
        <v>4623.7300000000014</v>
      </c>
      <c r="E22" s="47">
        <f>fs!H21-fs!H27</f>
        <v>4930.0600000000013</v>
      </c>
      <c r="F22" s="47">
        <f>fs!I21-fs!I27</f>
        <v>6390.0099999999993</v>
      </c>
      <c r="G22" s="47">
        <f>fs!J21-fs!J27</f>
        <v>8113.8299999999963</v>
      </c>
      <c r="H22" s="47">
        <f>fs!K21-fs!K27</f>
        <v>9121.010000000002</v>
      </c>
      <c r="I22" s="47">
        <f>fs!L21-fs!L27</f>
        <v>10461.129999999996</v>
      </c>
    </row>
    <row r="23" spans="2:9" x14ac:dyDescent="0.45">
      <c r="B23" t="s">
        <v>128</v>
      </c>
      <c r="C23" s="47">
        <f>C16</f>
        <v>64297.39</v>
      </c>
      <c r="D23" s="47">
        <f t="shared" ref="D23:I23" si="3">D16</f>
        <v>64589.53</v>
      </c>
      <c r="E23" s="47">
        <f t="shared" si="3"/>
        <v>68194.320000000007</v>
      </c>
      <c r="F23" s="47">
        <f t="shared" si="3"/>
        <v>67622.22</v>
      </c>
      <c r="G23" s="47">
        <f t="shared" si="3"/>
        <v>69775.91</v>
      </c>
      <c r="H23" s="47">
        <f t="shared" si="3"/>
        <v>80711.899999999994</v>
      </c>
      <c r="I23" s="47">
        <f t="shared" si="3"/>
        <v>85307.82</v>
      </c>
    </row>
    <row r="24" spans="2:9" x14ac:dyDescent="0.45">
      <c r="B24" s="48" t="s">
        <v>159</v>
      </c>
      <c r="C24" s="49">
        <f>C22/C23</f>
        <v>6.4257351659219752E-2</v>
      </c>
      <c r="D24" s="49">
        <f t="shared" ref="D24:I24" si="4">D22/D23</f>
        <v>7.1586370112926997E-2</v>
      </c>
      <c r="E24" s="49">
        <f t="shared" si="4"/>
        <v>7.2294290785508253E-2</v>
      </c>
      <c r="F24" s="49">
        <f t="shared" si="4"/>
        <v>9.4495714574292289E-2</v>
      </c>
      <c r="G24" s="49">
        <f t="shared" si="4"/>
        <v>0.11628411582163523</v>
      </c>
      <c r="H24" s="49">
        <f t="shared" si="4"/>
        <v>0.11300700392383282</v>
      </c>
      <c r="I24" s="49">
        <f t="shared" si="4"/>
        <v>0.12262803105272171</v>
      </c>
    </row>
    <row r="26" spans="2:9" ht="15.75" x14ac:dyDescent="0.5">
      <c r="B26" s="58" t="s">
        <v>160</v>
      </c>
      <c r="C26" s="58"/>
      <c r="D26" s="58"/>
      <c r="E26" s="58"/>
      <c r="F26" s="58"/>
      <c r="G26" s="58"/>
      <c r="H26" s="58"/>
      <c r="I26" s="58"/>
    </row>
    <row r="27" spans="2:9" x14ac:dyDescent="0.45">
      <c r="B27" s="46"/>
      <c r="C27" s="45">
        <v>43190</v>
      </c>
      <c r="D27" s="45">
        <v>43555</v>
      </c>
      <c r="E27" s="45">
        <v>43921</v>
      </c>
      <c r="F27" s="45">
        <v>44286</v>
      </c>
      <c r="G27" s="45">
        <v>44651</v>
      </c>
      <c r="H27" s="45">
        <v>45016</v>
      </c>
      <c r="I27" s="45">
        <v>45382</v>
      </c>
    </row>
    <row r="29" spans="2:9" x14ac:dyDescent="0.45">
      <c r="B29" t="s">
        <v>161</v>
      </c>
      <c r="C29" s="47">
        <f>'Data Sheet'!E90*'Data Sheet'!E93</f>
        <v>118789.34300000001</v>
      </c>
      <c r="D29" s="47">
        <f>'Data Sheet'!F90*'Data Sheet'!F93</f>
        <v>114890.48050000001</v>
      </c>
      <c r="E29" s="47">
        <f>'Data Sheet'!G90*'Data Sheet'!G93</f>
        <v>84527.339000000007</v>
      </c>
      <c r="F29" s="47">
        <f>'Data Sheet'!H90*'Data Sheet'!H93</f>
        <v>143430.15399999998</v>
      </c>
      <c r="G29" s="47">
        <f>'Data Sheet'!I90*'Data Sheet'!I93</f>
        <v>219475.9675</v>
      </c>
      <c r="H29" s="47">
        <f>'Data Sheet'!J90*'Data Sheet'!J93</f>
        <v>235875.18300000002</v>
      </c>
      <c r="I29" s="47">
        <f>'Data Sheet'!K90*'Data Sheet'!K93</f>
        <v>388818.56150000001</v>
      </c>
    </row>
    <row r="30" spans="2:9" x14ac:dyDescent="0.45">
      <c r="B30" t="s">
        <v>162</v>
      </c>
      <c r="C30" s="47">
        <f>'Data Sheet'!E60</f>
        <v>15598.01</v>
      </c>
      <c r="D30" s="47">
        <f>'Data Sheet'!F60</f>
        <v>12666.11</v>
      </c>
      <c r="E30" s="47">
        <f>'Data Sheet'!G60</f>
        <v>14614.99</v>
      </c>
      <c r="F30" s="47">
        <f>'Data Sheet'!H60</f>
        <v>17290.86</v>
      </c>
      <c r="G30" s="47">
        <f>'Data Sheet'!I60</f>
        <v>20474.39</v>
      </c>
      <c r="H30" s="47">
        <f>'Data Sheet'!J60</f>
        <v>17830.650000000001</v>
      </c>
      <c r="I30" s="47">
        <f>'Data Sheet'!K60</f>
        <v>18367.400000000001</v>
      </c>
    </row>
    <row r="31" spans="2:9" x14ac:dyDescent="0.45">
      <c r="B31" s="48" t="s">
        <v>163</v>
      </c>
      <c r="C31" s="49">
        <f>C29/C30</f>
        <v>7.6156729608456466</v>
      </c>
      <c r="D31" s="49">
        <f t="shared" ref="D31:I31" si="5">D29/D30</f>
        <v>9.0706997254879358</v>
      </c>
      <c r="E31" s="49">
        <f t="shared" si="5"/>
        <v>5.7836056678793488</v>
      </c>
      <c r="F31" s="49">
        <f t="shared" si="5"/>
        <v>8.2951428673877405</v>
      </c>
      <c r="G31" s="49">
        <f t="shared" si="5"/>
        <v>10.719536332950579</v>
      </c>
      <c r="H31" s="49">
        <f t="shared" si="5"/>
        <v>13.228636252744572</v>
      </c>
      <c r="I31" s="49">
        <f t="shared" si="5"/>
        <v>21.168949415812797</v>
      </c>
    </row>
    <row r="33" spans="2:9" ht="15.75" x14ac:dyDescent="0.5">
      <c r="B33" s="58" t="s">
        <v>164</v>
      </c>
      <c r="C33" s="58"/>
      <c r="D33" s="58"/>
      <c r="E33" s="58"/>
      <c r="F33" s="58"/>
      <c r="G33" s="58"/>
      <c r="H33" s="58"/>
      <c r="I33" s="58"/>
    </row>
    <row r="34" spans="2:9" x14ac:dyDescent="0.45">
      <c r="B34" s="46"/>
      <c r="C34" s="45">
        <v>43190</v>
      </c>
      <c r="D34" s="45">
        <v>43555</v>
      </c>
      <c r="E34" s="45">
        <v>43921</v>
      </c>
      <c r="F34" s="45">
        <v>44286</v>
      </c>
      <c r="G34" s="45">
        <v>44651</v>
      </c>
      <c r="H34" s="45">
        <v>45016</v>
      </c>
      <c r="I34" s="45">
        <v>45382</v>
      </c>
    </row>
    <row r="36" spans="2:9" x14ac:dyDescent="0.45">
      <c r="B36" t="s">
        <v>165</v>
      </c>
      <c r="C36" s="47">
        <f>'Data Sheet'!E17</f>
        <v>26489.46</v>
      </c>
      <c r="D36" s="47">
        <f>'Data Sheet'!F17</f>
        <v>29065.91</v>
      </c>
      <c r="E36" s="47">
        <f>'Data Sheet'!G17</f>
        <v>32837.5</v>
      </c>
      <c r="F36" s="47">
        <f>'Data Sheet'!H17</f>
        <v>33498.14</v>
      </c>
      <c r="G36" s="47">
        <f>'Data Sheet'!I17</f>
        <v>38654.49</v>
      </c>
      <c r="H36" s="47">
        <f>'Data Sheet'!J17</f>
        <v>43885.68</v>
      </c>
      <c r="I36" s="47">
        <f>'Data Sheet'!K17</f>
        <v>48496.85</v>
      </c>
    </row>
    <row r="37" spans="2:9" x14ac:dyDescent="0.45">
      <c r="B37" t="s">
        <v>128</v>
      </c>
      <c r="C37" s="47">
        <f>C16</f>
        <v>64297.39</v>
      </c>
      <c r="D37" s="47">
        <f t="shared" ref="D37:I37" si="6">D16</f>
        <v>64589.53</v>
      </c>
      <c r="E37" s="47">
        <f t="shared" si="6"/>
        <v>68194.320000000007</v>
      </c>
      <c r="F37" s="47">
        <f t="shared" si="6"/>
        <v>67622.22</v>
      </c>
      <c r="G37" s="47">
        <f t="shared" si="6"/>
        <v>69775.91</v>
      </c>
      <c r="H37" s="47">
        <f t="shared" si="6"/>
        <v>80711.899999999994</v>
      </c>
      <c r="I37" s="47">
        <f t="shared" si="6"/>
        <v>85307.82</v>
      </c>
    </row>
    <row r="38" spans="2:9" x14ac:dyDescent="0.45">
      <c r="B38" s="48" t="s">
        <v>146</v>
      </c>
      <c r="C38" s="49">
        <f>C36/C37</f>
        <v>0.41198344131853565</v>
      </c>
      <c r="D38" s="49">
        <f t="shared" ref="D38:I38" si="7">D36/D37</f>
        <v>0.45000962230256203</v>
      </c>
      <c r="E38" s="49">
        <f t="shared" si="7"/>
        <v>0.48152837362407891</v>
      </c>
      <c r="F38" s="49">
        <f t="shared" si="7"/>
        <v>0.49537178755740346</v>
      </c>
      <c r="G38" s="49">
        <f t="shared" si="7"/>
        <v>0.55398044969961691</v>
      </c>
      <c r="H38" s="49">
        <f t="shared" si="7"/>
        <v>0.54373246076476955</v>
      </c>
      <c r="I38" s="49">
        <f t="shared" si="7"/>
        <v>0.56849243129176197</v>
      </c>
    </row>
    <row r="40" spans="2:9" ht="15.75" x14ac:dyDescent="0.5">
      <c r="B40" s="58" t="s">
        <v>166</v>
      </c>
      <c r="C40" s="58"/>
      <c r="D40" s="58"/>
      <c r="E40" s="58"/>
      <c r="F40" s="58"/>
      <c r="G40" s="58"/>
      <c r="H40" s="58"/>
      <c r="I40" s="58"/>
    </row>
    <row r="41" spans="2:9" x14ac:dyDescent="0.45">
      <c r="B41" s="46"/>
      <c r="C41" s="45">
        <v>43190</v>
      </c>
      <c r="D41" s="45">
        <v>43555</v>
      </c>
      <c r="E41" s="45">
        <v>43921</v>
      </c>
      <c r="F41" s="45">
        <v>44286</v>
      </c>
      <c r="G41" s="45">
        <v>44651</v>
      </c>
      <c r="H41" s="45">
        <v>45016</v>
      </c>
      <c r="I41" s="45">
        <v>45382</v>
      </c>
    </row>
    <row r="43" spans="2:9" x14ac:dyDescent="0.45">
      <c r="B43" s="63" t="s">
        <v>167</v>
      </c>
      <c r="C43" s="64">
        <f>C10*1.2+C17*1.4+C24*3.3+C31*0.6+C38*1</f>
        <v>5.6195625465601067</v>
      </c>
      <c r="D43" s="64">
        <f t="shared" ref="D43:I43" si="8">D10*1.2+D17*1.4+D24*3.3+D31*0.6+D38*1</f>
        <v>6.575466708369559</v>
      </c>
      <c r="E43" s="64">
        <f t="shared" si="8"/>
        <v>4.5894970343792094</v>
      </c>
      <c r="F43" s="64">
        <f t="shared" si="8"/>
        <v>6.1780558601293292</v>
      </c>
      <c r="G43" s="64">
        <f t="shared" si="8"/>
        <v>7.6749538120794663</v>
      </c>
      <c r="H43" s="64">
        <f t="shared" si="8"/>
        <v>9.2292600325446017</v>
      </c>
      <c r="I43" s="64">
        <f t="shared" si="8"/>
        <v>14.093969495551027</v>
      </c>
    </row>
    <row r="44" spans="2:9" x14ac:dyDescent="0.45">
      <c r="B44" s="2" t="s">
        <v>168</v>
      </c>
      <c r="C44" s="62" t="str">
        <f>IF(C43&lt;1.81,"distressed",IF(C43&gt;3,"Strong","Grey Zone"))</f>
        <v>Strong</v>
      </c>
      <c r="D44" s="62" t="str">
        <f t="shared" ref="D44:I44" si="9">IF(D43&lt;1.81,"distressed",IF(D43&gt;3,"Strong","Grey Zone"))</f>
        <v>Strong</v>
      </c>
      <c r="E44" s="62" t="str">
        <f t="shared" si="9"/>
        <v>Strong</v>
      </c>
      <c r="F44" s="62" t="str">
        <f t="shared" si="9"/>
        <v>Strong</v>
      </c>
      <c r="G44" s="62" t="str">
        <f t="shared" si="9"/>
        <v>Strong</v>
      </c>
      <c r="H44" s="62" t="str">
        <f t="shared" si="9"/>
        <v>Strong</v>
      </c>
      <c r="I44" s="62" t="str">
        <f t="shared" si="9"/>
        <v>Strong</v>
      </c>
    </row>
    <row r="45" spans="2:9" x14ac:dyDescent="0.45">
      <c r="B45" s="2"/>
      <c r="C45" s="62"/>
      <c r="D45" s="62"/>
      <c r="E45" s="62"/>
      <c r="F45" s="62"/>
      <c r="G45" s="62"/>
      <c r="H45" s="62"/>
      <c r="I45" s="62"/>
    </row>
    <row r="47" spans="2:9" x14ac:dyDescent="0.45">
      <c r="B47" s="59" t="s">
        <v>150</v>
      </c>
      <c r="C47" s="59"/>
      <c r="D47" s="59"/>
      <c r="E47" s="59"/>
      <c r="F47" s="59"/>
      <c r="G47" s="59"/>
      <c r="H47" s="59"/>
      <c r="I47" s="59"/>
    </row>
    <row r="48" spans="2:9" x14ac:dyDescent="0.45">
      <c r="B48" s="59"/>
      <c r="C48" s="59"/>
      <c r="D48" s="59"/>
      <c r="E48" s="59"/>
      <c r="F48" s="59"/>
      <c r="G48" s="59"/>
      <c r="H48" s="59"/>
      <c r="I48" s="59"/>
    </row>
    <row r="50" spans="2:9" x14ac:dyDescent="0.45">
      <c r="B50" s="39"/>
      <c r="C50" s="39"/>
      <c r="D50" s="39"/>
      <c r="E50" s="39"/>
      <c r="F50" s="39"/>
      <c r="G50" s="39"/>
      <c r="H50" s="39"/>
      <c r="I50" s="39"/>
    </row>
  </sheetData>
  <mergeCells count="7">
    <mergeCell ref="B47:I48"/>
    <mergeCell ref="B5:I5"/>
    <mergeCell ref="B12:I12"/>
    <mergeCell ref="B19:I19"/>
    <mergeCell ref="B26:I26"/>
    <mergeCell ref="B33:I33"/>
    <mergeCell ref="B40:I40"/>
  </mergeCells>
  <pageMargins left="0.74803149606299213" right="0.70866141732283472" top="1.0629921259842521" bottom="0.59055118110236227" header="0.31496062992125984" footer="0.31496062992125984"/>
  <pageSetup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K22"/>
  <sheetViews>
    <sheetView zoomScale="81" workbookViewId="0">
      <pane xSplit="1" ySplit="3" topLeftCell="C4" activePane="bottomRight" state="frozen"/>
      <selection pane="topRight" activeCell="B1" sqref="B1"/>
      <selection pane="bottomLeft" activeCell="A4" sqref="A4"/>
      <selection pane="bottomRight" activeCell="K5" sqref="K5"/>
    </sheetView>
  </sheetViews>
  <sheetFormatPr defaultColWidth="8.796875" defaultRowHeight="14.25" x14ac:dyDescent="0.45"/>
  <cols>
    <col min="1" max="1" width="20.6640625" customWidth="1"/>
    <col min="2" max="11" width="13.46484375" bestFit="1" customWidth="1"/>
  </cols>
  <sheetData>
    <row r="1" spans="1:11" s="2" customFormat="1" x14ac:dyDescent="0.45">
      <c r="A1" s="2" t="str">
        <f>'Profit &amp; Loss'!A1</f>
        <v>SUN PHARMACEUTICALS INDUSTRIES LTD</v>
      </c>
      <c r="E1" t="str">
        <f>UPDATE</f>
        <v/>
      </c>
      <c r="J1" s="2" t="s">
        <v>1</v>
      </c>
    </row>
    <row r="3" spans="1:11" s="2" customFormat="1" x14ac:dyDescent="0.45">
      <c r="A3" s="11" t="s">
        <v>2</v>
      </c>
      <c r="B3" s="12">
        <f>'Data Sheet'!B41</f>
        <v>44561</v>
      </c>
      <c r="C3" s="12">
        <f>'Data Sheet'!C41</f>
        <v>44651</v>
      </c>
      <c r="D3" s="12">
        <f>'Data Sheet'!D41</f>
        <v>44742</v>
      </c>
      <c r="E3" s="12">
        <f>'Data Sheet'!E41</f>
        <v>44834</v>
      </c>
      <c r="F3" s="12">
        <f>'Data Sheet'!F41</f>
        <v>44926</v>
      </c>
      <c r="G3" s="12">
        <f>'Data Sheet'!G41</f>
        <v>45016</v>
      </c>
      <c r="H3" s="12">
        <f>'Data Sheet'!H41</f>
        <v>45107</v>
      </c>
      <c r="I3" s="12">
        <f>'Data Sheet'!I41</f>
        <v>45199</v>
      </c>
      <c r="J3" s="12">
        <f>'Data Sheet'!J41</f>
        <v>45291</v>
      </c>
      <c r="K3" s="12">
        <f>'Data Sheet'!K41</f>
        <v>45382</v>
      </c>
    </row>
    <row r="4" spans="1:11" s="2" customFormat="1" x14ac:dyDescent="0.45">
      <c r="A4" s="2" t="s">
        <v>6</v>
      </c>
      <c r="B4" s="1">
        <f>'Data Sheet'!B42</f>
        <v>9863.06</v>
      </c>
      <c r="C4" s="1">
        <f>'Data Sheet'!C42</f>
        <v>9446.76</v>
      </c>
      <c r="D4" s="1">
        <f>'Data Sheet'!D42</f>
        <v>10761.76</v>
      </c>
      <c r="E4" s="1">
        <f>'Data Sheet'!E42</f>
        <v>10952.28</v>
      </c>
      <c r="F4" s="1">
        <f>'Data Sheet'!F42</f>
        <v>11240.97</v>
      </c>
      <c r="G4" s="1">
        <f>'Data Sheet'!G42</f>
        <v>10930.67</v>
      </c>
      <c r="H4" s="1">
        <f>'Data Sheet'!H42</f>
        <v>11940.84</v>
      </c>
      <c r="I4" s="1">
        <f>'Data Sheet'!I42</f>
        <v>12192.41</v>
      </c>
      <c r="J4" s="1">
        <f>'Data Sheet'!J42</f>
        <v>12380.7</v>
      </c>
      <c r="K4" s="1">
        <f>'Data Sheet'!K42</f>
        <v>11982.9</v>
      </c>
    </row>
    <row r="5" spans="1:11" x14ac:dyDescent="0.45">
      <c r="A5" t="s">
        <v>7</v>
      </c>
      <c r="B5" s="6">
        <f>'Data Sheet'!B43</f>
        <v>7256.73</v>
      </c>
      <c r="C5" s="6">
        <f>'Data Sheet'!C43</f>
        <v>7106.39</v>
      </c>
      <c r="D5" s="6">
        <f>'Data Sheet'!D43</f>
        <v>7877.37</v>
      </c>
      <c r="E5" s="6">
        <f>'Data Sheet'!E43</f>
        <v>7995.73</v>
      </c>
      <c r="F5" s="6">
        <f>'Data Sheet'!F43</f>
        <v>8237.25</v>
      </c>
      <c r="G5" s="6">
        <f>'Data Sheet'!G43</f>
        <v>8128.54</v>
      </c>
      <c r="H5" s="6">
        <f>'Data Sheet'!H43</f>
        <v>8609.07</v>
      </c>
      <c r="I5" s="6">
        <f>'Data Sheet'!I43</f>
        <v>9013.0300000000007</v>
      </c>
      <c r="J5" s="6">
        <f>'Data Sheet'!J43</f>
        <v>8903.8700000000008</v>
      </c>
      <c r="K5" s="6">
        <f>'Data Sheet'!K43</f>
        <v>8947.75</v>
      </c>
    </row>
    <row r="6" spans="1:11" s="2" customFormat="1" x14ac:dyDescent="0.45">
      <c r="A6" s="2" t="s">
        <v>8</v>
      </c>
      <c r="B6" s="1">
        <f>'Data Sheet'!B50</f>
        <v>2606.33</v>
      </c>
      <c r="C6" s="1">
        <f>'Data Sheet'!C50</f>
        <v>2340.37</v>
      </c>
      <c r="D6" s="1">
        <f>'Data Sheet'!D50</f>
        <v>2884.39</v>
      </c>
      <c r="E6" s="1">
        <f>'Data Sheet'!E50</f>
        <v>2956.55</v>
      </c>
      <c r="F6" s="1">
        <f>'Data Sheet'!F50</f>
        <v>3003.72</v>
      </c>
      <c r="G6" s="1">
        <f>'Data Sheet'!G50</f>
        <v>2802.13</v>
      </c>
      <c r="H6" s="1">
        <f>'Data Sheet'!H50</f>
        <v>3331.77</v>
      </c>
      <c r="I6" s="1">
        <f>'Data Sheet'!I50</f>
        <v>3179.38</v>
      </c>
      <c r="J6" s="1">
        <f>'Data Sheet'!J50</f>
        <v>3476.83</v>
      </c>
      <c r="K6" s="1">
        <f>'Data Sheet'!K50</f>
        <v>3035.15</v>
      </c>
    </row>
    <row r="7" spans="1:11" x14ac:dyDescent="0.45">
      <c r="A7" t="s">
        <v>9</v>
      </c>
      <c r="B7" s="6">
        <f>'Data Sheet'!B44</f>
        <v>432.51</v>
      </c>
      <c r="C7" s="6">
        <f>'Data Sheet'!C44</f>
        <v>-3822.16</v>
      </c>
      <c r="D7" s="6">
        <f>'Data Sheet'!D44</f>
        <v>2.14</v>
      </c>
      <c r="E7" s="6">
        <f>'Data Sheet'!E44</f>
        <v>85.22</v>
      </c>
      <c r="F7" s="6">
        <f>'Data Sheet'!F44</f>
        <v>173.88</v>
      </c>
      <c r="G7" s="6">
        <f>'Data Sheet'!G44</f>
        <v>201.83</v>
      </c>
      <c r="H7" s="6">
        <f>'Data Sheet'!H44</f>
        <v>-118.43</v>
      </c>
      <c r="I7" s="6">
        <f>'Data Sheet'!I44</f>
        <v>293.61</v>
      </c>
      <c r="J7" s="6">
        <f>'Data Sheet'!J44</f>
        <v>180.39</v>
      </c>
      <c r="K7" s="6">
        <f>'Data Sheet'!K44</f>
        <v>504.3</v>
      </c>
    </row>
    <row r="8" spans="1:11" x14ac:dyDescent="0.45">
      <c r="A8" t="s">
        <v>10</v>
      </c>
      <c r="B8" s="6">
        <f>'Data Sheet'!B45</f>
        <v>553.67999999999995</v>
      </c>
      <c r="C8" s="6">
        <f>'Data Sheet'!C45</f>
        <v>556.47</v>
      </c>
      <c r="D8" s="6">
        <f>'Data Sheet'!D45</f>
        <v>588</v>
      </c>
      <c r="E8" s="6">
        <f>'Data Sheet'!E45</f>
        <v>609.95000000000005</v>
      </c>
      <c r="F8" s="6">
        <f>'Data Sheet'!F45</f>
        <v>659.95</v>
      </c>
      <c r="G8" s="6">
        <f>'Data Sheet'!G45</f>
        <v>671.53</v>
      </c>
      <c r="H8" s="6">
        <f>'Data Sheet'!H45</f>
        <v>651.32000000000005</v>
      </c>
      <c r="I8" s="6">
        <f>'Data Sheet'!I45</f>
        <v>632.82000000000005</v>
      </c>
      <c r="J8" s="6">
        <f>'Data Sheet'!J45</f>
        <v>622.14</v>
      </c>
      <c r="K8" s="6">
        <f>'Data Sheet'!K45</f>
        <v>650.36</v>
      </c>
    </row>
    <row r="9" spans="1:11" x14ac:dyDescent="0.45">
      <c r="A9" t="s">
        <v>11</v>
      </c>
      <c r="B9" s="6">
        <f>'Data Sheet'!B46</f>
        <v>18.97</v>
      </c>
      <c r="C9" s="6">
        <f>'Data Sheet'!C46</f>
        <v>37.340000000000003</v>
      </c>
      <c r="D9" s="6">
        <f>'Data Sheet'!D46</f>
        <v>13.69</v>
      </c>
      <c r="E9" s="6">
        <f>'Data Sheet'!E46</f>
        <v>19.39</v>
      </c>
      <c r="F9" s="6">
        <f>'Data Sheet'!F46</f>
        <v>46.18</v>
      </c>
      <c r="G9" s="6">
        <f>'Data Sheet'!G46</f>
        <v>92.74</v>
      </c>
      <c r="H9" s="6">
        <f>'Data Sheet'!H46</f>
        <v>80.88</v>
      </c>
      <c r="I9" s="6">
        <f>'Data Sheet'!I46</f>
        <v>49.29</v>
      </c>
      <c r="J9" s="6">
        <f>'Data Sheet'!J46</f>
        <v>34.729999999999997</v>
      </c>
      <c r="K9" s="6">
        <f>'Data Sheet'!K46</f>
        <v>73.569999999999993</v>
      </c>
    </row>
    <row r="10" spans="1:11" x14ac:dyDescent="0.45">
      <c r="A10" t="s">
        <v>12</v>
      </c>
      <c r="B10" s="6">
        <f>'Data Sheet'!B47</f>
        <v>2466.19</v>
      </c>
      <c r="C10" s="6">
        <f>'Data Sheet'!C47</f>
        <v>-2075.6</v>
      </c>
      <c r="D10" s="6">
        <f>'Data Sheet'!D47</f>
        <v>2284.84</v>
      </c>
      <c r="E10" s="6">
        <f>'Data Sheet'!E47</f>
        <v>2412.4299999999998</v>
      </c>
      <c r="F10" s="6">
        <f>'Data Sheet'!F47</f>
        <v>2471.4699999999998</v>
      </c>
      <c r="G10" s="6">
        <f>'Data Sheet'!G47</f>
        <v>2239.69</v>
      </c>
      <c r="H10" s="6">
        <f>'Data Sheet'!H47</f>
        <v>2481.14</v>
      </c>
      <c r="I10" s="6">
        <f>'Data Sheet'!I47</f>
        <v>2790.88</v>
      </c>
      <c r="J10" s="6">
        <f>'Data Sheet'!J47</f>
        <v>3000.35</v>
      </c>
      <c r="K10" s="6">
        <f>'Data Sheet'!K47</f>
        <v>2815.52</v>
      </c>
    </row>
    <row r="11" spans="1:11" x14ac:dyDescent="0.45">
      <c r="A11" t="s">
        <v>13</v>
      </c>
      <c r="B11" s="6">
        <f>'Data Sheet'!B48</f>
        <v>335.39</v>
      </c>
      <c r="C11" s="6">
        <f>'Data Sheet'!C48</f>
        <v>146.76</v>
      </c>
      <c r="D11" s="6">
        <f>'Data Sheet'!D48</f>
        <v>188.99</v>
      </c>
      <c r="E11" s="6">
        <f>'Data Sheet'!E48</f>
        <v>152.26</v>
      </c>
      <c r="F11" s="6">
        <f>'Data Sheet'!F48</f>
        <v>283.43</v>
      </c>
      <c r="G11" s="6">
        <f>'Data Sheet'!G48</f>
        <v>222.91</v>
      </c>
      <c r="H11" s="6">
        <f>'Data Sheet'!H48</f>
        <v>468.1</v>
      </c>
      <c r="I11" s="6">
        <f>'Data Sheet'!I48</f>
        <v>390.1</v>
      </c>
      <c r="J11" s="6">
        <f>'Data Sheet'!J48</f>
        <v>432.32</v>
      </c>
      <c r="K11" s="6">
        <f>'Data Sheet'!K48</f>
        <v>148.93</v>
      </c>
    </row>
    <row r="12" spans="1:11" s="2" customFormat="1" x14ac:dyDescent="0.45">
      <c r="A12" s="2" t="s">
        <v>14</v>
      </c>
      <c r="B12" s="1">
        <f>'Data Sheet'!B49</f>
        <v>2058.8000000000002</v>
      </c>
      <c r="C12" s="1">
        <f>'Data Sheet'!C49</f>
        <v>-2277.25</v>
      </c>
      <c r="D12" s="1">
        <f>'Data Sheet'!D49</f>
        <v>2060.88</v>
      </c>
      <c r="E12" s="1">
        <f>'Data Sheet'!E49</f>
        <v>2262.2199999999998</v>
      </c>
      <c r="F12" s="1">
        <f>'Data Sheet'!F49</f>
        <v>2166.0100000000002</v>
      </c>
      <c r="G12" s="1">
        <f>'Data Sheet'!G49</f>
        <v>1984.47</v>
      </c>
      <c r="H12" s="1">
        <f>'Data Sheet'!H49</f>
        <v>2022.54</v>
      </c>
      <c r="I12" s="1">
        <f>'Data Sheet'!I49</f>
        <v>2375.5100000000002</v>
      </c>
      <c r="J12" s="1">
        <f>'Data Sheet'!J49</f>
        <v>2523.75</v>
      </c>
      <c r="K12" s="1">
        <f>'Data Sheet'!K49</f>
        <v>2654.58</v>
      </c>
    </row>
    <row r="14" spans="1:11" s="2" customFormat="1" x14ac:dyDescent="0.45">
      <c r="A14" s="2" t="s">
        <v>18</v>
      </c>
      <c r="B14" s="10">
        <f>IF(B4&gt;0,B6/B4,"")</f>
        <v>0.26425166226302993</v>
      </c>
      <c r="C14" s="10">
        <f t="shared" ref="C14:K14" si="0">IF(C4&gt;0,C6/C4,"")</f>
        <v>0.24774314156388008</v>
      </c>
      <c r="D14" s="10">
        <f t="shared" si="0"/>
        <v>0.26802214507664174</v>
      </c>
      <c r="E14" s="10">
        <f t="shared" si="0"/>
        <v>0.26994835778486304</v>
      </c>
      <c r="F14" s="10">
        <f t="shared" si="0"/>
        <v>0.26721181535045463</v>
      </c>
      <c r="G14" s="10">
        <f t="shared" si="0"/>
        <v>0.25635482545900662</v>
      </c>
      <c r="H14" s="10">
        <f t="shared" si="0"/>
        <v>0.2790230838031495</v>
      </c>
      <c r="I14" s="10">
        <f t="shared" si="0"/>
        <v>0.26076714939868328</v>
      </c>
      <c r="J14" s="10">
        <f t="shared" si="0"/>
        <v>0.28082660915780205</v>
      </c>
      <c r="K14" s="10">
        <f t="shared" si="0"/>
        <v>0.25329010506638627</v>
      </c>
    </row>
    <row r="22" s="23" customFormat="1" x14ac:dyDescent="0.45"/>
  </sheetData>
  <hyperlinks>
    <hyperlink ref="J1" r:id="rId1" xr:uid="{00000000-0004-0000-0100-000000000000}"/>
  </hyperlinks>
  <printOptions gridLines="1"/>
  <pageMargins left="0.7" right="0.7" top="0.75" bottom="0.75" header="0.3" footer="0.3"/>
  <pageSetup paperSize="9" scale="83" orientation="landscape" horizontalDpi="300" verticalDpi="30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K24"/>
  <sheetViews>
    <sheetView zoomScale="53" workbookViewId="0">
      <pane xSplit="1" ySplit="3" topLeftCell="B4" activePane="bottomRight" state="frozen"/>
      <selection activeCell="C4" sqref="C4"/>
      <selection pane="topRight" activeCell="C4" sqref="C4"/>
      <selection pane="bottomLeft" activeCell="C4" sqref="C4"/>
      <selection pane="bottomRight" activeCell="K24" sqref="K24"/>
    </sheetView>
  </sheetViews>
  <sheetFormatPr defaultColWidth="8.796875" defaultRowHeight="14.25" x14ac:dyDescent="0.45"/>
  <cols>
    <col min="1" max="1" width="22.796875" bestFit="1" customWidth="1"/>
    <col min="2" max="2" width="13.46484375" customWidth="1"/>
    <col min="3" max="11" width="15.46484375" customWidth="1"/>
  </cols>
  <sheetData>
    <row r="1" spans="1:11" s="2" customFormat="1" x14ac:dyDescent="0.45">
      <c r="A1" s="2" t="str">
        <f>'Profit &amp; Loss'!A1</f>
        <v>SUN PHARMACEUTICALS INDUSTRIES LTD</v>
      </c>
      <c r="E1" t="str">
        <f>UPDATE</f>
        <v/>
      </c>
      <c r="G1"/>
      <c r="J1" s="2" t="s">
        <v>1</v>
      </c>
    </row>
    <row r="2" spans="1:11" x14ac:dyDescent="0.45">
      <c r="G2" s="2"/>
      <c r="H2" s="2"/>
    </row>
    <row r="3" spans="1:11" x14ac:dyDescent="0.45">
      <c r="A3" s="11" t="s">
        <v>2</v>
      </c>
      <c r="B3" s="12">
        <f>'Data Sheet'!B56</f>
        <v>42094</v>
      </c>
      <c r="C3" s="12">
        <f>'Data Sheet'!C56</f>
        <v>42460</v>
      </c>
      <c r="D3" s="12">
        <f>'Data Sheet'!D56</f>
        <v>42825</v>
      </c>
      <c r="E3" s="12">
        <f>'Data Sheet'!E56</f>
        <v>43190</v>
      </c>
      <c r="F3" s="12">
        <f>'Data Sheet'!F56</f>
        <v>43555</v>
      </c>
      <c r="G3" s="12">
        <f>'Data Sheet'!G56</f>
        <v>43921</v>
      </c>
      <c r="H3" s="12">
        <f>'Data Sheet'!H56</f>
        <v>44286</v>
      </c>
      <c r="I3" s="12">
        <f>'Data Sheet'!I56</f>
        <v>44651</v>
      </c>
      <c r="J3" s="12">
        <f>'Data Sheet'!J56</f>
        <v>45016</v>
      </c>
      <c r="K3" s="12">
        <f>'Data Sheet'!K56</f>
        <v>45382</v>
      </c>
    </row>
    <row r="4" spans="1:11" x14ac:dyDescent="0.45">
      <c r="A4" t="s">
        <v>24</v>
      </c>
      <c r="B4" s="14">
        <f>'Data Sheet'!B57</f>
        <v>207.12</v>
      </c>
      <c r="C4" s="14">
        <f>'Data Sheet'!C57</f>
        <v>240.66</v>
      </c>
      <c r="D4" s="14">
        <f>'Data Sheet'!D57</f>
        <v>239.93</v>
      </c>
      <c r="E4" s="14">
        <f>'Data Sheet'!E57</f>
        <v>239.93</v>
      </c>
      <c r="F4" s="14">
        <f>'Data Sheet'!F57</f>
        <v>239.93</v>
      </c>
      <c r="G4" s="14">
        <f>'Data Sheet'!G57</f>
        <v>239.93</v>
      </c>
      <c r="H4" s="14">
        <f>'Data Sheet'!H57</f>
        <v>239.93</v>
      </c>
      <c r="I4" s="14">
        <f>'Data Sheet'!I57</f>
        <v>239.93</v>
      </c>
      <c r="J4" s="14">
        <f>'Data Sheet'!J57</f>
        <v>239.93</v>
      </c>
      <c r="K4" s="14">
        <f>'Data Sheet'!K57</f>
        <v>239.93</v>
      </c>
    </row>
    <row r="5" spans="1:11" x14ac:dyDescent="0.45">
      <c r="A5" t="s">
        <v>25</v>
      </c>
      <c r="B5" s="14">
        <f>'Data Sheet'!B58</f>
        <v>25430.97</v>
      </c>
      <c r="C5" s="14">
        <f>'Data Sheet'!C58</f>
        <v>32741.82</v>
      </c>
      <c r="D5" s="14">
        <f>'Data Sheet'!D58</f>
        <v>36399.74</v>
      </c>
      <c r="E5" s="14">
        <f>'Data Sheet'!E58</f>
        <v>38074.18</v>
      </c>
      <c r="F5" s="14">
        <f>'Data Sheet'!F58</f>
        <v>41169.129999999997</v>
      </c>
      <c r="G5" s="14">
        <f>'Data Sheet'!G58</f>
        <v>45024.52</v>
      </c>
      <c r="H5" s="14">
        <f>'Data Sheet'!H58</f>
        <v>46222.85</v>
      </c>
      <c r="I5" s="14">
        <f>'Data Sheet'!I58</f>
        <v>47771.29</v>
      </c>
      <c r="J5" s="14">
        <f>'Data Sheet'!J58</f>
        <v>55755.45</v>
      </c>
      <c r="K5" s="14">
        <f>'Data Sheet'!K58</f>
        <v>63426.82</v>
      </c>
    </row>
    <row r="6" spans="1:11" x14ac:dyDescent="0.45">
      <c r="A6" t="s">
        <v>71</v>
      </c>
      <c r="B6" s="14">
        <f>'Data Sheet'!B59</f>
        <v>8996.11</v>
      </c>
      <c r="C6" s="14">
        <f>'Data Sheet'!C59</f>
        <v>8496.76</v>
      </c>
      <c r="D6" s="14">
        <f>'Data Sheet'!D59</f>
        <v>9831.77</v>
      </c>
      <c r="E6" s="14">
        <f>'Data Sheet'!E59</f>
        <v>10385.27</v>
      </c>
      <c r="F6" s="14">
        <f>'Data Sheet'!F59</f>
        <v>10514.36</v>
      </c>
      <c r="G6" s="14">
        <f>'Data Sheet'!G59</f>
        <v>8314.8799999999992</v>
      </c>
      <c r="H6" s="14">
        <f>'Data Sheet'!H59</f>
        <v>3868.58</v>
      </c>
      <c r="I6" s="14">
        <f>'Data Sheet'!I59</f>
        <v>1290.3</v>
      </c>
      <c r="J6" s="14">
        <f>'Data Sheet'!J59</f>
        <v>6885.87</v>
      </c>
      <c r="K6" s="14">
        <f>'Data Sheet'!K59</f>
        <v>3273.67</v>
      </c>
    </row>
    <row r="7" spans="1:11" x14ac:dyDescent="0.45">
      <c r="A7" t="s">
        <v>72</v>
      </c>
      <c r="B7" s="14">
        <f>'Data Sheet'!B60</f>
        <v>14088.99</v>
      </c>
      <c r="C7" s="14">
        <f>'Data Sheet'!C60</f>
        <v>13948.26</v>
      </c>
      <c r="D7" s="14">
        <f>'Data Sheet'!D60</f>
        <v>14624.01</v>
      </c>
      <c r="E7" s="14">
        <f>'Data Sheet'!E60</f>
        <v>15598.01</v>
      </c>
      <c r="F7" s="14">
        <f>'Data Sheet'!F60</f>
        <v>12666.11</v>
      </c>
      <c r="G7" s="14">
        <f>'Data Sheet'!G60</f>
        <v>14614.99</v>
      </c>
      <c r="H7" s="14">
        <f>'Data Sheet'!H60</f>
        <v>17290.86</v>
      </c>
      <c r="I7" s="14">
        <f>'Data Sheet'!I60</f>
        <v>20474.39</v>
      </c>
      <c r="J7" s="14">
        <f>'Data Sheet'!J60</f>
        <v>17830.650000000001</v>
      </c>
      <c r="K7" s="14">
        <f>'Data Sheet'!K60</f>
        <v>18367.400000000001</v>
      </c>
    </row>
    <row r="8" spans="1:11" s="2" customFormat="1" x14ac:dyDescent="0.45">
      <c r="A8" s="2" t="s">
        <v>26</v>
      </c>
      <c r="B8" s="15">
        <f>'Data Sheet'!B61</f>
        <v>48723.19</v>
      </c>
      <c r="C8" s="15">
        <f>'Data Sheet'!C61</f>
        <v>55427.5</v>
      </c>
      <c r="D8" s="15">
        <f>'Data Sheet'!D61</f>
        <v>61095.45</v>
      </c>
      <c r="E8" s="15">
        <f>'Data Sheet'!E61</f>
        <v>64297.39</v>
      </c>
      <c r="F8" s="15">
        <f>'Data Sheet'!F61</f>
        <v>64589.53</v>
      </c>
      <c r="G8" s="15">
        <f>'Data Sheet'!G61</f>
        <v>68194.320000000007</v>
      </c>
      <c r="H8" s="15">
        <f>'Data Sheet'!H61</f>
        <v>67622.22</v>
      </c>
      <c r="I8" s="15">
        <f>'Data Sheet'!I61</f>
        <v>69775.91</v>
      </c>
      <c r="J8" s="15">
        <f>'Data Sheet'!J61</f>
        <v>80711.899999999994</v>
      </c>
      <c r="K8" s="15">
        <f>'Data Sheet'!K61</f>
        <v>85307.82</v>
      </c>
    </row>
    <row r="9" spans="1:11" s="2" customFormat="1" x14ac:dyDescent="0.45">
      <c r="B9" s="15"/>
      <c r="C9" s="15"/>
      <c r="D9" s="15"/>
      <c r="E9" s="15"/>
      <c r="F9" s="15"/>
      <c r="G9" s="15"/>
      <c r="H9" s="15"/>
      <c r="I9" s="15"/>
      <c r="J9" s="15"/>
      <c r="K9" s="15"/>
    </row>
    <row r="10" spans="1:11" x14ac:dyDescent="0.45">
      <c r="A10" t="s">
        <v>27</v>
      </c>
      <c r="B10" s="14">
        <f>'Data Sheet'!B62</f>
        <v>12682.47</v>
      </c>
      <c r="C10" s="14">
        <f>'Data Sheet'!C62</f>
        <v>15872.25</v>
      </c>
      <c r="D10" s="14">
        <f>'Data Sheet'!D62</f>
        <v>17675.169999999998</v>
      </c>
      <c r="E10" s="14">
        <f>'Data Sheet'!E62</f>
        <v>18852.650000000001</v>
      </c>
      <c r="F10" s="14">
        <f>'Data Sheet'!F62</f>
        <v>21836.54</v>
      </c>
      <c r="G10" s="14">
        <f>'Data Sheet'!G62</f>
        <v>22846.91</v>
      </c>
      <c r="H10" s="14">
        <f>'Data Sheet'!H62</f>
        <v>21552.98</v>
      </c>
      <c r="I10" s="14">
        <f>'Data Sheet'!I62</f>
        <v>22665.16</v>
      </c>
      <c r="J10" s="14">
        <f>'Data Sheet'!J62</f>
        <v>24065.439999999999</v>
      </c>
      <c r="K10" s="14">
        <f>'Data Sheet'!K62</f>
        <v>23211.38</v>
      </c>
    </row>
    <row r="11" spans="1:11" x14ac:dyDescent="0.45">
      <c r="A11" t="s">
        <v>28</v>
      </c>
      <c r="B11" s="14">
        <f>'Data Sheet'!B63</f>
        <v>2038.61</v>
      </c>
      <c r="C11" s="14">
        <f>'Data Sheet'!C63</f>
        <v>2175.4499999999998</v>
      </c>
      <c r="D11" s="14">
        <f>'Data Sheet'!D63</f>
        <v>2801.38</v>
      </c>
      <c r="E11" s="14">
        <f>'Data Sheet'!E63</f>
        <v>2465.16</v>
      </c>
      <c r="F11" s="14">
        <f>'Data Sheet'!F63</f>
        <v>1411.15</v>
      </c>
      <c r="G11" s="14">
        <f>'Data Sheet'!G63</f>
        <v>1220.3399999999999</v>
      </c>
      <c r="H11" s="14">
        <f>'Data Sheet'!H63</f>
        <v>1566.83</v>
      </c>
      <c r="I11" s="14">
        <f>'Data Sheet'!I63</f>
        <v>1286.8</v>
      </c>
      <c r="J11" s="14">
        <f>'Data Sheet'!J63</f>
        <v>4973.16</v>
      </c>
      <c r="K11" s="14">
        <f>'Data Sheet'!K63</f>
        <v>5353.88</v>
      </c>
    </row>
    <row r="12" spans="1:11" x14ac:dyDescent="0.45">
      <c r="A12" t="s">
        <v>29</v>
      </c>
      <c r="B12" s="14">
        <f>'Data Sheet'!B64</f>
        <v>2716.3</v>
      </c>
      <c r="C12" s="14">
        <f>'Data Sheet'!C64</f>
        <v>1829.88</v>
      </c>
      <c r="D12" s="14">
        <f>'Data Sheet'!D64</f>
        <v>1191.8800000000001</v>
      </c>
      <c r="E12" s="14">
        <f>'Data Sheet'!E64</f>
        <v>7142.87</v>
      </c>
      <c r="F12" s="14">
        <f>'Data Sheet'!F64</f>
        <v>7902.53</v>
      </c>
      <c r="G12" s="14">
        <f>'Data Sheet'!G64</f>
        <v>10143.11</v>
      </c>
      <c r="H12" s="14">
        <f>'Data Sheet'!H64</f>
        <v>9612.4500000000007</v>
      </c>
      <c r="I12" s="14">
        <f>'Data Sheet'!I64</f>
        <v>12848.59</v>
      </c>
      <c r="J12" s="14">
        <f>'Data Sheet'!J64</f>
        <v>14824.34</v>
      </c>
      <c r="K12" s="14">
        <f>'Data Sheet'!K64</f>
        <v>15025.77</v>
      </c>
    </row>
    <row r="13" spans="1:11" x14ac:dyDescent="0.45">
      <c r="A13" t="s">
        <v>73</v>
      </c>
      <c r="B13" s="14">
        <f>'Data Sheet'!B65</f>
        <v>31285.81</v>
      </c>
      <c r="C13" s="14">
        <f>'Data Sheet'!C65</f>
        <v>35549.919999999998</v>
      </c>
      <c r="D13" s="14">
        <f>'Data Sheet'!D65</f>
        <v>39427.019999999997</v>
      </c>
      <c r="E13" s="14">
        <f>'Data Sheet'!E65</f>
        <v>35836.71</v>
      </c>
      <c r="F13" s="14">
        <f>'Data Sheet'!F65</f>
        <v>33439.31</v>
      </c>
      <c r="G13" s="14">
        <f>'Data Sheet'!G65</f>
        <v>33983.96</v>
      </c>
      <c r="H13" s="14">
        <f>'Data Sheet'!H65</f>
        <v>34889.96</v>
      </c>
      <c r="I13" s="14">
        <f>'Data Sheet'!I65</f>
        <v>32975.360000000001</v>
      </c>
      <c r="J13" s="14">
        <f>'Data Sheet'!J65</f>
        <v>36848.959999999999</v>
      </c>
      <c r="K13" s="14">
        <f>'Data Sheet'!K65</f>
        <v>41716.79</v>
      </c>
    </row>
    <row r="14" spans="1:11" s="2" customFormat="1" x14ac:dyDescent="0.45">
      <c r="A14" s="2" t="s">
        <v>26</v>
      </c>
      <c r="B14" s="14">
        <f>'Data Sheet'!B66</f>
        <v>48723.19</v>
      </c>
      <c r="C14" s="14">
        <f>'Data Sheet'!C66</f>
        <v>55427.5</v>
      </c>
      <c r="D14" s="14">
        <f>'Data Sheet'!D66</f>
        <v>61095.45</v>
      </c>
      <c r="E14" s="14">
        <f>'Data Sheet'!E66</f>
        <v>64297.39</v>
      </c>
      <c r="F14" s="14">
        <f>'Data Sheet'!F66</f>
        <v>64589.53</v>
      </c>
      <c r="G14" s="14">
        <f>'Data Sheet'!G66</f>
        <v>68194.320000000007</v>
      </c>
      <c r="H14" s="14">
        <f>'Data Sheet'!H66</f>
        <v>67622.22</v>
      </c>
      <c r="I14" s="14">
        <f>'Data Sheet'!I66</f>
        <v>69775.91</v>
      </c>
      <c r="J14" s="14">
        <f>'Data Sheet'!J66</f>
        <v>80711.899999999994</v>
      </c>
      <c r="K14" s="14">
        <f>'Data Sheet'!K66</f>
        <v>85307.82</v>
      </c>
    </row>
    <row r="15" spans="1:11" x14ac:dyDescent="0.45">
      <c r="B15" s="4"/>
      <c r="C15" s="4"/>
      <c r="D15" s="4"/>
      <c r="E15" s="4"/>
      <c r="F15" s="4"/>
      <c r="G15" s="4"/>
      <c r="H15" s="4"/>
      <c r="I15" s="4"/>
      <c r="J15" s="4"/>
      <c r="K15" s="4"/>
    </row>
    <row r="16" spans="1:11" x14ac:dyDescent="0.45">
      <c r="A16" t="s">
        <v>30</v>
      </c>
      <c r="B16" s="4">
        <f>B13-B7</f>
        <v>17196.82</v>
      </c>
      <c r="C16" s="4">
        <f t="shared" ref="C16:K16" si="0">C13-C7</f>
        <v>21601.659999999996</v>
      </c>
      <c r="D16" s="4">
        <f t="shared" si="0"/>
        <v>24803.009999999995</v>
      </c>
      <c r="E16" s="4">
        <f t="shared" si="0"/>
        <v>20238.699999999997</v>
      </c>
      <c r="F16" s="4">
        <f t="shared" si="0"/>
        <v>20773.199999999997</v>
      </c>
      <c r="G16" s="4">
        <f t="shared" si="0"/>
        <v>19368.97</v>
      </c>
      <c r="H16" s="4">
        <f t="shared" si="0"/>
        <v>17599.099999999999</v>
      </c>
      <c r="I16" s="4">
        <f t="shared" si="0"/>
        <v>12500.970000000001</v>
      </c>
      <c r="J16" s="4">
        <f t="shared" si="0"/>
        <v>19018.309999999998</v>
      </c>
      <c r="K16" s="4">
        <f t="shared" si="0"/>
        <v>23349.39</v>
      </c>
    </row>
    <row r="17" spans="1:11" x14ac:dyDescent="0.45">
      <c r="A17" t="s">
        <v>44</v>
      </c>
      <c r="B17" s="4">
        <f>'Data Sheet'!B67</f>
        <v>5106.13</v>
      </c>
      <c r="C17" s="4">
        <f>'Data Sheet'!C67</f>
        <v>6775.66</v>
      </c>
      <c r="D17" s="4">
        <f>'Data Sheet'!D67</f>
        <v>7202.61</v>
      </c>
      <c r="E17" s="4">
        <f>'Data Sheet'!E67</f>
        <v>7815.28</v>
      </c>
      <c r="F17" s="4">
        <f>'Data Sheet'!F67</f>
        <v>8884.2000000000007</v>
      </c>
      <c r="G17" s="4">
        <f>'Data Sheet'!G67</f>
        <v>9421.24</v>
      </c>
      <c r="H17" s="4">
        <f>'Data Sheet'!H67</f>
        <v>9061.4</v>
      </c>
      <c r="I17" s="4">
        <f>'Data Sheet'!I67</f>
        <v>10484.59</v>
      </c>
      <c r="J17" s="4">
        <f>'Data Sheet'!J67</f>
        <v>11438.51</v>
      </c>
      <c r="K17" s="4">
        <f>'Data Sheet'!K67</f>
        <v>11249.37</v>
      </c>
    </row>
    <row r="18" spans="1:11" x14ac:dyDescent="0.45">
      <c r="A18" t="s">
        <v>45</v>
      </c>
      <c r="B18" s="4">
        <f>'Data Sheet'!B68</f>
        <v>5667.99</v>
      </c>
      <c r="C18" s="4">
        <f>'Data Sheet'!C68</f>
        <v>6422.54</v>
      </c>
      <c r="D18" s="4">
        <f>'Data Sheet'!D68</f>
        <v>6832.81</v>
      </c>
      <c r="E18" s="4">
        <f>'Data Sheet'!E68</f>
        <v>6880.69</v>
      </c>
      <c r="F18" s="4">
        <f>'Data Sheet'!F68</f>
        <v>7885.98</v>
      </c>
      <c r="G18" s="4">
        <f>'Data Sheet'!G68</f>
        <v>7874.99</v>
      </c>
      <c r="H18" s="4">
        <f>'Data Sheet'!H68</f>
        <v>8997.02</v>
      </c>
      <c r="I18" s="4">
        <f>'Data Sheet'!I68</f>
        <v>8925.1299999999992</v>
      </c>
      <c r="J18" s="4">
        <f>'Data Sheet'!J68</f>
        <v>10513.05</v>
      </c>
      <c r="K18" s="4">
        <f>'Data Sheet'!K68</f>
        <v>9868.2900000000009</v>
      </c>
    </row>
    <row r="20" spans="1:11" x14ac:dyDescent="0.45">
      <c r="A20" t="s">
        <v>46</v>
      </c>
      <c r="B20" s="4">
        <f>IF('Profit &amp; Loss'!B4&gt;0,'Balance Sheet'!B17/('Profit &amp; Loss'!B4/365),0)</f>
        <v>68.039455666086567</v>
      </c>
      <c r="C20" s="4">
        <f>IF('Profit &amp; Loss'!C4&gt;0,'Balance Sheet'!C17/('Profit &amp; Loss'!C4/365),0)</f>
        <v>86.815505161471719</v>
      </c>
      <c r="D20" s="4">
        <f>IF('Profit &amp; Loss'!D4&gt;0,'Balance Sheet'!D17/('Profit &amp; Loss'!D4/365),0)</f>
        <v>83.251504824177516</v>
      </c>
      <c r="E20" s="4">
        <f>IF('Profit &amp; Loss'!E4&gt;0,'Balance Sheet'!E17/('Profit &amp; Loss'!E4/365),0)</f>
        <v>107.68725372280144</v>
      </c>
      <c r="F20" s="4">
        <f>IF('Profit &amp; Loss'!F4&gt;0,'Balance Sheet'!F17/('Profit &amp; Loss'!F4/365),0)</f>
        <v>111.5648194052758</v>
      </c>
      <c r="G20" s="4">
        <f>IF('Profit &amp; Loss'!G4&gt;0,'Balance Sheet'!G17/('Profit &amp; Loss'!G4/365),0)</f>
        <v>104.72029234868671</v>
      </c>
      <c r="H20" s="4">
        <f>IF('Profit &amp; Loss'!H4&gt;0,'Balance Sheet'!H17/('Profit &amp; Loss'!H4/365),0)</f>
        <v>98.734168523983726</v>
      </c>
      <c r="I20" s="4">
        <f>IF('Profit &amp; Loss'!I4&gt;0,'Balance Sheet'!I17/('Profit &amp; Loss'!I4/365),0)</f>
        <v>99.002091348249579</v>
      </c>
      <c r="J20" s="4">
        <f>IF('Profit &amp; Loss'!J4&gt;0,'Balance Sheet'!J17/('Profit &amp; Loss'!J4/365),0)</f>
        <v>95.134817325378123</v>
      </c>
      <c r="K20" s="4">
        <f>IF('Profit &amp; Loss'!K4&gt;0,'Balance Sheet'!K17/('Profit &amp; Loss'!K4/365),0)</f>
        <v>84.665706123181209</v>
      </c>
    </row>
    <row r="21" spans="1:11" x14ac:dyDescent="0.45">
      <c r="A21" t="s">
        <v>47</v>
      </c>
      <c r="B21" s="4">
        <f>IF('Balance Sheet'!B18&gt;0,'Profit &amp; Loss'!B4/'Balance Sheet'!B18,0)</f>
        <v>4.8327555270916145</v>
      </c>
      <c r="C21" s="4">
        <f>IF('Balance Sheet'!C18&gt;0,'Profit &amp; Loss'!C4/'Balance Sheet'!C18,0)</f>
        <v>4.4354772410915304</v>
      </c>
      <c r="D21" s="4">
        <f>IF('Balance Sheet'!D18&gt;0,'Profit &amp; Loss'!D4/'Balance Sheet'!D18,0)</f>
        <v>4.6215890680408203</v>
      </c>
      <c r="E21" s="4">
        <f>IF('Balance Sheet'!E18&gt;0,'Profit &amp; Loss'!E4/'Balance Sheet'!E18,0)</f>
        <v>3.8498261075560736</v>
      </c>
      <c r="F21" s="4">
        <f>IF('Balance Sheet'!F18&gt;0,'Profit &amp; Loss'!F4/'Balance Sheet'!F18,0)</f>
        <v>3.6857701896276684</v>
      </c>
      <c r="G21" s="4">
        <f>IF('Balance Sheet'!G18&gt;0,'Profit &amp; Loss'!G4/'Balance Sheet'!G18,0)</f>
        <v>4.1698465648845273</v>
      </c>
      <c r="H21" s="4">
        <f>IF('Balance Sheet'!H18&gt;0,'Profit &amp; Loss'!H4/'Balance Sheet'!H18,0)</f>
        <v>3.723248364458454</v>
      </c>
      <c r="I21" s="4">
        <f>IF('Balance Sheet'!I18&gt;0,'Profit &amp; Loss'!I4/'Balance Sheet'!I18,0)</f>
        <v>4.3309722099285954</v>
      </c>
      <c r="J21" s="4">
        <f>IF('Balance Sheet'!J18&gt;0,'Profit &amp; Loss'!J4/'Balance Sheet'!J18,0)</f>
        <v>4.1744003880890892</v>
      </c>
      <c r="K21" s="4">
        <f>IF('Balance Sheet'!K18&gt;0,'Profit &amp; Loss'!K4/'Balance Sheet'!K18,0)</f>
        <v>4.9144127300677214</v>
      </c>
    </row>
    <row r="23" spans="1:11" s="2" customFormat="1" x14ac:dyDescent="0.45">
      <c r="A23" s="2" t="s">
        <v>59</v>
      </c>
      <c r="B23" s="10">
        <f>IF(SUM('Balance Sheet'!B4:B5)&gt;0,'Profit &amp; Loss'!B12/SUM('Balance Sheet'!B4:B5),"")</f>
        <v>0.17705609115187598</v>
      </c>
      <c r="C23" s="10">
        <f>IF(SUM('Balance Sheet'!C4:C5)&gt;0,'Profit &amp; Loss'!C12/SUM('Balance Sheet'!C4:C5),"")</f>
        <v>0.13782195880964682</v>
      </c>
      <c r="D23" s="10">
        <f>IF(SUM('Balance Sheet'!D4:D5)&gt;0,'Profit &amp; Loss'!D12/SUM('Balance Sheet'!D4:D5),"")</f>
        <v>0.19007731237754052</v>
      </c>
      <c r="E23" s="10">
        <f>IF(SUM('Balance Sheet'!E4:E5)&gt;0,'Profit &amp; Loss'!E12/SUM('Balance Sheet'!E4:E5),"")</f>
        <v>5.4697864572607842E-2</v>
      </c>
      <c r="F23" s="10">
        <f>IF(SUM('Balance Sheet'!F4:F5)&gt;0,'Profit &amp; Loss'!F12/SUM('Balance Sheet'!F4:F5),"")</f>
        <v>6.4368039264837223E-2</v>
      </c>
      <c r="G23" s="10">
        <f>IF(SUM('Balance Sheet'!G4:G5)&gt;0,'Profit &amp; Loss'!G12/SUM('Balance Sheet'!G4:G5),"")</f>
        <v>8.3176311652963866E-2</v>
      </c>
      <c r="H23" s="10">
        <f>IF(SUM('Balance Sheet'!H4:H5)&gt;0,'Profit &amp; Loss'!H12/SUM('Balance Sheet'!H4:H5),"")</f>
        <v>6.2497767029867785E-2</v>
      </c>
      <c r="I23" s="10">
        <f>IF(SUM('Balance Sheet'!I4:I5)&gt;0,'Profit &amp; Loss'!I12/SUM('Balance Sheet'!I4:I5),"")</f>
        <v>6.8165941211241865E-2</v>
      </c>
      <c r="J23" s="10">
        <f>IF(SUM('Balance Sheet'!J4:J5)&gt;0,'Profit &amp; Loss'!J12/SUM('Balance Sheet'!J4:J5),"")</f>
        <v>0.15132641300050112</v>
      </c>
      <c r="K23" s="10">
        <f>IF(SUM('Balance Sheet'!K4:K5)&gt;0,'Profit &amp; Loss'!K12/SUM('Balance Sheet'!K4:K5),"")</f>
        <v>0.15041414867258027</v>
      </c>
    </row>
    <row r="24" spans="1:11" s="2" customFormat="1" x14ac:dyDescent="0.45">
      <c r="A24" s="2" t="s">
        <v>60</v>
      </c>
      <c r="B24" s="10"/>
      <c r="C24" s="10">
        <f>IF((B4+B5+B6+C4+C5+C6)&gt;0,('Profit &amp; Loss'!C10+'Profit &amp; Loss'!C9)*2/(B4+B5+B6+C4+C5+C6),"")</f>
        <v>0.18640255912753387</v>
      </c>
      <c r="D24" s="10">
        <f>IF((C4+C5+C6+D4+D5+D6)&gt;0,('Profit &amp; Loss'!D10+'Profit &amp; Loss'!D9)*2/(C4+C5+C6+D4+D5+D6),"")</f>
        <v>0.21484018088319498</v>
      </c>
      <c r="E24" s="10">
        <f>IF((D4+D5+D6+E4+E5+E6)&gt;0,('Profit &amp; Loss'!E10+'Profit &amp; Loss'!E9)*2/(D4+D5+D6+E4+E5+E6),"")</f>
        <v>8.3986877490390438E-2</v>
      </c>
      <c r="F24" s="10">
        <f>IF((E4+E5+E6+F4+F5+F6)&gt;0,('Profit &amp; Loss'!F10+'Profit &amp; Loss'!F9)*2/(E4+E5+E6+F4+F5+F6),"")</f>
        <v>8.6768605127267376E-2</v>
      </c>
      <c r="G24" s="10">
        <f>IF((F4+F5+F6+G4+G5+G6)&gt;0,('Profit &amp; Loss'!G10+'Profit &amp; Loss'!G9)*2/(F4+F5+F6+G4+G5+G6),"")</f>
        <v>0.10070486314337777</v>
      </c>
      <c r="H24" s="10">
        <f>IF((G4+G5+G6+H4+H5+H6)&gt;0,('Profit &amp; Loss'!H10+'Profit &amp; Loss'!H9)*2/(G4+G5+G6+H4+H5+H6),"")</f>
        <v>5.6602453510798553E-2</v>
      </c>
      <c r="I24" s="10">
        <f>IF((H4+H5+H6+I4+I5+I6)&gt;0,('Profit &amp; Loss'!I10+'Profit &amp; Loss'!I9)*2/(H4+H5+H6+I4+I5+I6),"")</f>
        <v>9.2513033849869641E-2</v>
      </c>
      <c r="J24" s="10">
        <f>IF((I4+I5+I6+J4+J5+J6)&gt;0,('Profit &amp; Loss'!J10+'Profit &amp; Loss'!J9)*2/(I4+I5+I6+J4+J5+J6),"")</f>
        <v>0.17080038226904187</v>
      </c>
      <c r="K24" s="10">
        <f>IF((J4+J5+J6+K4+K5+K6)&gt;0,('Profit &amp; Loss'!K10+'Profit &amp; Loss'!K9)*2/(J4+J5+J6+K4+K5+K6),"")</f>
        <v>0.1744910537662934</v>
      </c>
    </row>
  </sheetData>
  <hyperlinks>
    <hyperlink ref="J1" r:id="rId1" xr:uid="{00000000-0004-0000-0200-000000000000}"/>
  </hyperlinks>
  <printOptions gridLines="1"/>
  <pageMargins left="0.7" right="0.7" top="0.75" bottom="0.75" header="0.3" footer="0.3"/>
  <pageSetup paperSize="9" orientation="landscape" horizontalDpi="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K24"/>
  <sheetViews>
    <sheetView zoomScale="101" zoomScaleNormal="150" zoomScalePageLayoutView="150" workbookViewId="0">
      <pane xSplit="1" ySplit="3" topLeftCell="D4" activePane="bottomRight" state="frozen"/>
      <selection pane="topRight" activeCell="B1" sqref="B1"/>
      <selection pane="bottomLeft" activeCell="A4" sqref="A4"/>
      <selection pane="bottomRight" activeCell="K5" sqref="K5"/>
    </sheetView>
  </sheetViews>
  <sheetFormatPr defaultColWidth="8.796875" defaultRowHeight="14.25" x14ac:dyDescent="0.45"/>
  <cols>
    <col min="1" max="1" width="26.796875" bestFit="1" customWidth="1"/>
    <col min="2" max="6" width="13.46484375" customWidth="1"/>
    <col min="7" max="11" width="13.46484375" bestFit="1" customWidth="1"/>
  </cols>
  <sheetData>
    <row r="1" spans="1:11" s="2" customFormat="1" x14ac:dyDescent="0.45">
      <c r="A1" s="2" t="str">
        <f>'Balance Sheet'!A1</f>
        <v>SUN PHARMACEUTICALS INDUSTRIES LTD</v>
      </c>
      <c r="E1" t="str">
        <f>UPDATE</f>
        <v/>
      </c>
      <c r="F1"/>
      <c r="J1" s="2" t="s">
        <v>1</v>
      </c>
    </row>
    <row r="3" spans="1:11" s="2" customFormat="1" x14ac:dyDescent="0.45">
      <c r="A3" s="11" t="s">
        <v>2</v>
      </c>
      <c r="B3" s="12">
        <f>'Data Sheet'!B81</f>
        <v>42094</v>
      </c>
      <c r="C3" s="12">
        <f>'Data Sheet'!C81</f>
        <v>42460</v>
      </c>
      <c r="D3" s="12">
        <f>'Data Sheet'!D81</f>
        <v>42825</v>
      </c>
      <c r="E3" s="12">
        <f>'Data Sheet'!E81</f>
        <v>43190</v>
      </c>
      <c r="F3" s="12">
        <f>'Data Sheet'!F81</f>
        <v>43555</v>
      </c>
      <c r="G3" s="12">
        <f>'Data Sheet'!G81</f>
        <v>43921</v>
      </c>
      <c r="H3" s="12">
        <f>'Data Sheet'!H81</f>
        <v>44286</v>
      </c>
      <c r="I3" s="12">
        <f>'Data Sheet'!I81</f>
        <v>44651</v>
      </c>
      <c r="J3" s="12">
        <f>'Data Sheet'!J81</f>
        <v>45016</v>
      </c>
      <c r="K3" s="12">
        <f>'Data Sheet'!K81</f>
        <v>45382</v>
      </c>
    </row>
    <row r="4" spans="1:11" s="2" customFormat="1" x14ac:dyDescent="0.45">
      <c r="A4" s="2" t="s">
        <v>32</v>
      </c>
      <c r="B4" s="1">
        <f>'Data Sheet'!B82</f>
        <v>5615.74</v>
      </c>
      <c r="C4" s="1">
        <f>'Data Sheet'!C82</f>
        <v>6685.86</v>
      </c>
      <c r="D4" s="1">
        <f>'Data Sheet'!D82</f>
        <v>7082.21</v>
      </c>
      <c r="E4" s="1">
        <f>'Data Sheet'!E82</f>
        <v>3907.15</v>
      </c>
      <c r="F4" s="1">
        <f>'Data Sheet'!F82</f>
        <v>2196.4499999999998</v>
      </c>
      <c r="G4" s="1">
        <f>'Data Sheet'!G82</f>
        <v>6554.77</v>
      </c>
      <c r="H4" s="1">
        <f>'Data Sheet'!H82</f>
        <v>6170.37</v>
      </c>
      <c r="I4" s="1">
        <f>'Data Sheet'!I82</f>
        <v>8984.5400000000009</v>
      </c>
      <c r="J4" s="1">
        <f>'Data Sheet'!J82</f>
        <v>4959.33</v>
      </c>
      <c r="K4" s="1">
        <f>'Data Sheet'!K82</f>
        <v>12134.98</v>
      </c>
    </row>
    <row r="5" spans="1:11" x14ac:dyDescent="0.45">
      <c r="A5" t="s">
        <v>33</v>
      </c>
      <c r="B5" s="6">
        <f>'Data Sheet'!B83</f>
        <v>-1502.35</v>
      </c>
      <c r="C5" s="6">
        <f>'Data Sheet'!C83</f>
        <v>-3949.13</v>
      </c>
      <c r="D5" s="6">
        <f>'Data Sheet'!D83</f>
        <v>-4186.1499999999996</v>
      </c>
      <c r="E5" s="6">
        <f>'Data Sheet'!E83</f>
        <v>-3103.8</v>
      </c>
      <c r="F5" s="6">
        <f>'Data Sheet'!F83</f>
        <v>-310.08</v>
      </c>
      <c r="G5" s="6">
        <f>'Data Sheet'!G83</f>
        <v>-2225.3200000000002</v>
      </c>
      <c r="H5" s="6">
        <f>'Data Sheet'!H83</f>
        <v>406.53</v>
      </c>
      <c r="I5" s="6">
        <f>'Data Sheet'!I83</f>
        <v>-5555.86</v>
      </c>
      <c r="J5" s="6">
        <f>'Data Sheet'!J83</f>
        <v>-7219.92</v>
      </c>
      <c r="K5" s="6">
        <f>'Data Sheet'!K83</f>
        <v>-762.9</v>
      </c>
    </row>
    <row r="6" spans="1:11" x14ac:dyDescent="0.45">
      <c r="A6" t="s">
        <v>34</v>
      </c>
      <c r="B6" s="6">
        <f>'Data Sheet'!B84</f>
        <v>-1186.53</v>
      </c>
      <c r="C6" s="6">
        <f>'Data Sheet'!C84</f>
        <v>-1888.53</v>
      </c>
      <c r="D6" s="6">
        <f>'Data Sheet'!D84</f>
        <v>-2285.39</v>
      </c>
      <c r="E6" s="6">
        <f>'Data Sheet'!E84</f>
        <v>-1539.26</v>
      </c>
      <c r="F6" s="6">
        <f>'Data Sheet'!F84</f>
        <v>-2730.52</v>
      </c>
      <c r="G6" s="6">
        <f>'Data Sheet'!G84</f>
        <v>-5715.14</v>
      </c>
      <c r="H6" s="6">
        <f>'Data Sheet'!H84</f>
        <v>-5980.48</v>
      </c>
      <c r="I6" s="6">
        <f>'Data Sheet'!I84</f>
        <v>-5193.46</v>
      </c>
      <c r="J6" s="6">
        <f>'Data Sheet'!J84</f>
        <v>2376.0700000000002</v>
      </c>
      <c r="K6" s="6">
        <f>'Data Sheet'!K84</f>
        <v>-6710.16</v>
      </c>
    </row>
    <row r="7" spans="1:11" s="2" customFormat="1" x14ac:dyDescent="0.45">
      <c r="A7" s="2" t="s">
        <v>35</v>
      </c>
      <c r="B7" s="1">
        <f>'Data Sheet'!B85</f>
        <v>2926.86</v>
      </c>
      <c r="C7" s="1">
        <f>'Data Sheet'!C85</f>
        <v>848.2</v>
      </c>
      <c r="D7" s="1">
        <f>'Data Sheet'!D85</f>
        <v>610.66999999999996</v>
      </c>
      <c r="E7" s="1">
        <f>'Data Sheet'!E85</f>
        <v>-735.91</v>
      </c>
      <c r="F7" s="1">
        <f>'Data Sheet'!F85</f>
        <v>-844.15</v>
      </c>
      <c r="G7" s="1">
        <f>'Data Sheet'!G85</f>
        <v>-1385.69</v>
      </c>
      <c r="H7" s="1">
        <f>'Data Sheet'!H85</f>
        <v>596.41999999999996</v>
      </c>
      <c r="I7" s="1">
        <f>'Data Sheet'!I85</f>
        <v>-1764.78</v>
      </c>
      <c r="J7" s="1">
        <f>'Data Sheet'!J85</f>
        <v>115.48</v>
      </c>
      <c r="K7" s="1">
        <f>'Data Sheet'!K85</f>
        <v>4661.92</v>
      </c>
    </row>
    <row r="8" spans="1:11" x14ac:dyDescent="0.45">
      <c r="B8" s="6"/>
      <c r="C8" s="6"/>
      <c r="D8" s="6"/>
      <c r="E8" s="6"/>
      <c r="F8" s="6"/>
      <c r="G8" s="6"/>
      <c r="H8" s="6"/>
      <c r="I8" s="6"/>
      <c r="J8" s="6"/>
      <c r="K8" s="6"/>
    </row>
    <row r="24" customFormat="1" x14ac:dyDescent="0.45"/>
  </sheetData>
  <hyperlinks>
    <hyperlink ref="J1" r:id="rId1" xr:uid="{00000000-0004-0000-0300-000000000000}"/>
  </hyperlinks>
  <printOptions gridLines="1"/>
  <pageMargins left="0.7" right="0.7" top="0.75" bottom="0.75" header="0.3" footer="0.3"/>
  <pageSetup paperSize="9" orientation="landscape"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16"/>
  <sheetViews>
    <sheetView zoomScale="81" zoomScaleNormal="150" zoomScalePageLayoutView="150" workbookViewId="0">
      <selection activeCell="B16" sqref="B16"/>
    </sheetView>
  </sheetViews>
  <sheetFormatPr defaultColWidth="8.796875" defaultRowHeight="14.25" x14ac:dyDescent="0.45"/>
  <cols>
    <col min="1" max="1" width="8.796875" style="2"/>
    <col min="2" max="2" width="10.46484375" customWidth="1"/>
    <col min="3" max="3" width="13.33203125" style="20" customWidth="1"/>
    <col min="6" max="6" width="6.796875" customWidth="1"/>
  </cols>
  <sheetData>
    <row r="1" spans="1:7" ht="21" x14ac:dyDescent="0.65">
      <c r="A1" s="19" t="s">
        <v>56</v>
      </c>
    </row>
    <row r="3" spans="1:7" x14ac:dyDescent="0.45">
      <c r="A3" s="2" t="s">
        <v>48</v>
      </c>
    </row>
    <row r="4" spans="1:7" x14ac:dyDescent="0.45">
      <c r="B4" t="s">
        <v>90</v>
      </c>
    </row>
    <row r="5" spans="1:7" x14ac:dyDescent="0.45">
      <c r="B5" t="s">
        <v>49</v>
      </c>
    </row>
    <row r="7" spans="1:7" x14ac:dyDescent="0.45">
      <c r="A7" s="2" t="s">
        <v>50</v>
      </c>
    </row>
    <row r="8" spans="1:7" x14ac:dyDescent="0.45">
      <c r="B8" t="s">
        <v>51</v>
      </c>
      <c r="C8" s="21" t="s">
        <v>91</v>
      </c>
    </row>
    <row r="10" spans="1:7" x14ac:dyDescent="0.45">
      <c r="A10" s="2" t="s">
        <v>52</v>
      </c>
    </row>
    <row r="11" spans="1:7" x14ac:dyDescent="0.45">
      <c r="B11" t="s">
        <v>53</v>
      </c>
    </row>
    <row r="14" spans="1:7" x14ac:dyDescent="0.45">
      <c r="A14" s="2" t="s">
        <v>54</v>
      </c>
    </row>
    <row r="15" spans="1:7" x14ac:dyDescent="0.45">
      <c r="B15" t="s">
        <v>55</v>
      </c>
    </row>
    <row r="16" spans="1:7" x14ac:dyDescent="0.45">
      <c r="B16" t="s">
        <v>92</v>
      </c>
      <c r="G16" s="22"/>
    </row>
  </sheetData>
  <hyperlinks>
    <hyperlink ref="C8" r:id="rId1" display=" http://www.screener.in/excel"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93"/>
  <sheetViews>
    <sheetView zoomScale="101" zoomScaleNormal="120" zoomScalePageLayoutView="120" workbookViewId="0">
      <pane xSplit="1" ySplit="1" topLeftCell="B2" activePane="bottomRight" state="frozen"/>
      <selection activeCell="C4" sqref="C4"/>
      <selection pane="topRight" activeCell="C4" sqref="C4"/>
      <selection pane="bottomLeft" activeCell="C4" sqref="C4"/>
      <selection pane="bottomRight" activeCell="E16" sqref="E16:K16"/>
    </sheetView>
  </sheetViews>
  <sheetFormatPr defaultColWidth="8.796875" defaultRowHeight="14.25" x14ac:dyDescent="0.45"/>
  <cols>
    <col min="1" max="1" width="27.6640625" style="4" bestFit="1" customWidth="1"/>
    <col min="2" max="11" width="13.46484375" style="4" bestFit="1" customWidth="1"/>
    <col min="12" max="12" width="8.796875" style="4"/>
    <col min="13" max="13" width="9.59765625" style="4" bestFit="1" customWidth="1"/>
    <col min="14" max="16384" width="8.796875" style="4"/>
  </cols>
  <sheetData>
    <row r="1" spans="1:11" s="1" customFormat="1" x14ac:dyDescent="0.45">
      <c r="A1" s="1" t="s">
        <v>0</v>
      </c>
      <c r="B1" s="1" t="s">
        <v>63</v>
      </c>
      <c r="E1" s="54" t="str">
        <f>IF(B2&lt;&gt;B3, "A NEW VERSION OF THE WORKSHEET IS AVAILABLE", "")</f>
        <v/>
      </c>
      <c r="F1" s="54"/>
      <c r="G1" s="54"/>
      <c r="H1" s="54"/>
      <c r="I1" s="54"/>
      <c r="J1" s="54"/>
      <c r="K1" s="54"/>
    </row>
    <row r="2" spans="1:11" x14ac:dyDescent="0.45">
      <c r="A2" s="1" t="s">
        <v>61</v>
      </c>
      <c r="B2" s="4">
        <v>2.1</v>
      </c>
      <c r="E2" s="55" t="s">
        <v>36</v>
      </c>
      <c r="F2" s="55"/>
      <c r="G2" s="55"/>
      <c r="H2" s="55"/>
      <c r="I2" s="55"/>
      <c r="J2" s="55"/>
      <c r="K2" s="55"/>
    </row>
    <row r="3" spans="1:11" x14ac:dyDescent="0.45">
      <c r="A3" s="1" t="s">
        <v>62</v>
      </c>
      <c r="B3" s="4">
        <v>2.1</v>
      </c>
    </row>
    <row r="4" spans="1:11" x14ac:dyDescent="0.45">
      <c r="A4" s="1"/>
    </row>
    <row r="5" spans="1:11" x14ac:dyDescent="0.45">
      <c r="A5" s="1" t="s">
        <v>64</v>
      </c>
    </row>
    <row r="6" spans="1:11" x14ac:dyDescent="0.45">
      <c r="A6" s="4" t="s">
        <v>42</v>
      </c>
      <c r="B6" s="4">
        <f>IF(B9&gt;0, B9/B8, 0)</f>
        <v>239.93349695598124</v>
      </c>
    </row>
    <row r="7" spans="1:11" x14ac:dyDescent="0.45">
      <c r="A7" s="4" t="s">
        <v>31</v>
      </c>
      <c r="B7">
        <v>1</v>
      </c>
    </row>
    <row r="8" spans="1:11" x14ac:dyDescent="0.45">
      <c r="A8" s="4" t="s">
        <v>43</v>
      </c>
      <c r="B8">
        <v>1568.65</v>
      </c>
    </row>
    <row r="9" spans="1:11" x14ac:dyDescent="0.45">
      <c r="A9" s="4" t="s">
        <v>79</v>
      </c>
      <c r="B9">
        <v>376371.68</v>
      </c>
    </row>
    <row r="15" spans="1:11" x14ac:dyDescent="0.45">
      <c r="A15" s="1" t="s">
        <v>37</v>
      </c>
    </row>
    <row r="16" spans="1:11" s="18" customFormat="1" x14ac:dyDescent="0.45">
      <c r="A16" s="17" t="s">
        <v>38</v>
      </c>
      <c r="B16" s="12">
        <v>42094</v>
      </c>
      <c r="C16" s="12">
        <v>42460</v>
      </c>
      <c r="D16" s="12">
        <v>42825</v>
      </c>
      <c r="E16" s="12">
        <v>43190</v>
      </c>
      <c r="F16" s="12">
        <v>43555</v>
      </c>
      <c r="G16" s="12">
        <v>43921</v>
      </c>
      <c r="H16" s="12">
        <v>44286</v>
      </c>
      <c r="I16" s="12">
        <v>44651</v>
      </c>
      <c r="J16" s="12">
        <v>45016</v>
      </c>
      <c r="K16" s="12">
        <v>45382</v>
      </c>
    </row>
    <row r="17" spans="1:11" s="6" customFormat="1" x14ac:dyDescent="0.45">
      <c r="A17" s="6" t="s">
        <v>6</v>
      </c>
      <c r="B17">
        <v>27392.01</v>
      </c>
      <c r="C17">
        <v>28487.03</v>
      </c>
      <c r="D17">
        <v>31578.44</v>
      </c>
      <c r="E17">
        <v>26489.46</v>
      </c>
      <c r="F17">
        <v>29065.91</v>
      </c>
      <c r="G17">
        <v>32837.5</v>
      </c>
      <c r="H17">
        <v>33498.14</v>
      </c>
      <c r="I17">
        <v>38654.49</v>
      </c>
      <c r="J17">
        <v>43885.68</v>
      </c>
      <c r="K17">
        <v>48496.85</v>
      </c>
    </row>
    <row r="18" spans="1:11" s="6" customFormat="1" x14ac:dyDescent="0.45">
      <c r="A18" s="4" t="s">
        <v>80</v>
      </c>
      <c r="B18">
        <v>6624.68</v>
      </c>
      <c r="C18">
        <v>6724.15</v>
      </c>
      <c r="D18">
        <v>8402.3700000000008</v>
      </c>
      <c r="E18">
        <v>7193.98</v>
      </c>
      <c r="F18">
        <v>8302.08</v>
      </c>
      <c r="G18">
        <v>8929.6</v>
      </c>
      <c r="H18">
        <v>9328.2999999999993</v>
      </c>
      <c r="I18">
        <v>10459.15</v>
      </c>
      <c r="J18">
        <v>11349.07</v>
      </c>
      <c r="K18">
        <v>10370.48</v>
      </c>
    </row>
    <row r="19" spans="1:11" s="6" customFormat="1" x14ac:dyDescent="0.45">
      <c r="A19" s="4" t="s">
        <v>81</v>
      </c>
      <c r="B19">
        <v>-114.49</v>
      </c>
      <c r="C19">
        <v>393.77</v>
      </c>
      <c r="D19">
        <v>271.63</v>
      </c>
      <c r="E19">
        <v>-230.7</v>
      </c>
      <c r="F19">
        <v>433.11</v>
      </c>
      <c r="G19">
        <v>-300.85000000000002</v>
      </c>
      <c r="H19">
        <v>638.22</v>
      </c>
      <c r="I19">
        <v>107.61</v>
      </c>
      <c r="J19">
        <v>686.91</v>
      </c>
      <c r="K19">
        <v>-292.13</v>
      </c>
    </row>
    <row r="20" spans="1:11" s="6" customFormat="1" x14ac:dyDescent="0.45">
      <c r="A20" s="4" t="s">
        <v>82</v>
      </c>
      <c r="B20">
        <v>560.77</v>
      </c>
      <c r="C20">
        <v>545.44000000000005</v>
      </c>
      <c r="D20">
        <v>525.09</v>
      </c>
      <c r="E20">
        <v>559.97</v>
      </c>
      <c r="F20">
        <v>613.6</v>
      </c>
      <c r="G20">
        <v>621.89</v>
      </c>
      <c r="H20">
        <v>627.09</v>
      </c>
      <c r="I20">
        <v>702.78</v>
      </c>
      <c r="J20">
        <v>830.05</v>
      </c>
      <c r="K20">
        <v>760.78</v>
      </c>
    </row>
    <row r="21" spans="1:11" s="6" customFormat="1" x14ac:dyDescent="0.45">
      <c r="A21" s="4" t="s">
        <v>83</v>
      </c>
      <c r="B21">
        <v>1427.56</v>
      </c>
      <c r="C21">
        <v>1808.55</v>
      </c>
      <c r="D21">
        <v>1973.46</v>
      </c>
      <c r="E21">
        <v>1828.35</v>
      </c>
      <c r="F21">
        <v>1884.71</v>
      </c>
      <c r="G21">
        <v>1690</v>
      </c>
      <c r="H21">
        <v>1723.78</v>
      </c>
      <c r="I21">
        <v>1880.71</v>
      </c>
      <c r="J21">
        <v>1936.77</v>
      </c>
      <c r="K21">
        <v>2186.62</v>
      </c>
    </row>
    <row r="22" spans="1:11" s="6" customFormat="1" x14ac:dyDescent="0.45">
      <c r="A22" s="4" t="s">
        <v>84</v>
      </c>
      <c r="B22">
        <v>4502.6400000000003</v>
      </c>
      <c r="C22">
        <v>4772.3100000000004</v>
      </c>
      <c r="D22">
        <v>4902.3</v>
      </c>
      <c r="E22">
        <v>5367.05</v>
      </c>
      <c r="F22">
        <v>5967.09</v>
      </c>
      <c r="G22">
        <v>6362.35</v>
      </c>
      <c r="H22">
        <v>6862.23</v>
      </c>
      <c r="I22">
        <v>7300.83</v>
      </c>
      <c r="J22">
        <v>8296.0300000000007</v>
      </c>
      <c r="K22">
        <v>9429.06</v>
      </c>
    </row>
    <row r="23" spans="1:11" s="6" customFormat="1" x14ac:dyDescent="0.45">
      <c r="A23" s="4" t="s">
        <v>85</v>
      </c>
      <c r="B23">
        <v>5131.37</v>
      </c>
      <c r="C23">
        <v>5219.2</v>
      </c>
      <c r="D23">
        <v>5224.6099999999997</v>
      </c>
      <c r="E23">
        <v>4727</v>
      </c>
      <c r="F23">
        <v>5350.33</v>
      </c>
      <c r="G23">
        <v>6995.37</v>
      </c>
      <c r="H23">
        <v>6283.41</v>
      </c>
      <c r="I23">
        <v>7366.88</v>
      </c>
      <c r="J23">
        <v>9482.36</v>
      </c>
      <c r="K23">
        <v>11033.19</v>
      </c>
    </row>
    <row r="24" spans="1:11" s="6" customFormat="1" x14ac:dyDescent="0.45">
      <c r="A24" s="4" t="s">
        <v>86</v>
      </c>
      <c r="B24">
        <v>1136.68</v>
      </c>
      <c r="C24">
        <v>1637.25</v>
      </c>
      <c r="D24">
        <v>720.22</v>
      </c>
      <c r="E24">
        <v>950.99</v>
      </c>
      <c r="F24">
        <v>1004.23</v>
      </c>
      <c r="G24">
        <v>954.6</v>
      </c>
      <c r="H24">
        <v>841.59</v>
      </c>
      <c r="I24">
        <v>794.18</v>
      </c>
      <c r="J24">
        <v>1027.8699999999999</v>
      </c>
      <c r="K24">
        <v>1406.82</v>
      </c>
    </row>
    <row r="25" spans="1:11" s="6" customFormat="1" x14ac:dyDescent="0.45">
      <c r="A25" s="6" t="s">
        <v>9</v>
      </c>
      <c r="B25">
        <v>282.79000000000002</v>
      </c>
      <c r="C25">
        <v>-42.5</v>
      </c>
      <c r="D25">
        <v>610.4</v>
      </c>
      <c r="E25">
        <v>-135.03</v>
      </c>
      <c r="F25">
        <v>-258.27999999999997</v>
      </c>
      <c r="G25">
        <v>382.26</v>
      </c>
      <c r="H25">
        <v>-3449.21</v>
      </c>
      <c r="I25">
        <v>-3505.16</v>
      </c>
      <c r="J25">
        <v>459.42</v>
      </c>
      <c r="K25">
        <v>865.23</v>
      </c>
    </row>
    <row r="26" spans="1:11" s="6" customFormat="1" x14ac:dyDescent="0.45">
      <c r="A26" s="6" t="s">
        <v>10</v>
      </c>
      <c r="B26">
        <v>1194.72</v>
      </c>
      <c r="C26">
        <v>1037.53</v>
      </c>
      <c r="D26">
        <v>1264.75</v>
      </c>
      <c r="E26">
        <v>1499.84</v>
      </c>
      <c r="F26">
        <v>1753.25</v>
      </c>
      <c r="G26">
        <v>2052.7800000000002</v>
      </c>
      <c r="H26">
        <v>2079.9499999999998</v>
      </c>
      <c r="I26">
        <v>2143.7399999999998</v>
      </c>
      <c r="J26">
        <v>2529.4299999999998</v>
      </c>
      <c r="K26">
        <v>2556.64</v>
      </c>
    </row>
    <row r="27" spans="1:11" s="6" customFormat="1" x14ac:dyDescent="0.45">
      <c r="A27" s="6" t="s">
        <v>11</v>
      </c>
      <c r="B27">
        <v>578.99</v>
      </c>
      <c r="C27">
        <v>523.24</v>
      </c>
      <c r="D27">
        <v>399.8</v>
      </c>
      <c r="E27">
        <v>517.57000000000005</v>
      </c>
      <c r="F27">
        <v>555.25</v>
      </c>
      <c r="G27">
        <v>302.73</v>
      </c>
      <c r="H27">
        <v>141.43</v>
      </c>
      <c r="I27">
        <v>127.35</v>
      </c>
      <c r="J27">
        <v>172</v>
      </c>
      <c r="K27">
        <v>238.47</v>
      </c>
    </row>
    <row r="28" spans="1:11" s="6" customFormat="1" x14ac:dyDescent="0.45">
      <c r="A28" s="6" t="s">
        <v>12</v>
      </c>
      <c r="B28">
        <v>6402.9</v>
      </c>
      <c r="C28">
        <v>6570.63</v>
      </c>
      <c r="D28">
        <v>9047.8700000000008</v>
      </c>
      <c r="E28">
        <v>3478.98</v>
      </c>
      <c r="F28">
        <v>3810.2</v>
      </c>
      <c r="G28">
        <v>5009.59</v>
      </c>
      <c r="H28">
        <v>2799.37</v>
      </c>
      <c r="I28">
        <v>4481.32</v>
      </c>
      <c r="J28">
        <v>9408.43</v>
      </c>
      <c r="K28">
        <v>11087.89</v>
      </c>
    </row>
    <row r="29" spans="1:11" s="6" customFormat="1" x14ac:dyDescent="0.45">
      <c r="A29" s="6" t="s">
        <v>13</v>
      </c>
      <c r="B29">
        <v>914.69</v>
      </c>
      <c r="C29">
        <v>913.77</v>
      </c>
      <c r="D29">
        <v>1211.57</v>
      </c>
      <c r="E29">
        <v>911.04</v>
      </c>
      <c r="F29">
        <v>600.88</v>
      </c>
      <c r="G29">
        <v>822.8</v>
      </c>
      <c r="H29">
        <v>514.69000000000005</v>
      </c>
      <c r="I29">
        <v>1075.5</v>
      </c>
      <c r="J29">
        <v>847.59</v>
      </c>
      <c r="K29">
        <v>1439.45</v>
      </c>
    </row>
    <row r="30" spans="1:11" s="6" customFormat="1" x14ac:dyDescent="0.45">
      <c r="A30" s="6" t="s">
        <v>14</v>
      </c>
      <c r="B30">
        <v>4539.38</v>
      </c>
      <c r="C30">
        <v>4545.71</v>
      </c>
      <c r="D30">
        <v>6964.37</v>
      </c>
      <c r="E30">
        <v>2095.6999999999998</v>
      </c>
      <c r="F30">
        <v>2665.42</v>
      </c>
      <c r="G30">
        <v>3764.93</v>
      </c>
      <c r="H30">
        <v>2903.82</v>
      </c>
      <c r="I30">
        <v>3272.73</v>
      </c>
      <c r="J30">
        <v>8473.58</v>
      </c>
      <c r="K30">
        <v>9576.3799999999992</v>
      </c>
    </row>
    <row r="31" spans="1:11" s="6" customFormat="1" x14ac:dyDescent="0.45">
      <c r="A31" s="6" t="s">
        <v>70</v>
      </c>
      <c r="B31">
        <v>621.36</v>
      </c>
      <c r="C31">
        <v>240.66</v>
      </c>
      <c r="D31">
        <v>839.76</v>
      </c>
      <c r="E31">
        <v>479.86</v>
      </c>
      <c r="F31">
        <v>659.81</v>
      </c>
      <c r="G31">
        <v>959.72</v>
      </c>
      <c r="H31">
        <v>1799.48</v>
      </c>
      <c r="I31">
        <v>2399.3000000000002</v>
      </c>
      <c r="J31">
        <v>2759.2</v>
      </c>
      <c r="K31">
        <v>3239.06</v>
      </c>
    </row>
    <row r="32" spans="1:11" s="6" customFormat="1" x14ac:dyDescent="0.45"/>
    <row r="33" spans="1:11" x14ac:dyDescent="0.45">
      <c r="A33" s="6"/>
    </row>
    <row r="34" spans="1:11" x14ac:dyDescent="0.45">
      <c r="A34" s="6"/>
    </row>
    <row r="35" spans="1:11" x14ac:dyDescent="0.45">
      <c r="A35" s="6"/>
    </row>
    <row r="36" spans="1:11" x14ac:dyDescent="0.45">
      <c r="A36" s="6"/>
    </row>
    <row r="37" spans="1:11" x14ac:dyDescent="0.45">
      <c r="A37" s="6"/>
    </row>
    <row r="38" spans="1:11" x14ac:dyDescent="0.45">
      <c r="A38" s="6"/>
    </row>
    <row r="39" spans="1:11" x14ac:dyDescent="0.45">
      <c r="A39" s="6"/>
    </row>
    <row r="40" spans="1:11" x14ac:dyDescent="0.45">
      <c r="A40" s="1" t="s">
        <v>39</v>
      </c>
    </row>
    <row r="41" spans="1:11" s="18" customFormat="1" x14ac:dyDescent="0.45">
      <c r="A41" s="17" t="s">
        <v>38</v>
      </c>
      <c r="B41" s="12">
        <v>44561</v>
      </c>
      <c r="C41" s="12">
        <v>44651</v>
      </c>
      <c r="D41" s="12">
        <v>44742</v>
      </c>
      <c r="E41" s="12">
        <v>44834</v>
      </c>
      <c r="F41" s="12">
        <v>44926</v>
      </c>
      <c r="G41" s="12">
        <v>45016</v>
      </c>
      <c r="H41" s="12">
        <v>45107</v>
      </c>
      <c r="I41" s="12">
        <v>45199</v>
      </c>
      <c r="J41" s="12">
        <v>45291</v>
      </c>
      <c r="K41" s="12">
        <v>45382</v>
      </c>
    </row>
    <row r="42" spans="1:11" s="6" customFormat="1" x14ac:dyDescent="0.45">
      <c r="A42" s="6" t="s">
        <v>6</v>
      </c>
      <c r="B42">
        <v>9863.06</v>
      </c>
      <c r="C42">
        <v>9446.76</v>
      </c>
      <c r="D42">
        <v>10761.76</v>
      </c>
      <c r="E42">
        <v>10952.28</v>
      </c>
      <c r="F42">
        <v>11240.97</v>
      </c>
      <c r="G42">
        <v>10930.67</v>
      </c>
      <c r="H42">
        <v>11940.84</v>
      </c>
      <c r="I42">
        <v>12192.41</v>
      </c>
      <c r="J42">
        <v>12380.7</v>
      </c>
      <c r="K42">
        <v>11982.9</v>
      </c>
    </row>
    <row r="43" spans="1:11" s="6" customFormat="1" x14ac:dyDescent="0.45">
      <c r="A43" s="6" t="s">
        <v>7</v>
      </c>
      <c r="B43">
        <v>7256.73</v>
      </c>
      <c r="C43">
        <v>7106.39</v>
      </c>
      <c r="D43">
        <v>7877.37</v>
      </c>
      <c r="E43">
        <v>7995.73</v>
      </c>
      <c r="F43">
        <v>8237.25</v>
      </c>
      <c r="G43">
        <v>8128.54</v>
      </c>
      <c r="H43">
        <v>8609.07</v>
      </c>
      <c r="I43">
        <v>9013.0300000000007</v>
      </c>
      <c r="J43">
        <v>8903.8700000000008</v>
      </c>
      <c r="K43">
        <v>8947.75</v>
      </c>
    </row>
    <row r="44" spans="1:11" s="6" customFormat="1" x14ac:dyDescent="0.45">
      <c r="A44" s="6" t="s">
        <v>9</v>
      </c>
      <c r="B44">
        <v>432.51</v>
      </c>
      <c r="C44">
        <v>-3822.16</v>
      </c>
      <c r="D44">
        <v>2.14</v>
      </c>
      <c r="E44">
        <v>85.22</v>
      </c>
      <c r="F44">
        <v>173.88</v>
      </c>
      <c r="G44">
        <v>201.83</v>
      </c>
      <c r="H44">
        <v>-118.43</v>
      </c>
      <c r="I44">
        <v>293.61</v>
      </c>
      <c r="J44">
        <v>180.39</v>
      </c>
      <c r="K44">
        <v>504.3</v>
      </c>
    </row>
    <row r="45" spans="1:11" s="6" customFormat="1" x14ac:dyDescent="0.45">
      <c r="A45" s="6" t="s">
        <v>10</v>
      </c>
      <c r="B45">
        <v>553.67999999999995</v>
      </c>
      <c r="C45">
        <v>556.47</v>
      </c>
      <c r="D45">
        <v>588</v>
      </c>
      <c r="E45">
        <v>609.95000000000005</v>
      </c>
      <c r="F45">
        <v>659.95</v>
      </c>
      <c r="G45">
        <v>671.53</v>
      </c>
      <c r="H45">
        <v>651.32000000000005</v>
      </c>
      <c r="I45">
        <v>632.82000000000005</v>
      </c>
      <c r="J45">
        <v>622.14</v>
      </c>
      <c r="K45">
        <v>650.36</v>
      </c>
    </row>
    <row r="46" spans="1:11" s="6" customFormat="1" x14ac:dyDescent="0.45">
      <c r="A46" s="6" t="s">
        <v>11</v>
      </c>
      <c r="B46">
        <v>18.97</v>
      </c>
      <c r="C46">
        <v>37.340000000000003</v>
      </c>
      <c r="D46">
        <v>13.69</v>
      </c>
      <c r="E46">
        <v>19.39</v>
      </c>
      <c r="F46">
        <v>46.18</v>
      </c>
      <c r="G46">
        <v>92.74</v>
      </c>
      <c r="H46">
        <v>80.88</v>
      </c>
      <c r="I46">
        <v>49.29</v>
      </c>
      <c r="J46">
        <v>34.729999999999997</v>
      </c>
      <c r="K46">
        <v>73.569999999999993</v>
      </c>
    </row>
    <row r="47" spans="1:11" s="6" customFormat="1" x14ac:dyDescent="0.45">
      <c r="A47" s="6" t="s">
        <v>12</v>
      </c>
      <c r="B47">
        <v>2466.19</v>
      </c>
      <c r="C47">
        <v>-2075.6</v>
      </c>
      <c r="D47">
        <v>2284.84</v>
      </c>
      <c r="E47">
        <v>2412.4299999999998</v>
      </c>
      <c r="F47">
        <v>2471.4699999999998</v>
      </c>
      <c r="G47">
        <v>2239.69</v>
      </c>
      <c r="H47">
        <v>2481.14</v>
      </c>
      <c r="I47">
        <v>2790.88</v>
      </c>
      <c r="J47">
        <v>3000.35</v>
      </c>
      <c r="K47">
        <v>2815.52</v>
      </c>
    </row>
    <row r="48" spans="1:11" s="6" customFormat="1" x14ac:dyDescent="0.45">
      <c r="A48" s="6" t="s">
        <v>13</v>
      </c>
      <c r="B48">
        <v>335.39</v>
      </c>
      <c r="C48">
        <v>146.76</v>
      </c>
      <c r="D48">
        <v>188.99</v>
      </c>
      <c r="E48">
        <v>152.26</v>
      </c>
      <c r="F48">
        <v>283.43</v>
      </c>
      <c r="G48">
        <v>222.91</v>
      </c>
      <c r="H48">
        <v>468.1</v>
      </c>
      <c r="I48">
        <v>390.1</v>
      </c>
      <c r="J48">
        <v>432.32</v>
      </c>
      <c r="K48">
        <v>148.93</v>
      </c>
    </row>
    <row r="49" spans="1:11" s="6" customFormat="1" x14ac:dyDescent="0.45">
      <c r="A49" s="6" t="s">
        <v>14</v>
      </c>
      <c r="B49">
        <v>2058.8000000000002</v>
      </c>
      <c r="C49">
        <v>-2277.25</v>
      </c>
      <c r="D49">
        <v>2060.88</v>
      </c>
      <c r="E49">
        <v>2262.2199999999998</v>
      </c>
      <c r="F49">
        <v>2166.0100000000002</v>
      </c>
      <c r="G49">
        <v>1984.47</v>
      </c>
      <c r="H49">
        <v>2022.54</v>
      </c>
      <c r="I49">
        <v>2375.5100000000002</v>
      </c>
      <c r="J49">
        <v>2523.75</v>
      </c>
      <c r="K49">
        <v>2654.58</v>
      </c>
    </row>
    <row r="50" spans="1:11" x14ac:dyDescent="0.45">
      <c r="A50" s="6" t="s">
        <v>8</v>
      </c>
      <c r="B50">
        <v>2606.33</v>
      </c>
      <c r="C50">
        <v>2340.37</v>
      </c>
      <c r="D50">
        <v>2884.39</v>
      </c>
      <c r="E50">
        <v>2956.55</v>
      </c>
      <c r="F50">
        <v>3003.72</v>
      </c>
      <c r="G50">
        <v>2802.13</v>
      </c>
      <c r="H50">
        <v>3331.77</v>
      </c>
      <c r="I50">
        <v>3179.38</v>
      </c>
      <c r="J50">
        <v>3476.83</v>
      </c>
      <c r="K50">
        <v>3035.15</v>
      </c>
    </row>
    <row r="51" spans="1:11" x14ac:dyDescent="0.45">
      <c r="A51" s="6"/>
    </row>
    <row r="52" spans="1:11" x14ac:dyDescent="0.45">
      <c r="A52" s="6"/>
    </row>
    <row r="53" spans="1:11" x14ac:dyDescent="0.45">
      <c r="A53" s="6"/>
    </row>
    <row r="54" spans="1:11" x14ac:dyDescent="0.45">
      <c r="A54" s="6"/>
    </row>
    <row r="55" spans="1:11" x14ac:dyDescent="0.45">
      <c r="A55" s="1" t="s">
        <v>40</v>
      </c>
    </row>
    <row r="56" spans="1:11" s="18" customFormat="1" x14ac:dyDescent="0.45">
      <c r="A56" s="17" t="s">
        <v>38</v>
      </c>
      <c r="B56" s="12">
        <v>42094</v>
      </c>
      <c r="C56" s="12">
        <v>42460</v>
      </c>
      <c r="D56" s="12">
        <v>42825</v>
      </c>
      <c r="E56" s="12">
        <v>43190</v>
      </c>
      <c r="F56" s="12">
        <v>43555</v>
      </c>
      <c r="G56" s="12">
        <v>43921</v>
      </c>
      <c r="H56" s="12">
        <v>44286</v>
      </c>
      <c r="I56" s="12">
        <v>44651</v>
      </c>
      <c r="J56" s="12">
        <v>45016</v>
      </c>
      <c r="K56" s="12">
        <v>45382</v>
      </c>
    </row>
    <row r="57" spans="1:11" x14ac:dyDescent="0.45">
      <c r="A57" s="6" t="s">
        <v>24</v>
      </c>
      <c r="B57">
        <v>207.12</v>
      </c>
      <c r="C57">
        <v>240.66</v>
      </c>
      <c r="D57">
        <v>239.93</v>
      </c>
      <c r="E57">
        <v>239.93</v>
      </c>
      <c r="F57">
        <v>239.93</v>
      </c>
      <c r="G57">
        <v>239.93</v>
      </c>
      <c r="H57">
        <v>239.93</v>
      </c>
      <c r="I57">
        <v>239.93</v>
      </c>
      <c r="J57">
        <v>239.93</v>
      </c>
      <c r="K57">
        <v>239.93</v>
      </c>
    </row>
    <row r="58" spans="1:11" x14ac:dyDescent="0.45">
      <c r="A58" s="6" t="s">
        <v>25</v>
      </c>
      <c r="B58">
        <v>25430.97</v>
      </c>
      <c r="C58">
        <v>32741.82</v>
      </c>
      <c r="D58">
        <v>36399.74</v>
      </c>
      <c r="E58">
        <v>38074.18</v>
      </c>
      <c r="F58">
        <v>41169.129999999997</v>
      </c>
      <c r="G58">
        <v>45024.52</v>
      </c>
      <c r="H58">
        <v>46222.85</v>
      </c>
      <c r="I58">
        <v>47771.29</v>
      </c>
      <c r="J58">
        <v>55755.45</v>
      </c>
      <c r="K58">
        <v>63426.82</v>
      </c>
    </row>
    <row r="59" spans="1:11" x14ac:dyDescent="0.45">
      <c r="A59" s="6" t="s">
        <v>71</v>
      </c>
      <c r="B59">
        <v>8996.11</v>
      </c>
      <c r="C59">
        <v>8496.76</v>
      </c>
      <c r="D59">
        <v>9831.77</v>
      </c>
      <c r="E59">
        <v>10385.27</v>
      </c>
      <c r="F59">
        <v>10514.36</v>
      </c>
      <c r="G59">
        <v>8314.8799999999992</v>
      </c>
      <c r="H59">
        <v>3868.58</v>
      </c>
      <c r="I59">
        <v>1290.3</v>
      </c>
      <c r="J59">
        <v>6885.87</v>
      </c>
      <c r="K59">
        <v>3273.67</v>
      </c>
    </row>
    <row r="60" spans="1:11" x14ac:dyDescent="0.45">
      <c r="A60" s="6" t="s">
        <v>72</v>
      </c>
      <c r="B60">
        <v>14088.99</v>
      </c>
      <c r="C60">
        <v>13948.26</v>
      </c>
      <c r="D60">
        <v>14624.01</v>
      </c>
      <c r="E60">
        <v>15598.01</v>
      </c>
      <c r="F60">
        <v>12666.11</v>
      </c>
      <c r="G60">
        <v>14614.99</v>
      </c>
      <c r="H60">
        <v>17290.86</v>
      </c>
      <c r="I60">
        <v>20474.39</v>
      </c>
      <c r="J60">
        <v>17830.650000000001</v>
      </c>
      <c r="K60">
        <v>18367.400000000001</v>
      </c>
    </row>
    <row r="61" spans="1:11" s="1" customFormat="1" x14ac:dyDescent="0.45">
      <c r="A61" s="1" t="s">
        <v>26</v>
      </c>
      <c r="B61">
        <v>48723.19</v>
      </c>
      <c r="C61">
        <v>55427.5</v>
      </c>
      <c r="D61">
        <v>61095.45</v>
      </c>
      <c r="E61">
        <v>64297.39</v>
      </c>
      <c r="F61">
        <v>64589.53</v>
      </c>
      <c r="G61">
        <v>68194.320000000007</v>
      </c>
      <c r="H61">
        <v>67622.22</v>
      </c>
      <c r="I61">
        <v>69775.91</v>
      </c>
      <c r="J61">
        <v>80711.899999999994</v>
      </c>
      <c r="K61">
        <v>85307.82</v>
      </c>
    </row>
    <row r="62" spans="1:11" x14ac:dyDescent="0.45">
      <c r="A62" s="6" t="s">
        <v>27</v>
      </c>
      <c r="B62">
        <v>12682.47</v>
      </c>
      <c r="C62">
        <v>15872.25</v>
      </c>
      <c r="D62">
        <v>17675.169999999998</v>
      </c>
      <c r="E62">
        <v>18852.650000000001</v>
      </c>
      <c r="F62">
        <v>21836.54</v>
      </c>
      <c r="G62">
        <v>22846.91</v>
      </c>
      <c r="H62">
        <v>21552.98</v>
      </c>
      <c r="I62">
        <v>22665.16</v>
      </c>
      <c r="J62">
        <v>24065.439999999999</v>
      </c>
      <c r="K62">
        <v>23211.38</v>
      </c>
    </row>
    <row r="63" spans="1:11" x14ac:dyDescent="0.45">
      <c r="A63" s="6" t="s">
        <v>28</v>
      </c>
      <c r="B63">
        <v>2038.61</v>
      </c>
      <c r="C63">
        <v>2175.4499999999998</v>
      </c>
      <c r="D63">
        <v>2801.38</v>
      </c>
      <c r="E63">
        <v>2465.16</v>
      </c>
      <c r="F63">
        <v>1411.15</v>
      </c>
      <c r="G63">
        <v>1220.3399999999999</v>
      </c>
      <c r="H63">
        <v>1566.83</v>
      </c>
      <c r="I63">
        <v>1286.8</v>
      </c>
      <c r="J63">
        <v>4973.16</v>
      </c>
      <c r="K63">
        <v>5353.88</v>
      </c>
    </row>
    <row r="64" spans="1:11" x14ac:dyDescent="0.45">
      <c r="A64" s="6" t="s">
        <v>29</v>
      </c>
      <c r="B64">
        <v>2716.3</v>
      </c>
      <c r="C64">
        <v>1829.88</v>
      </c>
      <c r="D64">
        <v>1191.8800000000001</v>
      </c>
      <c r="E64">
        <v>7142.87</v>
      </c>
      <c r="F64">
        <v>7902.53</v>
      </c>
      <c r="G64">
        <v>10143.11</v>
      </c>
      <c r="H64">
        <v>9612.4500000000007</v>
      </c>
      <c r="I64">
        <v>12848.59</v>
      </c>
      <c r="J64">
        <v>14824.34</v>
      </c>
      <c r="K64">
        <v>15025.77</v>
      </c>
    </row>
    <row r="65" spans="1:11" x14ac:dyDescent="0.45">
      <c r="A65" s="6" t="s">
        <v>73</v>
      </c>
      <c r="B65">
        <v>31285.81</v>
      </c>
      <c r="C65">
        <v>35549.919999999998</v>
      </c>
      <c r="D65">
        <v>39427.019999999997</v>
      </c>
      <c r="E65">
        <v>35836.71</v>
      </c>
      <c r="F65">
        <v>33439.31</v>
      </c>
      <c r="G65">
        <v>33983.96</v>
      </c>
      <c r="H65">
        <v>34889.96</v>
      </c>
      <c r="I65">
        <v>32975.360000000001</v>
      </c>
      <c r="J65">
        <v>36848.959999999999</v>
      </c>
      <c r="K65">
        <v>41716.79</v>
      </c>
    </row>
    <row r="66" spans="1:11" s="1" customFormat="1" x14ac:dyDescent="0.45">
      <c r="A66" s="1" t="s">
        <v>26</v>
      </c>
      <c r="B66">
        <v>48723.19</v>
      </c>
      <c r="C66">
        <v>55427.5</v>
      </c>
      <c r="D66">
        <v>61095.45</v>
      </c>
      <c r="E66">
        <v>64297.39</v>
      </c>
      <c r="F66">
        <v>64589.53</v>
      </c>
      <c r="G66">
        <v>68194.320000000007</v>
      </c>
      <c r="H66">
        <v>67622.22</v>
      </c>
      <c r="I66">
        <v>69775.91</v>
      </c>
      <c r="J66">
        <v>80711.899999999994</v>
      </c>
      <c r="K66">
        <v>85307.82</v>
      </c>
    </row>
    <row r="67" spans="1:11" s="6" customFormat="1" x14ac:dyDescent="0.45">
      <c r="A67" s="6" t="s">
        <v>78</v>
      </c>
      <c r="B67">
        <v>5106.13</v>
      </c>
      <c r="C67">
        <v>6775.66</v>
      </c>
      <c r="D67">
        <v>7202.61</v>
      </c>
      <c r="E67">
        <v>7815.28</v>
      </c>
      <c r="F67">
        <v>8884.2000000000007</v>
      </c>
      <c r="G67">
        <v>9421.24</v>
      </c>
      <c r="H67">
        <v>9061.4</v>
      </c>
      <c r="I67">
        <v>10484.59</v>
      </c>
      <c r="J67">
        <v>11438.51</v>
      </c>
      <c r="K67">
        <v>11249.37</v>
      </c>
    </row>
    <row r="68" spans="1:11" x14ac:dyDescent="0.45">
      <c r="A68" s="6" t="s">
        <v>45</v>
      </c>
      <c r="B68">
        <v>5667.99</v>
      </c>
      <c r="C68">
        <v>6422.54</v>
      </c>
      <c r="D68">
        <v>6832.81</v>
      </c>
      <c r="E68">
        <v>6880.69</v>
      </c>
      <c r="F68">
        <v>7885.98</v>
      </c>
      <c r="G68">
        <v>7874.99</v>
      </c>
      <c r="H68">
        <v>8997.02</v>
      </c>
      <c r="I68">
        <v>8925.1299999999992</v>
      </c>
      <c r="J68">
        <v>10513.05</v>
      </c>
      <c r="K68">
        <v>9868.2900000000009</v>
      </c>
    </row>
    <row r="69" spans="1:11" x14ac:dyDescent="0.45">
      <c r="A69" s="4" t="s">
        <v>87</v>
      </c>
      <c r="B69">
        <v>10998.04</v>
      </c>
      <c r="C69">
        <v>13181.65</v>
      </c>
      <c r="D69">
        <v>15140.84</v>
      </c>
      <c r="E69">
        <v>9929.3799999999992</v>
      </c>
      <c r="F69">
        <v>7275.6</v>
      </c>
      <c r="G69">
        <v>6487.55</v>
      </c>
      <c r="H69">
        <v>6445.51</v>
      </c>
      <c r="I69">
        <v>5033.3500000000004</v>
      </c>
      <c r="J69">
        <v>5770.29</v>
      </c>
      <c r="K69">
        <v>10520.68</v>
      </c>
    </row>
    <row r="70" spans="1:11" x14ac:dyDescent="0.45">
      <c r="A70" s="4" t="s">
        <v>74</v>
      </c>
      <c r="B70">
        <v>2071163910</v>
      </c>
      <c r="C70">
        <v>2406605118</v>
      </c>
      <c r="D70">
        <v>2399260815</v>
      </c>
      <c r="E70">
        <v>2399260815</v>
      </c>
      <c r="F70">
        <v>2399334970</v>
      </c>
      <c r="G70">
        <v>2399334970</v>
      </c>
      <c r="H70">
        <v>2399334970</v>
      </c>
      <c r="I70">
        <v>2399334970</v>
      </c>
      <c r="J70">
        <v>2399334970</v>
      </c>
      <c r="K70">
        <v>2399334970</v>
      </c>
    </row>
    <row r="71" spans="1:11" x14ac:dyDescent="0.45">
      <c r="A71" s="4" t="s">
        <v>75</v>
      </c>
    </row>
    <row r="72" spans="1:11" x14ac:dyDescent="0.45">
      <c r="A72" s="4" t="s">
        <v>88</v>
      </c>
      <c r="B72">
        <v>1</v>
      </c>
      <c r="C72">
        <v>1</v>
      </c>
      <c r="D72">
        <v>1</v>
      </c>
      <c r="E72">
        <v>1</v>
      </c>
      <c r="F72">
        <v>1</v>
      </c>
      <c r="G72">
        <v>1</v>
      </c>
      <c r="H72">
        <v>1</v>
      </c>
      <c r="I72">
        <v>1</v>
      </c>
      <c r="J72">
        <v>1</v>
      </c>
      <c r="K72">
        <v>1</v>
      </c>
    </row>
    <row r="74" spans="1:11" x14ac:dyDescent="0.45">
      <c r="A74" s="6"/>
    </row>
    <row r="75" spans="1:11" x14ac:dyDescent="0.45">
      <c r="A75" s="6"/>
    </row>
    <row r="76" spans="1:11" x14ac:dyDescent="0.45">
      <c r="A76" s="6"/>
    </row>
    <row r="77" spans="1:11" x14ac:dyDescent="0.45">
      <c r="A77" s="6"/>
    </row>
    <row r="78" spans="1:11" x14ac:dyDescent="0.45">
      <c r="A78" s="6"/>
    </row>
    <row r="79" spans="1:11" x14ac:dyDescent="0.45">
      <c r="A79" s="6"/>
    </row>
    <row r="80" spans="1:11" x14ac:dyDescent="0.45">
      <c r="A80" s="1" t="s">
        <v>41</v>
      </c>
    </row>
    <row r="81" spans="1:11" s="18" customFormat="1" x14ac:dyDescent="0.45">
      <c r="A81" s="17" t="s">
        <v>38</v>
      </c>
      <c r="B81" s="12">
        <v>42094</v>
      </c>
      <c r="C81" s="12">
        <v>42460</v>
      </c>
      <c r="D81" s="12">
        <v>42825</v>
      </c>
      <c r="E81" s="12">
        <v>43190</v>
      </c>
      <c r="F81" s="12">
        <v>43555</v>
      </c>
      <c r="G81" s="12">
        <v>43921</v>
      </c>
      <c r="H81" s="12">
        <v>44286</v>
      </c>
      <c r="I81" s="12">
        <v>44651</v>
      </c>
      <c r="J81" s="12">
        <v>45016</v>
      </c>
      <c r="K81" s="12">
        <v>45382</v>
      </c>
    </row>
    <row r="82" spans="1:11" s="1" customFormat="1" x14ac:dyDescent="0.45">
      <c r="A82" s="6" t="s">
        <v>32</v>
      </c>
      <c r="B82">
        <v>5615.74</v>
      </c>
      <c r="C82">
        <v>6685.86</v>
      </c>
      <c r="D82">
        <v>7082.21</v>
      </c>
      <c r="E82">
        <v>3907.15</v>
      </c>
      <c r="F82">
        <v>2196.4499999999998</v>
      </c>
      <c r="G82">
        <v>6554.77</v>
      </c>
      <c r="H82">
        <v>6170.37</v>
      </c>
      <c r="I82">
        <v>8984.5400000000009</v>
      </c>
      <c r="J82">
        <v>4959.33</v>
      </c>
      <c r="K82">
        <v>12134.98</v>
      </c>
    </row>
    <row r="83" spans="1:11" s="6" customFormat="1" x14ac:dyDescent="0.45">
      <c r="A83" s="6" t="s">
        <v>33</v>
      </c>
      <c r="B83">
        <v>-1502.35</v>
      </c>
      <c r="C83">
        <v>-3949.13</v>
      </c>
      <c r="D83">
        <v>-4186.1499999999996</v>
      </c>
      <c r="E83">
        <v>-3103.8</v>
      </c>
      <c r="F83">
        <v>-310.08</v>
      </c>
      <c r="G83">
        <v>-2225.3200000000002</v>
      </c>
      <c r="H83">
        <v>406.53</v>
      </c>
      <c r="I83">
        <v>-5555.86</v>
      </c>
      <c r="J83">
        <v>-7219.92</v>
      </c>
      <c r="K83">
        <v>-762.9</v>
      </c>
    </row>
    <row r="84" spans="1:11" s="6" customFormat="1" x14ac:dyDescent="0.45">
      <c r="A84" s="6" t="s">
        <v>34</v>
      </c>
      <c r="B84">
        <v>-1186.53</v>
      </c>
      <c r="C84">
        <v>-1888.53</v>
      </c>
      <c r="D84">
        <v>-2285.39</v>
      </c>
      <c r="E84">
        <v>-1539.26</v>
      </c>
      <c r="F84">
        <v>-2730.52</v>
      </c>
      <c r="G84">
        <v>-5715.14</v>
      </c>
      <c r="H84">
        <v>-5980.48</v>
      </c>
      <c r="I84">
        <v>-5193.46</v>
      </c>
      <c r="J84">
        <v>2376.0700000000002</v>
      </c>
      <c r="K84">
        <v>-6710.16</v>
      </c>
    </row>
    <row r="85" spans="1:11" s="1" customFormat="1" x14ac:dyDescent="0.45">
      <c r="A85" s="6" t="s">
        <v>35</v>
      </c>
      <c r="B85">
        <v>2926.86</v>
      </c>
      <c r="C85">
        <v>848.2</v>
      </c>
      <c r="D85">
        <v>610.66999999999996</v>
      </c>
      <c r="E85">
        <v>-735.91</v>
      </c>
      <c r="F85">
        <v>-844.15</v>
      </c>
      <c r="G85">
        <v>-1385.69</v>
      </c>
      <c r="H85">
        <v>596.41999999999996</v>
      </c>
      <c r="I85">
        <v>-1764.78</v>
      </c>
      <c r="J85">
        <v>115.48</v>
      </c>
      <c r="K85">
        <v>4661.92</v>
      </c>
    </row>
    <row r="86" spans="1:11" x14ac:dyDescent="0.45">
      <c r="A86" s="6"/>
    </row>
    <row r="87" spans="1:11" x14ac:dyDescent="0.45">
      <c r="A87" s="6"/>
    </row>
    <row r="88" spans="1:11" x14ac:dyDescent="0.45">
      <c r="A88" s="6"/>
    </row>
    <row r="89" spans="1:11" x14ac:dyDescent="0.45">
      <c r="A89" s="6"/>
    </row>
    <row r="90" spans="1:11" s="1" customFormat="1" x14ac:dyDescent="0.45">
      <c r="A90" s="1" t="s">
        <v>77</v>
      </c>
      <c r="B90">
        <v>1023.9</v>
      </c>
      <c r="C90">
        <v>820</v>
      </c>
      <c r="D90">
        <v>688.15</v>
      </c>
      <c r="E90">
        <v>495.1</v>
      </c>
      <c r="F90">
        <v>478.85</v>
      </c>
      <c r="G90">
        <v>352.3</v>
      </c>
      <c r="H90">
        <v>597.79999999999995</v>
      </c>
      <c r="I90">
        <v>914.75</v>
      </c>
      <c r="J90">
        <v>983.1</v>
      </c>
      <c r="K90">
        <v>1620.55</v>
      </c>
    </row>
    <row r="92" spans="1:11" s="1" customFormat="1" x14ac:dyDescent="0.45">
      <c r="A92" s="1" t="s">
        <v>76</v>
      </c>
    </row>
    <row r="93" spans="1:11" x14ac:dyDescent="0.45">
      <c r="A93" s="4" t="s">
        <v>89</v>
      </c>
      <c r="B93" s="24">
        <v>207.12</v>
      </c>
      <c r="C93" s="24">
        <v>240.67</v>
      </c>
      <c r="D93" s="24">
        <v>239.93</v>
      </c>
      <c r="E93" s="24">
        <v>239.93</v>
      </c>
      <c r="F93" s="24">
        <v>239.93</v>
      </c>
      <c r="G93" s="24">
        <v>239.93</v>
      </c>
      <c r="H93" s="24">
        <v>239.93</v>
      </c>
      <c r="I93" s="24">
        <v>239.93</v>
      </c>
      <c r="J93" s="24">
        <v>239.93</v>
      </c>
      <c r="K93" s="24">
        <v>239.93</v>
      </c>
    </row>
  </sheetData>
  <mergeCells count="2">
    <mergeCell ref="E1:K1"/>
    <mergeCell ref="E2:K2"/>
  </mergeCells>
  <conditionalFormatting sqref="E1:K1">
    <cfRule type="cellIs" dxfId="0" priority="1" operator="notEqual">
      <formula>""</formula>
    </cfRule>
  </conditionalFormatting>
  <hyperlinks>
    <hyperlink ref="E1:K1" r:id="rId1" display="https://www.screener.in/excel/" xr:uid="{00000000-0004-0000-0500-000000000000}"/>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44520-8EAE-4B37-BCEE-D2DE229BDFD9}">
  <sheetPr>
    <pageSetUpPr fitToPage="1"/>
  </sheetPr>
  <dimension ref="B5:R76"/>
  <sheetViews>
    <sheetView showGridLines="0" zoomScale="90" zoomScaleNormal="65" workbookViewId="0">
      <pane ySplit="6" topLeftCell="A15" activePane="bottomLeft" state="frozen"/>
      <selection pane="bottomLeft" activeCell="B5" sqref="B5:L6"/>
    </sheetView>
  </sheetViews>
  <sheetFormatPr defaultRowHeight="14.25" x14ac:dyDescent="0.45"/>
  <cols>
    <col min="1" max="1" width="2.1328125" customWidth="1"/>
    <col min="2" max="2" width="28.3984375" customWidth="1"/>
    <col min="3" max="12" width="13.3984375" customWidth="1"/>
  </cols>
  <sheetData>
    <row r="5" spans="2:12" x14ac:dyDescent="0.45">
      <c r="B5" s="56" t="s">
        <v>93</v>
      </c>
      <c r="C5" s="56"/>
      <c r="D5" s="56"/>
      <c r="E5" s="56"/>
      <c r="F5" s="56"/>
      <c r="G5" s="56"/>
      <c r="H5" s="56"/>
      <c r="I5" s="56"/>
      <c r="J5" s="56"/>
      <c r="K5" s="56"/>
      <c r="L5" s="56"/>
    </row>
    <row r="6" spans="2:12" x14ac:dyDescent="0.45">
      <c r="B6" s="25" t="s">
        <v>94</v>
      </c>
      <c r="C6" s="26">
        <v>42094</v>
      </c>
      <c r="D6" s="26">
        <v>42460</v>
      </c>
      <c r="E6" s="26">
        <v>42825</v>
      </c>
      <c r="F6" s="26">
        <v>43190</v>
      </c>
      <c r="G6" s="26">
        <v>43555</v>
      </c>
      <c r="H6" s="26">
        <v>43921</v>
      </c>
      <c r="I6" s="26">
        <v>44286</v>
      </c>
      <c r="J6" s="26">
        <v>44651</v>
      </c>
      <c r="K6" s="26">
        <v>45016</v>
      </c>
      <c r="L6" s="26">
        <v>45382</v>
      </c>
    </row>
    <row r="8" spans="2:12" x14ac:dyDescent="0.45">
      <c r="B8" s="57" t="s">
        <v>95</v>
      </c>
      <c r="C8" s="57"/>
      <c r="D8" s="57"/>
      <c r="E8" s="57"/>
      <c r="F8" s="57"/>
      <c r="G8" s="57"/>
      <c r="H8" s="57"/>
      <c r="I8" s="57"/>
      <c r="J8" s="57"/>
      <c r="K8" s="57"/>
      <c r="L8" s="57"/>
    </row>
    <row r="9" spans="2:12" x14ac:dyDescent="0.45">
      <c r="B9" t="s">
        <v>6</v>
      </c>
      <c r="C9" s="27">
        <f>IFERROR('Data Sheet'!B17,0)</f>
        <v>27392.01</v>
      </c>
      <c r="D9" s="27">
        <f>IFERROR('Data Sheet'!C17,0)</f>
        <v>28487.03</v>
      </c>
      <c r="E9" s="27">
        <f>IFERROR('Data Sheet'!D17,0)</f>
        <v>31578.44</v>
      </c>
      <c r="F9" s="27">
        <f>IFERROR('Data Sheet'!E17,0)</f>
        <v>26489.46</v>
      </c>
      <c r="G9" s="27">
        <f>IFERROR('Data Sheet'!F17,0)</f>
        <v>29065.91</v>
      </c>
      <c r="H9" s="27">
        <f>IFERROR('Data Sheet'!G17,0)</f>
        <v>32837.5</v>
      </c>
      <c r="I9" s="27">
        <f>IFERROR('Data Sheet'!H17,0)</f>
        <v>33498.14</v>
      </c>
      <c r="J9" s="27">
        <f>IFERROR('Data Sheet'!I17,0)</f>
        <v>38654.49</v>
      </c>
      <c r="K9" s="27">
        <f>IFERROR('Data Sheet'!J17,0)</f>
        <v>43885.68</v>
      </c>
      <c r="L9" s="27">
        <f>IFERROR('Data Sheet'!K17,0)</f>
        <v>48496.85</v>
      </c>
    </row>
    <row r="10" spans="2:12" x14ac:dyDescent="0.45">
      <c r="B10" s="29" t="s">
        <v>22</v>
      </c>
      <c r="C10" s="29"/>
      <c r="D10" s="30">
        <f>IFERROR(D9/C9-1,0)</f>
        <v>3.9975890779829548E-2</v>
      </c>
      <c r="E10" s="30">
        <f t="shared" ref="E10:L10" si="0">IFERROR(E9/D9-1,0)</f>
        <v>0.10851991239521985</v>
      </c>
      <c r="F10" s="30">
        <f t="shared" si="0"/>
        <v>-0.16115362253486876</v>
      </c>
      <c r="G10" s="30">
        <f t="shared" si="0"/>
        <v>9.7263213368637969E-2</v>
      </c>
      <c r="H10" s="30">
        <f t="shared" si="0"/>
        <v>0.12975991462163061</v>
      </c>
      <c r="I10" s="30">
        <f t="shared" si="0"/>
        <v>2.0118462124095959E-2</v>
      </c>
      <c r="J10" s="30">
        <f t="shared" si="0"/>
        <v>0.15392944205260339</v>
      </c>
      <c r="K10" s="30">
        <f t="shared" si="0"/>
        <v>0.1353320144697292</v>
      </c>
      <c r="L10" s="30">
        <f t="shared" si="0"/>
        <v>0.10507231516066295</v>
      </c>
    </row>
    <row r="11" spans="2:12" x14ac:dyDescent="0.45">
      <c r="B11" t="s">
        <v>96</v>
      </c>
      <c r="C11" t="s">
        <v>96</v>
      </c>
    </row>
    <row r="12" spans="2:12" x14ac:dyDescent="0.45">
      <c r="B12" t="s">
        <v>97</v>
      </c>
      <c r="C12" s="27">
        <f>IFERROR(SUM('Data Sheet'!B18,'Data Sheet'!B20:B22)-1*'Data Sheet'!B19,0)</f>
        <v>13230.140000000001</v>
      </c>
      <c r="D12" s="27">
        <f>IFERROR(SUM('Data Sheet'!C18,'Data Sheet'!C20:C22)-1*'Data Sheet'!C19,0)</f>
        <v>13456.68</v>
      </c>
      <c r="E12" s="27">
        <f>IFERROR(SUM('Data Sheet'!D18,'Data Sheet'!D20:D22)-1*'Data Sheet'!D19,0)</f>
        <v>15531.590000000002</v>
      </c>
      <c r="F12" s="27">
        <f>IFERROR(SUM('Data Sheet'!E18,'Data Sheet'!E20:E22)-1*'Data Sheet'!E19,0)</f>
        <v>15180.05</v>
      </c>
      <c r="G12" s="27">
        <f>IFERROR(SUM('Data Sheet'!F18,'Data Sheet'!F20:F22)-1*'Data Sheet'!F19,0)</f>
        <v>16334.369999999999</v>
      </c>
      <c r="H12" s="27">
        <f>IFERROR(SUM('Data Sheet'!G18,'Data Sheet'!G20:G22)-1*'Data Sheet'!G19,0)</f>
        <v>17904.689999999999</v>
      </c>
      <c r="I12" s="27">
        <f>IFERROR(SUM('Data Sheet'!H18,'Data Sheet'!H20:H22)-1*'Data Sheet'!H19,0)</f>
        <v>17903.18</v>
      </c>
      <c r="J12" s="27">
        <f>IFERROR(SUM('Data Sheet'!I18,'Data Sheet'!I20:I22)-1*'Data Sheet'!I19,0)</f>
        <v>20235.86</v>
      </c>
      <c r="K12" s="27">
        <f>IFERROR(SUM('Data Sheet'!J18,'Data Sheet'!J20:J22)-1*'Data Sheet'!J19,0)</f>
        <v>21725.01</v>
      </c>
      <c r="L12" s="27">
        <f>IFERROR(SUM('Data Sheet'!K18,'Data Sheet'!K20:K22)-1*'Data Sheet'!K19,0)</f>
        <v>23039.070000000003</v>
      </c>
    </row>
    <row r="13" spans="2:12" x14ac:dyDescent="0.45">
      <c r="B13" s="29" t="s">
        <v>108</v>
      </c>
      <c r="C13" s="30">
        <f>C12/C9</f>
        <v>0.48299266829998977</v>
      </c>
      <c r="D13" s="30">
        <f t="shared" ref="D13:L13" si="1">D12/D9</f>
        <v>0.47237918449203026</v>
      </c>
      <c r="E13" s="30">
        <f t="shared" si="1"/>
        <v>0.49184158558814184</v>
      </c>
      <c r="F13" s="30">
        <f t="shared" si="1"/>
        <v>0.57306000197814522</v>
      </c>
      <c r="G13" s="30">
        <f t="shared" si="1"/>
        <v>0.56197690008673384</v>
      </c>
      <c r="H13" s="30">
        <f t="shared" si="1"/>
        <v>0.54525131328511611</v>
      </c>
      <c r="I13" s="30">
        <f t="shared" si="1"/>
        <v>0.53445295768660595</v>
      </c>
      <c r="J13" s="30">
        <f t="shared" si="1"/>
        <v>0.52350606617756446</v>
      </c>
      <c r="K13" s="30">
        <f t="shared" si="1"/>
        <v>0.49503642190345459</v>
      </c>
      <c r="L13" s="30">
        <f t="shared" si="1"/>
        <v>0.47506322575589971</v>
      </c>
    </row>
    <row r="15" spans="2:12" x14ac:dyDescent="0.45">
      <c r="B15" s="37" t="s">
        <v>98</v>
      </c>
      <c r="C15" s="35">
        <f>C9-C12</f>
        <v>14161.869999999997</v>
      </c>
      <c r="D15" s="35">
        <f t="shared" ref="D15:L15" si="2">D9-D12</f>
        <v>15030.349999999999</v>
      </c>
      <c r="E15" s="35">
        <f t="shared" si="2"/>
        <v>16046.849999999997</v>
      </c>
      <c r="F15" s="35">
        <f t="shared" si="2"/>
        <v>11309.41</v>
      </c>
      <c r="G15" s="35">
        <f t="shared" si="2"/>
        <v>12731.54</v>
      </c>
      <c r="H15" s="35">
        <f t="shared" si="2"/>
        <v>14932.810000000001</v>
      </c>
      <c r="I15" s="35">
        <f t="shared" si="2"/>
        <v>15594.96</v>
      </c>
      <c r="J15" s="35">
        <f t="shared" si="2"/>
        <v>18418.629999999997</v>
      </c>
      <c r="K15" s="35">
        <f t="shared" si="2"/>
        <v>22160.670000000002</v>
      </c>
      <c r="L15" s="35">
        <f t="shared" si="2"/>
        <v>25457.779999999995</v>
      </c>
    </row>
    <row r="16" spans="2:12" x14ac:dyDescent="0.45">
      <c r="B16" s="29" t="s">
        <v>109</v>
      </c>
      <c r="C16" s="30">
        <f>C15/C9</f>
        <v>0.51700733170001023</v>
      </c>
      <c r="D16" s="30">
        <f t="shared" ref="D16:L16" si="3">D15/D9</f>
        <v>0.52762081550796969</v>
      </c>
      <c r="E16" s="30">
        <f t="shared" si="3"/>
        <v>0.50815841441185816</v>
      </c>
      <c r="F16" s="30">
        <f t="shared" si="3"/>
        <v>0.42693999802185473</v>
      </c>
      <c r="G16" s="30">
        <f t="shared" si="3"/>
        <v>0.4380230999132661</v>
      </c>
      <c r="H16" s="30">
        <f t="shared" si="3"/>
        <v>0.45474868671488394</v>
      </c>
      <c r="I16" s="30">
        <f t="shared" si="3"/>
        <v>0.46554704231339411</v>
      </c>
      <c r="J16" s="30">
        <f t="shared" si="3"/>
        <v>0.4764939338224356</v>
      </c>
      <c r="K16" s="30">
        <f t="shared" si="3"/>
        <v>0.50496357809654546</v>
      </c>
      <c r="L16" s="30">
        <f t="shared" si="3"/>
        <v>0.52493677424410035</v>
      </c>
    </row>
    <row r="18" spans="2:18" x14ac:dyDescent="0.45">
      <c r="B18" t="s">
        <v>99</v>
      </c>
      <c r="C18" s="27">
        <f>IFERROR(SUM('Data Sheet'!B23:B24),0)</f>
        <v>6268.05</v>
      </c>
      <c r="D18" s="27">
        <f>IFERROR(SUM('Data Sheet'!C23:C24),0)</f>
        <v>6856.45</v>
      </c>
      <c r="E18" s="27">
        <f>IFERROR(SUM('Data Sheet'!D23:D24),0)</f>
        <v>5944.83</v>
      </c>
      <c r="F18" s="27">
        <f>IFERROR(SUM('Data Sheet'!E23:E24),0)</f>
        <v>5677.99</v>
      </c>
      <c r="G18" s="27">
        <f>IFERROR(SUM('Data Sheet'!F23:F24),0)</f>
        <v>6354.5599999999995</v>
      </c>
      <c r="H18" s="27">
        <f>IFERROR(SUM('Data Sheet'!G23:G24),0)</f>
        <v>7949.97</v>
      </c>
      <c r="I18" s="27">
        <f>IFERROR(SUM('Data Sheet'!H23:H24),0)</f>
        <v>7125</v>
      </c>
      <c r="J18" s="27">
        <f>IFERROR(SUM('Data Sheet'!I23:I24),0)</f>
        <v>8161.06</v>
      </c>
      <c r="K18" s="27">
        <f>IFERROR(SUM('Data Sheet'!J23:J24),0)</f>
        <v>10510.23</v>
      </c>
      <c r="L18" s="27">
        <f>IFERROR(SUM('Data Sheet'!K23:K24),0)</f>
        <v>12440.01</v>
      </c>
    </row>
    <row r="19" spans="2:18" x14ac:dyDescent="0.45">
      <c r="B19" s="29" t="s">
        <v>110</v>
      </c>
      <c r="C19" s="30">
        <f>C18/C9</f>
        <v>0.22882767639176535</v>
      </c>
      <c r="D19" s="30">
        <f t="shared" ref="D19:L19" si="4">D18/D9</f>
        <v>0.24068672655590984</v>
      </c>
      <c r="E19" s="30">
        <f t="shared" si="4"/>
        <v>0.18825597464599264</v>
      </c>
      <c r="F19" s="30">
        <f t="shared" si="4"/>
        <v>0.21434902787750298</v>
      </c>
      <c r="G19" s="30">
        <f t="shared" si="4"/>
        <v>0.21862587477907966</v>
      </c>
      <c r="H19" s="30">
        <f t="shared" si="4"/>
        <v>0.24210034259611726</v>
      </c>
      <c r="I19" s="30">
        <f t="shared" si="4"/>
        <v>0.21269837668598915</v>
      </c>
      <c r="J19" s="30">
        <f t="shared" si="4"/>
        <v>0.21112838379189586</v>
      </c>
      <c r="K19" s="30">
        <f t="shared" si="4"/>
        <v>0.23949110507117582</v>
      </c>
      <c r="L19" s="30">
        <f t="shared" si="4"/>
        <v>0.25651171158539166</v>
      </c>
    </row>
    <row r="21" spans="2:18" x14ac:dyDescent="0.45">
      <c r="B21" s="37" t="s">
        <v>100</v>
      </c>
      <c r="C21" s="35">
        <f>C15-C18</f>
        <v>7893.819999999997</v>
      </c>
      <c r="D21" s="35">
        <f t="shared" ref="D21:L21" si="5">D15-D18</f>
        <v>8173.8999999999987</v>
      </c>
      <c r="E21" s="35">
        <f t="shared" si="5"/>
        <v>10102.019999999997</v>
      </c>
      <c r="F21" s="35">
        <f t="shared" si="5"/>
        <v>5631.42</v>
      </c>
      <c r="G21" s="35">
        <f t="shared" si="5"/>
        <v>6376.9800000000014</v>
      </c>
      <c r="H21" s="35">
        <f t="shared" si="5"/>
        <v>6982.8400000000011</v>
      </c>
      <c r="I21" s="35">
        <f t="shared" si="5"/>
        <v>8469.9599999999991</v>
      </c>
      <c r="J21" s="35">
        <f t="shared" si="5"/>
        <v>10257.569999999996</v>
      </c>
      <c r="K21" s="35">
        <f t="shared" si="5"/>
        <v>11650.440000000002</v>
      </c>
      <c r="L21" s="35">
        <f t="shared" si="5"/>
        <v>13017.769999999995</v>
      </c>
    </row>
    <row r="22" spans="2:18" x14ac:dyDescent="0.45">
      <c r="B22" s="29" t="s">
        <v>111</v>
      </c>
      <c r="C22" s="30">
        <f>C21/C9</f>
        <v>0.28817965530824491</v>
      </c>
      <c r="D22" s="30">
        <f t="shared" ref="D22:L22" si="6">D21/D9</f>
        <v>0.28693408895205991</v>
      </c>
      <c r="E22" s="30">
        <f t="shared" si="6"/>
        <v>0.31990243976586547</v>
      </c>
      <c r="F22" s="30">
        <f t="shared" si="6"/>
        <v>0.21259097014435177</v>
      </c>
      <c r="G22" s="30">
        <f t="shared" si="6"/>
        <v>0.21939722513418644</v>
      </c>
      <c r="H22" s="30">
        <f t="shared" si="6"/>
        <v>0.21264834411876668</v>
      </c>
      <c r="I22" s="30">
        <f t="shared" si="6"/>
        <v>0.25284866562740499</v>
      </c>
      <c r="J22" s="30">
        <f t="shared" si="6"/>
        <v>0.26536555003053969</v>
      </c>
      <c r="K22" s="30">
        <f t="shared" si="6"/>
        <v>0.26547247302536958</v>
      </c>
      <c r="L22" s="30">
        <f t="shared" si="6"/>
        <v>0.26842506265870869</v>
      </c>
    </row>
    <row r="23" spans="2:18" x14ac:dyDescent="0.45">
      <c r="R23" t="s">
        <v>126</v>
      </c>
    </row>
    <row r="24" spans="2:18" x14ac:dyDescent="0.45">
      <c r="B24" t="s">
        <v>11</v>
      </c>
      <c r="C24" s="27">
        <f>IFERROR('Data Sheet'!B27,0)</f>
        <v>578.99</v>
      </c>
      <c r="D24" s="27">
        <f>IFERROR('Data Sheet'!C27,0)</f>
        <v>523.24</v>
      </c>
      <c r="E24" s="27">
        <f>IFERROR('Data Sheet'!D27,0)</f>
        <v>399.8</v>
      </c>
      <c r="F24" s="27">
        <f>IFERROR('Data Sheet'!E27,0)</f>
        <v>517.57000000000005</v>
      </c>
      <c r="G24" s="27">
        <f>IFERROR('Data Sheet'!F27,0)</f>
        <v>555.25</v>
      </c>
      <c r="H24" s="27">
        <f>IFERROR('Data Sheet'!G27,0)</f>
        <v>302.73</v>
      </c>
      <c r="I24" s="27">
        <f>IFERROR('Data Sheet'!H27,0)</f>
        <v>141.43</v>
      </c>
      <c r="J24" s="27">
        <f>IFERROR('Data Sheet'!I27,0)</f>
        <v>127.35</v>
      </c>
      <c r="K24" s="27">
        <f>IFERROR('Data Sheet'!J27,0)</f>
        <v>172</v>
      </c>
      <c r="L24" s="27">
        <f>IFERROR('Data Sheet'!K27,0)</f>
        <v>238.47</v>
      </c>
    </row>
    <row r="25" spans="2:18" x14ac:dyDescent="0.45">
      <c r="B25" s="29" t="s">
        <v>116</v>
      </c>
      <c r="C25" s="30">
        <f>C24/C9</f>
        <v>2.1137185624567165E-2</v>
      </c>
      <c r="D25" s="30">
        <f t="shared" ref="D25:L25" si="7">D24/D9</f>
        <v>1.8367657140811101E-2</v>
      </c>
      <c r="E25" s="30">
        <f t="shared" si="7"/>
        <v>1.2660536745957053E-2</v>
      </c>
      <c r="F25" s="30">
        <f t="shared" si="7"/>
        <v>1.9538714643484618E-2</v>
      </c>
      <c r="G25" s="30">
        <f t="shared" si="7"/>
        <v>1.9103134909589963E-2</v>
      </c>
      <c r="H25" s="30">
        <f t="shared" si="7"/>
        <v>9.2190331176246667E-3</v>
      </c>
      <c r="I25" s="30">
        <f t="shared" si="7"/>
        <v>4.2220254617122031E-3</v>
      </c>
      <c r="J25" s="30">
        <f t="shared" si="7"/>
        <v>3.2945719889203042E-3</v>
      </c>
      <c r="K25" s="30">
        <f t="shared" si="7"/>
        <v>3.9192738952660636E-3</v>
      </c>
      <c r="L25" s="30">
        <f t="shared" si="7"/>
        <v>4.9172265827574372E-3</v>
      </c>
    </row>
    <row r="27" spans="2:18" x14ac:dyDescent="0.45">
      <c r="B27" s="6" t="s">
        <v>10</v>
      </c>
      <c r="C27" s="27">
        <f>IFERROR('Data Sheet'!B26,0)</f>
        <v>1194.72</v>
      </c>
      <c r="D27" s="27">
        <f>IFERROR('Data Sheet'!C26,0)</f>
        <v>1037.53</v>
      </c>
      <c r="E27" s="27">
        <f>IFERROR('Data Sheet'!D26,0)</f>
        <v>1264.75</v>
      </c>
      <c r="F27" s="27">
        <f>IFERROR('Data Sheet'!E26,0)</f>
        <v>1499.84</v>
      </c>
      <c r="G27" s="27">
        <f>IFERROR('Data Sheet'!F26,0)</f>
        <v>1753.25</v>
      </c>
      <c r="H27" s="27">
        <f>IFERROR('Data Sheet'!G26,0)</f>
        <v>2052.7800000000002</v>
      </c>
      <c r="I27" s="27">
        <f>IFERROR('Data Sheet'!H26,0)</f>
        <v>2079.9499999999998</v>
      </c>
      <c r="J27" s="27">
        <f>IFERROR('Data Sheet'!I26,0)</f>
        <v>2143.7399999999998</v>
      </c>
      <c r="K27" s="27">
        <f>IFERROR('Data Sheet'!J26,0)</f>
        <v>2529.4299999999998</v>
      </c>
      <c r="L27" s="27">
        <f>IFERROR('Data Sheet'!K26,0)</f>
        <v>2556.64</v>
      </c>
    </row>
    <row r="28" spans="2:18" x14ac:dyDescent="0.45">
      <c r="B28" s="29" t="s">
        <v>115</v>
      </c>
      <c r="C28" s="30">
        <f>C27/C9</f>
        <v>4.3615638282842338E-2</v>
      </c>
      <c r="D28" s="30">
        <f t="shared" ref="D28:L28" si="8">D27/D9</f>
        <v>3.6421136215323252E-2</v>
      </c>
      <c r="E28" s="30">
        <f t="shared" si="8"/>
        <v>4.0051060153699802E-2</v>
      </c>
      <c r="F28" s="30">
        <f t="shared" si="8"/>
        <v>5.6620255754552942E-2</v>
      </c>
      <c r="G28" s="30">
        <f t="shared" si="8"/>
        <v>6.0319804196737693E-2</v>
      </c>
      <c r="H28" s="30">
        <f t="shared" si="8"/>
        <v>6.2513285116102019E-2</v>
      </c>
      <c r="I28" s="30">
        <f t="shared" si="8"/>
        <v>6.2091507170248854E-2</v>
      </c>
      <c r="J28" s="30">
        <f t="shared" si="8"/>
        <v>5.5459016533396244E-2</v>
      </c>
      <c r="K28" s="30">
        <f t="shared" si="8"/>
        <v>5.7636796330830464E-2</v>
      </c>
      <c r="L28" s="30">
        <f t="shared" si="8"/>
        <v>5.2717650734016741E-2</v>
      </c>
    </row>
    <row r="29" spans="2:18" x14ac:dyDescent="0.45">
      <c r="B29" t="s">
        <v>96</v>
      </c>
    </row>
    <row r="30" spans="2:18" x14ac:dyDescent="0.45">
      <c r="B30" s="37" t="s">
        <v>101</v>
      </c>
      <c r="C30" s="35">
        <f>IFERROR(C21-SUM(C24,C27),0)</f>
        <v>6120.1099999999969</v>
      </c>
      <c r="D30" s="35">
        <f t="shared" ref="D30:L30" si="9">IFERROR(D21-SUM(D24,D27),0)</f>
        <v>6613.1299999999992</v>
      </c>
      <c r="E30" s="35">
        <f t="shared" si="9"/>
        <v>8437.4699999999975</v>
      </c>
      <c r="F30" s="35">
        <f t="shared" si="9"/>
        <v>3614.01</v>
      </c>
      <c r="G30" s="35">
        <f t="shared" si="9"/>
        <v>4068.4800000000014</v>
      </c>
      <c r="H30" s="35">
        <f t="shared" si="9"/>
        <v>4627.3300000000008</v>
      </c>
      <c r="I30" s="35">
        <f t="shared" si="9"/>
        <v>6248.58</v>
      </c>
      <c r="J30" s="35">
        <f t="shared" si="9"/>
        <v>7986.4799999999959</v>
      </c>
      <c r="K30" s="35">
        <f t="shared" si="9"/>
        <v>8949.010000000002</v>
      </c>
      <c r="L30" s="35">
        <f t="shared" si="9"/>
        <v>10222.659999999996</v>
      </c>
    </row>
    <row r="31" spans="2:18" x14ac:dyDescent="0.45">
      <c r="B31" s="29" t="s">
        <v>114</v>
      </c>
      <c r="C31" s="30">
        <f>C30/C9</f>
        <v>0.22342683140083541</v>
      </c>
      <c r="D31" s="30">
        <f t="shared" ref="D31:L31" si="10">D30/D9</f>
        <v>0.23214529559592556</v>
      </c>
      <c r="E31" s="30">
        <f t="shared" si="10"/>
        <v>0.26719084286620864</v>
      </c>
      <c r="F31" s="30">
        <f t="shared" si="10"/>
        <v>0.1364319997463142</v>
      </c>
      <c r="G31" s="30">
        <f t="shared" si="10"/>
        <v>0.1399742860278588</v>
      </c>
      <c r="H31" s="30">
        <f t="shared" si="10"/>
        <v>0.14091602588503999</v>
      </c>
      <c r="I31" s="30">
        <f t="shared" si="10"/>
        <v>0.18653513299544391</v>
      </c>
      <c r="J31" s="30">
        <f t="shared" si="10"/>
        <v>0.20661196150822314</v>
      </c>
      <c r="K31" s="30">
        <f t="shared" si="10"/>
        <v>0.20391640279927306</v>
      </c>
      <c r="L31" s="30">
        <f t="shared" si="10"/>
        <v>0.2107901853419345</v>
      </c>
    </row>
    <row r="33" spans="2:12" x14ac:dyDescent="0.45">
      <c r="B33" t="s">
        <v>13</v>
      </c>
      <c r="C33" s="27">
        <f>IFERROR('Data Sheet'!B29,0)</f>
        <v>914.69</v>
      </c>
      <c r="D33" s="27">
        <f>IFERROR('Data Sheet'!C29,0)</f>
        <v>913.77</v>
      </c>
      <c r="E33" s="27">
        <f>IFERROR('Data Sheet'!D29,0)</f>
        <v>1211.57</v>
      </c>
      <c r="F33" s="27">
        <f>IFERROR('Data Sheet'!E29,0)</f>
        <v>911.04</v>
      </c>
      <c r="G33" s="27">
        <f>IFERROR('Data Sheet'!F29,0)</f>
        <v>600.88</v>
      </c>
      <c r="H33" s="27">
        <f>IFERROR('Data Sheet'!G29,0)</f>
        <v>822.8</v>
      </c>
      <c r="I33" s="27">
        <f>IFERROR('Data Sheet'!H29,0)</f>
        <v>514.69000000000005</v>
      </c>
      <c r="J33" s="27">
        <f>IFERROR('Data Sheet'!I29,0)</f>
        <v>1075.5</v>
      </c>
      <c r="K33" s="27">
        <f>IFERROR('Data Sheet'!J29,0)</f>
        <v>847.59</v>
      </c>
      <c r="L33" s="27">
        <f>IFERROR('Data Sheet'!K29,0)</f>
        <v>1439.45</v>
      </c>
    </row>
    <row r="34" spans="2:12" x14ac:dyDescent="0.45">
      <c r="B34" s="29" t="s">
        <v>113</v>
      </c>
      <c r="C34" s="30">
        <f>C33/C30</f>
        <v>0.14945646401780369</v>
      </c>
      <c r="D34" s="30">
        <f t="shared" ref="D34:L34" si="11">D33/D30</f>
        <v>0.13817511526312051</v>
      </c>
      <c r="E34" s="30">
        <f t="shared" si="11"/>
        <v>0.14359399203789766</v>
      </c>
      <c r="F34" s="30">
        <f t="shared" si="11"/>
        <v>0.25208563340997947</v>
      </c>
      <c r="G34" s="30">
        <f t="shared" si="11"/>
        <v>0.14769152115777878</v>
      </c>
      <c r="H34" s="30">
        <f t="shared" si="11"/>
        <v>0.17781312333462274</v>
      </c>
      <c r="I34" s="30">
        <f t="shared" si="11"/>
        <v>8.2369114262760515E-2</v>
      </c>
      <c r="J34" s="30">
        <f t="shared" si="11"/>
        <v>0.13466508399194646</v>
      </c>
      <c r="K34" s="30">
        <f t="shared" si="11"/>
        <v>9.4713269959470353E-2</v>
      </c>
      <c r="L34" s="30">
        <f t="shared" si="11"/>
        <v>0.14080973053980086</v>
      </c>
    </row>
    <row r="36" spans="2:12" x14ac:dyDescent="0.45">
      <c r="B36" s="37" t="s">
        <v>102</v>
      </c>
      <c r="C36" s="35">
        <f>IFERROR(C30-C33,0)</f>
        <v>5205.4199999999964</v>
      </c>
      <c r="D36" s="35">
        <f t="shared" ref="D36:L36" si="12">IFERROR(D30-D33,0)</f>
        <v>5699.3599999999988</v>
      </c>
      <c r="E36" s="35">
        <f t="shared" si="12"/>
        <v>7225.8999999999978</v>
      </c>
      <c r="F36" s="35">
        <f t="shared" si="12"/>
        <v>2702.9700000000003</v>
      </c>
      <c r="G36" s="35">
        <f t="shared" si="12"/>
        <v>3467.6000000000013</v>
      </c>
      <c r="H36" s="35">
        <f t="shared" si="12"/>
        <v>3804.5300000000007</v>
      </c>
      <c r="I36" s="35">
        <f t="shared" si="12"/>
        <v>5733.8899999999994</v>
      </c>
      <c r="J36" s="35">
        <f t="shared" si="12"/>
        <v>6910.9799999999959</v>
      </c>
      <c r="K36" s="35">
        <f t="shared" si="12"/>
        <v>8101.4200000000019</v>
      </c>
      <c r="L36" s="35">
        <f t="shared" si="12"/>
        <v>8783.2099999999955</v>
      </c>
    </row>
    <row r="37" spans="2:12" x14ac:dyDescent="0.45">
      <c r="B37" s="29" t="s">
        <v>112</v>
      </c>
      <c r="C37" s="30">
        <f>C36/C9</f>
        <v>0.19003424721296452</v>
      </c>
      <c r="D37" s="30">
        <f t="shared" ref="D37:L37" si="13">D36/D9</f>
        <v>0.20006859261916735</v>
      </c>
      <c r="E37" s="30">
        <f t="shared" si="13"/>
        <v>0.22882384310307913</v>
      </c>
      <c r="F37" s="30">
        <f t="shared" si="13"/>
        <v>0.10203945267287443</v>
      </c>
      <c r="G37" s="30">
        <f t="shared" si="13"/>
        <v>0.11930127080143031</v>
      </c>
      <c r="H37" s="30">
        <f t="shared" si="13"/>
        <v>0.11585930719451848</v>
      </c>
      <c r="I37" s="30">
        <f t="shared" si="13"/>
        <v>0.17117039931172295</v>
      </c>
      <c r="J37" s="30">
        <f t="shared" si="13"/>
        <v>0.17878854435797747</v>
      </c>
      <c r="K37" s="30">
        <f t="shared" si="13"/>
        <v>0.18460281349178143</v>
      </c>
      <c r="L37" s="30">
        <f t="shared" si="13"/>
        <v>0.18110887614350202</v>
      </c>
    </row>
    <row r="38" spans="2:12" x14ac:dyDescent="0.45">
      <c r="C38" t="s">
        <v>96</v>
      </c>
    </row>
    <row r="39" spans="2:12" x14ac:dyDescent="0.45">
      <c r="B39" t="s">
        <v>103</v>
      </c>
      <c r="C39">
        <f>IFERROR('Data Sheet'!B93,0)</f>
        <v>207.12</v>
      </c>
      <c r="D39">
        <f>IFERROR('Data Sheet'!C93,0)</f>
        <v>240.67</v>
      </c>
      <c r="E39">
        <f>IFERROR('Data Sheet'!D93,0)</f>
        <v>239.93</v>
      </c>
      <c r="F39">
        <f>IFERROR('Data Sheet'!E93,0)</f>
        <v>239.93</v>
      </c>
      <c r="G39">
        <f>IFERROR('Data Sheet'!F93,0)</f>
        <v>239.93</v>
      </c>
      <c r="H39">
        <f>IFERROR('Data Sheet'!G93,0)</f>
        <v>239.93</v>
      </c>
      <c r="I39">
        <f>IFERROR('Data Sheet'!H93,0)</f>
        <v>239.93</v>
      </c>
      <c r="J39">
        <f>IFERROR('Data Sheet'!I93,0)</f>
        <v>239.93</v>
      </c>
      <c r="K39">
        <f>IFERROR('Data Sheet'!J93,0)</f>
        <v>239.93</v>
      </c>
      <c r="L39">
        <f>IFERROR('Data Sheet'!K93,0)</f>
        <v>239.93</v>
      </c>
    </row>
    <row r="41" spans="2:12" x14ac:dyDescent="0.45">
      <c r="B41" t="s">
        <v>104</v>
      </c>
      <c r="C41" s="27">
        <f>IFERROR(C36/C39,0)</f>
        <v>25.132387022016204</v>
      </c>
      <c r="D41" s="27">
        <f t="shared" ref="D41:L41" si="14">IFERROR(D36/D39,0)</f>
        <v>23.681223251755512</v>
      </c>
      <c r="E41" s="27">
        <f t="shared" si="14"/>
        <v>30.1167007043721</v>
      </c>
      <c r="F41" s="27">
        <f t="shared" si="14"/>
        <v>11.265660817738508</v>
      </c>
      <c r="G41" s="27">
        <f t="shared" si="14"/>
        <v>14.452548660025846</v>
      </c>
      <c r="H41" s="27">
        <f t="shared" si="14"/>
        <v>15.85683324302922</v>
      </c>
      <c r="I41" s="27">
        <f t="shared" si="14"/>
        <v>23.898178635435332</v>
      </c>
      <c r="J41" s="27">
        <f t="shared" si="14"/>
        <v>28.804151210769788</v>
      </c>
      <c r="K41" s="27">
        <f t="shared" si="14"/>
        <v>33.765765014795988</v>
      </c>
      <c r="L41" s="27">
        <f t="shared" si="14"/>
        <v>36.607385487433817</v>
      </c>
    </row>
    <row r="42" spans="2:12" x14ac:dyDescent="0.45">
      <c r="B42" s="29" t="s">
        <v>107</v>
      </c>
      <c r="C42" s="29"/>
      <c r="D42" s="30">
        <f>IFERROR(D41/C41-1,0)</f>
        <v>-5.7740785584332266E-2</v>
      </c>
      <c r="E42" s="30">
        <f t="shared" ref="E42:L42" si="15">IFERROR(E41/D41-1,0)</f>
        <v>0.2717544353262884</v>
      </c>
      <c r="F42" s="30">
        <f t="shared" si="15"/>
        <v>-0.62593310175895023</v>
      </c>
      <c r="G42" s="30">
        <f t="shared" si="15"/>
        <v>0.28288512266136911</v>
      </c>
      <c r="H42" s="30">
        <f t="shared" si="15"/>
        <v>9.7165186295997019E-2</v>
      </c>
      <c r="I42" s="30">
        <f t="shared" si="15"/>
        <v>0.50712177325451457</v>
      </c>
      <c r="J42" s="30">
        <f t="shared" si="15"/>
        <v>0.2052864634654652</v>
      </c>
      <c r="K42" s="30">
        <f t="shared" si="15"/>
        <v>0.17225342860202275</v>
      </c>
      <c r="L42" s="30">
        <f t="shared" si="15"/>
        <v>8.4156851514918918E-2</v>
      </c>
    </row>
    <row r="44" spans="2:12" x14ac:dyDescent="0.45">
      <c r="B44" t="s">
        <v>105</v>
      </c>
      <c r="C44" s="27">
        <f>IFERROR('Data Sheet'!B31/fs!C39,0)</f>
        <v>3</v>
      </c>
      <c r="D44" s="27">
        <f>IFERROR('Data Sheet'!C31/fs!D39,0)</f>
        <v>0.99995844932895672</v>
      </c>
      <c r="E44" s="27">
        <f>IFERROR('Data Sheet'!D31/fs!E39,0)</f>
        <v>3.5000208394114947</v>
      </c>
      <c r="F44" s="27">
        <f>IFERROR('Data Sheet'!E31/fs!F39,0)</f>
        <v>2</v>
      </c>
      <c r="G44" s="27">
        <f>IFERROR('Data Sheet'!F31/fs!G39,0)</f>
        <v>2.7500104197057471</v>
      </c>
      <c r="H44" s="27">
        <f>IFERROR('Data Sheet'!G31/fs!H39,0)</f>
        <v>4</v>
      </c>
      <c r="I44" s="27">
        <f>IFERROR('Data Sheet'!H31/fs!I39,0)</f>
        <v>7.5000208394114951</v>
      </c>
      <c r="J44" s="27">
        <f>IFERROR('Data Sheet'!I31/fs!J39,0)</f>
        <v>10</v>
      </c>
      <c r="K44" s="27">
        <f>IFERROR('Data Sheet'!J31/fs!K39,0)</f>
        <v>11.500020839411494</v>
      </c>
      <c r="L44" s="27">
        <f>IFERROR('Data Sheet'!K31/fs!L39,0)</f>
        <v>13.500020839411494</v>
      </c>
    </row>
    <row r="45" spans="2:12" x14ac:dyDescent="0.45">
      <c r="B45" s="29" t="s">
        <v>106</v>
      </c>
      <c r="C45" s="30">
        <f>IFERROR(C44/C41,0)</f>
        <v>0.11936788962273946</v>
      </c>
      <c r="D45" s="30">
        <f t="shared" ref="D45:L45" si="16">IFERROR(D44/D41,0)</f>
        <v>4.2225793773335962E-2</v>
      </c>
      <c r="E45" s="30">
        <f t="shared" si="16"/>
        <v>0.11621528114144952</v>
      </c>
      <c r="F45" s="30">
        <f t="shared" si="16"/>
        <v>0.17753064221948447</v>
      </c>
      <c r="G45" s="30">
        <f t="shared" si="16"/>
        <v>0.19027857884415725</v>
      </c>
      <c r="H45" s="30">
        <f t="shared" si="16"/>
        <v>0.25225717762772271</v>
      </c>
      <c r="I45" s="30">
        <f t="shared" si="16"/>
        <v>0.31383231976895271</v>
      </c>
      <c r="J45" s="30">
        <f t="shared" si="16"/>
        <v>0.34717218107996284</v>
      </c>
      <c r="K45" s="30">
        <f t="shared" si="16"/>
        <v>0.34058226829370647</v>
      </c>
      <c r="L45" s="30">
        <f t="shared" si="16"/>
        <v>0.36877861283061675</v>
      </c>
    </row>
    <row r="47" spans="2:12" x14ac:dyDescent="0.45">
      <c r="B47" t="s">
        <v>117</v>
      </c>
      <c r="C47" s="28">
        <f>IFERROR(1-C45,0)</f>
        <v>0.88063211037726052</v>
      </c>
      <c r="D47" s="28">
        <f t="shared" ref="D47:L47" si="17">IFERROR(1-D45,0)</f>
        <v>0.95777420622666409</v>
      </c>
      <c r="E47" s="28">
        <f t="shared" si="17"/>
        <v>0.88378471885855048</v>
      </c>
      <c r="F47" s="28">
        <f t="shared" si="17"/>
        <v>0.82246935778051555</v>
      </c>
      <c r="G47" s="28">
        <f t="shared" si="17"/>
        <v>0.80972142115584278</v>
      </c>
      <c r="H47" s="28">
        <f t="shared" si="17"/>
        <v>0.74774282237227729</v>
      </c>
      <c r="I47" s="28">
        <f t="shared" si="17"/>
        <v>0.68616768023104724</v>
      </c>
      <c r="J47" s="28">
        <f t="shared" si="17"/>
        <v>0.65282781892003716</v>
      </c>
      <c r="K47" s="28">
        <f t="shared" si="17"/>
        <v>0.65941773170629348</v>
      </c>
      <c r="L47" s="28">
        <f t="shared" si="17"/>
        <v>0.63122138716938325</v>
      </c>
    </row>
    <row r="49" spans="2:14" x14ac:dyDescent="0.45">
      <c r="B49" s="57" t="s">
        <v>118</v>
      </c>
      <c r="C49" s="57"/>
      <c r="D49" s="57"/>
      <c r="E49" s="57"/>
      <c r="F49" s="57"/>
      <c r="G49" s="57"/>
      <c r="H49" s="57"/>
      <c r="I49" s="57"/>
      <c r="J49" s="57"/>
      <c r="K49" s="57"/>
      <c r="L49" s="57"/>
    </row>
    <row r="50" spans="2:14" x14ac:dyDescent="0.45">
      <c r="B50" s="6" t="s">
        <v>24</v>
      </c>
      <c r="C50" s="27">
        <f>IFERROR('Data Sheet'!B57,0)</f>
        <v>207.12</v>
      </c>
      <c r="D50" s="27">
        <f>IFERROR('Data Sheet'!C57,0)</f>
        <v>240.66</v>
      </c>
      <c r="E50" s="27">
        <f>IFERROR('Data Sheet'!D57,0)</f>
        <v>239.93</v>
      </c>
      <c r="F50" s="27">
        <f>IFERROR('Data Sheet'!E57,0)</f>
        <v>239.93</v>
      </c>
      <c r="G50" s="27">
        <f>IFERROR('Data Sheet'!F57,0)</f>
        <v>239.93</v>
      </c>
      <c r="H50" s="27">
        <f>IFERROR('Data Sheet'!G57,0)</f>
        <v>239.93</v>
      </c>
      <c r="I50" s="27">
        <f>IFERROR('Data Sheet'!H57,0)</f>
        <v>239.93</v>
      </c>
      <c r="J50" s="27">
        <f>IFERROR('Data Sheet'!I57,0)</f>
        <v>239.93</v>
      </c>
      <c r="K50" s="27">
        <f>IFERROR('Data Sheet'!J57,0)</f>
        <v>239.93</v>
      </c>
      <c r="L50" s="27">
        <f>IFERROR('Data Sheet'!K57,0)</f>
        <v>239.93</v>
      </c>
    </row>
    <row r="51" spans="2:14" x14ac:dyDescent="0.45">
      <c r="B51" s="6" t="s">
        <v>25</v>
      </c>
      <c r="C51" s="27">
        <f>IFERROR('Data Sheet'!B58,0)</f>
        <v>25430.97</v>
      </c>
      <c r="D51" s="27">
        <f>IFERROR('Data Sheet'!C58,0)</f>
        <v>32741.82</v>
      </c>
      <c r="E51" s="27">
        <f>IFERROR('Data Sheet'!D58,0)</f>
        <v>36399.74</v>
      </c>
      <c r="F51" s="27">
        <f>IFERROR('Data Sheet'!E58,0)</f>
        <v>38074.18</v>
      </c>
      <c r="G51" s="27">
        <f>IFERROR('Data Sheet'!F58,0)</f>
        <v>41169.129999999997</v>
      </c>
      <c r="H51" s="27">
        <f>IFERROR('Data Sheet'!G58,0)</f>
        <v>45024.52</v>
      </c>
      <c r="I51" s="27">
        <f>IFERROR('Data Sheet'!H58,0)</f>
        <v>46222.85</v>
      </c>
      <c r="J51" s="27">
        <f>IFERROR('Data Sheet'!I58,0)</f>
        <v>47771.29</v>
      </c>
      <c r="K51" s="27">
        <f>IFERROR('Data Sheet'!J58,0)</f>
        <v>55755.45</v>
      </c>
      <c r="L51" s="27">
        <f>IFERROR('Data Sheet'!K58,0)</f>
        <v>63426.82</v>
      </c>
    </row>
    <row r="52" spans="2:14" x14ac:dyDescent="0.45">
      <c r="B52" s="6" t="s">
        <v>71</v>
      </c>
      <c r="C52" s="27">
        <f>IFERROR('Data Sheet'!B59,0)</f>
        <v>8996.11</v>
      </c>
      <c r="D52" s="27">
        <f>IFERROR('Data Sheet'!C59,0)</f>
        <v>8496.76</v>
      </c>
      <c r="E52" s="27">
        <f>IFERROR('Data Sheet'!D59,0)</f>
        <v>9831.77</v>
      </c>
      <c r="F52" s="27">
        <f>IFERROR('Data Sheet'!E59,0)</f>
        <v>10385.27</v>
      </c>
      <c r="G52" s="27">
        <f>IFERROR('Data Sheet'!F59,0)</f>
        <v>10514.36</v>
      </c>
      <c r="H52" s="27">
        <f>IFERROR('Data Sheet'!G59,0)</f>
        <v>8314.8799999999992</v>
      </c>
      <c r="I52" s="27">
        <f>IFERROR('Data Sheet'!H59,0)</f>
        <v>3868.58</v>
      </c>
      <c r="J52" s="27">
        <f>IFERROR('Data Sheet'!I59,0)</f>
        <v>1290.3</v>
      </c>
      <c r="K52" s="27">
        <f>IFERROR('Data Sheet'!J59,0)</f>
        <v>6885.87</v>
      </c>
      <c r="L52" s="27">
        <f>IFERROR('Data Sheet'!K59,0)</f>
        <v>3273.67</v>
      </c>
    </row>
    <row r="53" spans="2:14" x14ac:dyDescent="0.45">
      <c r="B53" s="6" t="s">
        <v>72</v>
      </c>
      <c r="C53" s="27">
        <f>IFERROR('Data Sheet'!B60,0)</f>
        <v>14088.99</v>
      </c>
      <c r="D53" s="27">
        <f>IFERROR('Data Sheet'!C60,0)</f>
        <v>13948.26</v>
      </c>
      <c r="E53" s="27">
        <f>IFERROR('Data Sheet'!D60,0)</f>
        <v>14624.01</v>
      </c>
      <c r="F53" s="27">
        <f>IFERROR('Data Sheet'!E60,0)</f>
        <v>15598.01</v>
      </c>
      <c r="G53" s="27">
        <f>IFERROR('Data Sheet'!F60,0)</f>
        <v>12666.11</v>
      </c>
      <c r="H53" s="27">
        <f>IFERROR('Data Sheet'!G60,0)</f>
        <v>14614.99</v>
      </c>
      <c r="I53" s="27">
        <f>IFERROR('Data Sheet'!H60,0)</f>
        <v>17290.86</v>
      </c>
      <c r="J53" s="27">
        <f>IFERROR('Data Sheet'!I60,0)</f>
        <v>20474.39</v>
      </c>
      <c r="K53" s="27">
        <f>IFERROR('Data Sheet'!J60,0)</f>
        <v>17830.650000000001</v>
      </c>
      <c r="L53" s="27">
        <f>IFERROR('Data Sheet'!K60,0)</f>
        <v>18367.400000000001</v>
      </c>
    </row>
    <row r="54" spans="2:14" x14ac:dyDescent="0.45">
      <c r="B54" s="33" t="s">
        <v>119</v>
      </c>
      <c r="C54" s="35">
        <f>IFERROR('Data Sheet'!B61,0)</f>
        <v>48723.19</v>
      </c>
      <c r="D54" s="35">
        <f>IFERROR('Data Sheet'!C61,0)</f>
        <v>55427.5</v>
      </c>
      <c r="E54" s="35">
        <f>IFERROR('Data Sheet'!D61,0)</f>
        <v>61095.45</v>
      </c>
      <c r="F54" s="35">
        <f>IFERROR('Data Sheet'!E61,0)</f>
        <v>64297.39</v>
      </c>
      <c r="G54" s="35">
        <f>IFERROR('Data Sheet'!F61,0)</f>
        <v>64589.53</v>
      </c>
      <c r="H54" s="35">
        <f>IFERROR('Data Sheet'!G61,0)</f>
        <v>68194.320000000007</v>
      </c>
      <c r="I54" s="35">
        <f>IFERROR('Data Sheet'!H61,0)</f>
        <v>67622.22</v>
      </c>
      <c r="J54" s="35">
        <f>IFERROR('Data Sheet'!I61,0)</f>
        <v>69775.91</v>
      </c>
      <c r="K54" s="35">
        <f>IFERROR('Data Sheet'!J61,0)</f>
        <v>80711.899999999994</v>
      </c>
      <c r="L54" s="35">
        <f>IFERROR('Data Sheet'!K61,0)</f>
        <v>85307.82</v>
      </c>
      <c r="N54" t="s">
        <v>96</v>
      </c>
    </row>
    <row r="55" spans="2:14" x14ac:dyDescent="0.45">
      <c r="B55" s="1"/>
      <c r="C55" s="27"/>
      <c r="D55" s="27"/>
      <c r="E55" s="27"/>
      <c r="F55" s="27"/>
      <c r="G55" s="27"/>
      <c r="H55" s="27"/>
      <c r="I55" s="27"/>
      <c r="J55" s="27"/>
      <c r="K55" s="27"/>
      <c r="L55" s="27"/>
    </row>
    <row r="56" spans="2:14" x14ac:dyDescent="0.45">
      <c r="B56" s="6" t="s">
        <v>27</v>
      </c>
      <c r="C56" s="27">
        <f>IFERROR('Data Sheet'!B62,0)</f>
        <v>12682.47</v>
      </c>
      <c r="D56" s="27">
        <f>IFERROR('Data Sheet'!C62,0)</f>
        <v>15872.25</v>
      </c>
      <c r="E56" s="27">
        <f>IFERROR('Data Sheet'!D62,0)</f>
        <v>17675.169999999998</v>
      </c>
      <c r="F56" s="27">
        <f>IFERROR('Data Sheet'!E62,0)</f>
        <v>18852.650000000001</v>
      </c>
      <c r="G56" s="27">
        <f>IFERROR('Data Sheet'!F62,0)</f>
        <v>21836.54</v>
      </c>
      <c r="H56" s="27">
        <f>IFERROR('Data Sheet'!G62,0)</f>
        <v>22846.91</v>
      </c>
      <c r="I56" s="27">
        <f>IFERROR('Data Sheet'!H62,0)</f>
        <v>21552.98</v>
      </c>
      <c r="J56" s="27">
        <f>IFERROR('Data Sheet'!I62,0)</f>
        <v>22665.16</v>
      </c>
      <c r="K56" s="27">
        <f>IFERROR('Data Sheet'!J62,0)</f>
        <v>24065.439999999999</v>
      </c>
      <c r="L56" s="27">
        <f>IFERROR('Data Sheet'!K62,0)</f>
        <v>23211.38</v>
      </c>
    </row>
    <row r="57" spans="2:14" x14ac:dyDescent="0.45">
      <c r="B57" s="6" t="s">
        <v>28</v>
      </c>
      <c r="C57" s="27">
        <f>IFERROR('Data Sheet'!B63,0)</f>
        <v>2038.61</v>
      </c>
      <c r="D57" s="27">
        <f>IFERROR('Data Sheet'!C63,0)</f>
        <v>2175.4499999999998</v>
      </c>
      <c r="E57" s="27">
        <f>IFERROR('Data Sheet'!D63,0)</f>
        <v>2801.38</v>
      </c>
      <c r="F57" s="27">
        <f>IFERROR('Data Sheet'!E63,0)</f>
        <v>2465.16</v>
      </c>
      <c r="G57" s="27">
        <f>IFERROR('Data Sheet'!F63,0)</f>
        <v>1411.15</v>
      </c>
      <c r="H57" s="27">
        <f>IFERROR('Data Sheet'!G63,0)</f>
        <v>1220.3399999999999</v>
      </c>
      <c r="I57" s="27">
        <f>IFERROR('Data Sheet'!H63,0)</f>
        <v>1566.83</v>
      </c>
      <c r="J57" s="27">
        <f>IFERROR('Data Sheet'!I63,0)</f>
        <v>1286.8</v>
      </c>
      <c r="K57" s="27">
        <f>IFERROR('Data Sheet'!J63,0)</f>
        <v>4973.16</v>
      </c>
      <c r="L57" s="27">
        <f>IFERROR('Data Sheet'!K63,0)</f>
        <v>5353.88</v>
      </c>
    </row>
    <row r="58" spans="2:14" x14ac:dyDescent="0.45">
      <c r="B58" s="6" t="s">
        <v>29</v>
      </c>
      <c r="C58" s="27">
        <f>IFERROR('Data Sheet'!B64,0)</f>
        <v>2716.3</v>
      </c>
      <c r="D58" s="27">
        <f>IFERROR('Data Sheet'!C64,0)</f>
        <v>1829.88</v>
      </c>
      <c r="E58" s="27">
        <f>IFERROR('Data Sheet'!D64,0)</f>
        <v>1191.8800000000001</v>
      </c>
      <c r="F58" s="27">
        <f>IFERROR('Data Sheet'!E64,0)</f>
        <v>7142.87</v>
      </c>
      <c r="G58" s="27">
        <f>IFERROR('Data Sheet'!F64,0)</f>
        <v>7902.53</v>
      </c>
      <c r="H58" s="27">
        <f>IFERROR('Data Sheet'!G64,0)</f>
        <v>10143.11</v>
      </c>
      <c r="I58" s="27">
        <f>IFERROR('Data Sheet'!H64,0)</f>
        <v>9612.4500000000007</v>
      </c>
      <c r="J58" s="27">
        <f>IFERROR('Data Sheet'!I64,0)</f>
        <v>12848.59</v>
      </c>
      <c r="K58" s="27">
        <f>IFERROR('Data Sheet'!J64,0)</f>
        <v>14824.34</v>
      </c>
      <c r="L58" s="27">
        <f>IFERROR('Data Sheet'!K64,0)</f>
        <v>15025.77</v>
      </c>
    </row>
    <row r="59" spans="2:14" x14ac:dyDescent="0.45">
      <c r="B59" s="6" t="s">
        <v>73</v>
      </c>
      <c r="C59" s="27">
        <f>IFERROR('Data Sheet'!B65-SUM('Data Sheet'!B67:B69),0)</f>
        <v>9513.6500000000015</v>
      </c>
      <c r="D59" s="27">
        <f>IFERROR('Data Sheet'!C65-SUM('Data Sheet'!C67:C69),0)</f>
        <v>9170.07</v>
      </c>
      <c r="E59" s="27">
        <f>IFERROR('Data Sheet'!D65-SUM('Data Sheet'!D67:D69),0)</f>
        <v>10250.759999999995</v>
      </c>
      <c r="F59" s="27">
        <f>IFERROR('Data Sheet'!E65-SUM('Data Sheet'!E67:E69),0)</f>
        <v>11211.36</v>
      </c>
      <c r="G59" s="27">
        <f>IFERROR('Data Sheet'!F65-SUM('Data Sheet'!F67:F69),0)</f>
        <v>9393.5299999999988</v>
      </c>
      <c r="H59" s="27">
        <f>IFERROR('Data Sheet'!G65-SUM('Data Sheet'!G67:G69),0)</f>
        <v>10200.18</v>
      </c>
      <c r="I59" s="27">
        <f>IFERROR('Data Sheet'!H65-SUM('Data Sheet'!H67:H69),0)</f>
        <v>10386.029999999999</v>
      </c>
      <c r="J59" s="27">
        <f>IFERROR('Data Sheet'!I65-SUM('Data Sheet'!I67:I69),0)</f>
        <v>8532.2900000000009</v>
      </c>
      <c r="K59" s="27">
        <f>IFERROR('Data Sheet'!J65-SUM('Data Sheet'!J67:J69),0)</f>
        <v>9127.11</v>
      </c>
      <c r="L59" s="27">
        <f>IFERROR('Data Sheet'!K65-SUM('Data Sheet'!K67:K69),0)</f>
        <v>10078.449999999997</v>
      </c>
    </row>
    <row r="60" spans="2:14" x14ac:dyDescent="0.45">
      <c r="B60" s="1" t="s">
        <v>120</v>
      </c>
      <c r="C60" s="31">
        <f>IFERROR(SUM(C56:C59),0)</f>
        <v>26951.030000000002</v>
      </c>
      <c r="D60" s="31">
        <f t="shared" ref="D60:L60" si="18">IFERROR(SUM(D56:D59),0)</f>
        <v>29047.65</v>
      </c>
      <c r="E60" s="31">
        <f t="shared" si="18"/>
        <v>31919.189999999995</v>
      </c>
      <c r="F60" s="31">
        <f t="shared" si="18"/>
        <v>39672.04</v>
      </c>
      <c r="G60" s="31">
        <f t="shared" si="18"/>
        <v>40543.75</v>
      </c>
      <c r="H60" s="31">
        <f t="shared" si="18"/>
        <v>44410.54</v>
      </c>
      <c r="I60" s="31">
        <f t="shared" si="18"/>
        <v>43118.289999999994</v>
      </c>
      <c r="J60" s="31">
        <f t="shared" si="18"/>
        <v>45332.840000000004</v>
      </c>
      <c r="K60" s="31">
        <f t="shared" si="18"/>
        <v>52990.05</v>
      </c>
      <c r="L60" s="31">
        <f t="shared" si="18"/>
        <v>53669.479999999996</v>
      </c>
    </row>
    <row r="61" spans="2:14" x14ac:dyDescent="0.45">
      <c r="B61" s="1"/>
      <c r="C61" s="27"/>
      <c r="D61" s="27"/>
      <c r="E61" s="27"/>
      <c r="F61" s="27"/>
      <c r="G61" s="27"/>
      <c r="H61" s="27"/>
      <c r="I61" s="27"/>
      <c r="J61" s="27"/>
      <c r="K61" s="27"/>
      <c r="L61" s="27"/>
    </row>
    <row r="62" spans="2:14" x14ac:dyDescent="0.45">
      <c r="B62" s="6" t="s">
        <v>78</v>
      </c>
      <c r="C62" s="27">
        <f>IFERROR('Data Sheet'!B67,0)</f>
        <v>5106.13</v>
      </c>
      <c r="D62" s="27">
        <f>IFERROR('Data Sheet'!C67,0)</f>
        <v>6775.66</v>
      </c>
      <c r="E62" s="27">
        <f>IFERROR('Data Sheet'!D67,0)</f>
        <v>7202.61</v>
      </c>
      <c r="F62" s="27">
        <f>IFERROR('Data Sheet'!E67,0)</f>
        <v>7815.28</v>
      </c>
      <c r="G62" s="27">
        <f>IFERROR('Data Sheet'!F67,0)</f>
        <v>8884.2000000000007</v>
      </c>
      <c r="H62" s="27">
        <f>IFERROR('Data Sheet'!G67,0)</f>
        <v>9421.24</v>
      </c>
      <c r="I62" s="27">
        <f>IFERROR('Data Sheet'!H67,0)</f>
        <v>9061.4</v>
      </c>
      <c r="J62" s="27">
        <f>IFERROR('Data Sheet'!I67,0)</f>
        <v>10484.59</v>
      </c>
      <c r="K62" s="27">
        <f>IFERROR('Data Sheet'!J67,0)</f>
        <v>11438.51</v>
      </c>
      <c r="L62" s="27">
        <f>IFERROR('Data Sheet'!K67,0)</f>
        <v>11249.37</v>
      </c>
    </row>
    <row r="63" spans="2:14" x14ac:dyDescent="0.45">
      <c r="B63" s="6" t="s">
        <v>45</v>
      </c>
      <c r="C63" s="27">
        <f>IFERROR('Data Sheet'!B68,0)</f>
        <v>5667.99</v>
      </c>
      <c r="D63" s="27">
        <f>IFERROR('Data Sheet'!C68,0)</f>
        <v>6422.54</v>
      </c>
      <c r="E63" s="27">
        <f>IFERROR('Data Sheet'!D68,0)</f>
        <v>6832.81</v>
      </c>
      <c r="F63" s="27">
        <f>IFERROR('Data Sheet'!E68,0)</f>
        <v>6880.69</v>
      </c>
      <c r="G63" s="27">
        <f>IFERROR('Data Sheet'!F68,0)</f>
        <v>7885.98</v>
      </c>
      <c r="H63" s="27">
        <f>IFERROR('Data Sheet'!G68,0)</f>
        <v>7874.99</v>
      </c>
      <c r="I63" s="27">
        <f>IFERROR('Data Sheet'!H68,0)</f>
        <v>8997.02</v>
      </c>
      <c r="J63" s="27">
        <f>IFERROR('Data Sheet'!I68,0)</f>
        <v>8925.1299999999992</v>
      </c>
      <c r="K63" s="27">
        <f>IFERROR('Data Sheet'!J68,0)</f>
        <v>10513.05</v>
      </c>
      <c r="L63" s="27">
        <f>IFERROR('Data Sheet'!K68,0)</f>
        <v>9868.2900000000009</v>
      </c>
    </row>
    <row r="64" spans="2:14" x14ac:dyDescent="0.45">
      <c r="B64" s="4" t="s">
        <v>87</v>
      </c>
      <c r="C64" s="27">
        <f>IFERROR('Data Sheet'!B69,0)</f>
        <v>10998.04</v>
      </c>
      <c r="D64" s="27">
        <f>IFERROR('Data Sheet'!C69,0)</f>
        <v>13181.65</v>
      </c>
      <c r="E64" s="27">
        <f>IFERROR('Data Sheet'!D69,0)</f>
        <v>15140.84</v>
      </c>
      <c r="F64" s="27">
        <f>IFERROR('Data Sheet'!E69,0)</f>
        <v>9929.3799999999992</v>
      </c>
      <c r="G64" s="27">
        <f>IFERROR('Data Sheet'!F69,0)</f>
        <v>7275.6</v>
      </c>
      <c r="H64" s="27">
        <f>IFERROR('Data Sheet'!G69,0)</f>
        <v>6487.55</v>
      </c>
      <c r="I64" s="27">
        <f>IFERROR('Data Sheet'!H69,0)</f>
        <v>6445.51</v>
      </c>
      <c r="J64" s="27">
        <f>IFERROR('Data Sheet'!I69,0)</f>
        <v>5033.3500000000004</v>
      </c>
      <c r="K64" s="27">
        <f>IFERROR('Data Sheet'!J69,0)</f>
        <v>5770.29</v>
      </c>
      <c r="L64" s="27">
        <f>IFERROR('Data Sheet'!K69,0)</f>
        <v>10520.68</v>
      </c>
    </row>
    <row r="65" spans="2:14" x14ac:dyDescent="0.45">
      <c r="B65" s="36" t="s">
        <v>121</v>
      </c>
      <c r="C65" s="35">
        <f>IFERROR(SUM(C62:C64),0)</f>
        <v>21772.16</v>
      </c>
      <c r="D65" s="35">
        <f t="shared" ref="D65:L65" si="19">IFERROR(SUM(D62:D64),0)</f>
        <v>26379.85</v>
      </c>
      <c r="E65" s="35">
        <f t="shared" si="19"/>
        <v>29176.260000000002</v>
      </c>
      <c r="F65" s="35">
        <f t="shared" si="19"/>
        <v>24625.35</v>
      </c>
      <c r="G65" s="35">
        <f t="shared" si="19"/>
        <v>24045.78</v>
      </c>
      <c r="H65" s="35">
        <f t="shared" si="19"/>
        <v>23783.78</v>
      </c>
      <c r="I65" s="35">
        <f t="shared" si="19"/>
        <v>24503.93</v>
      </c>
      <c r="J65" s="35">
        <f t="shared" si="19"/>
        <v>24443.07</v>
      </c>
      <c r="K65" s="35">
        <f t="shared" si="19"/>
        <v>27721.85</v>
      </c>
      <c r="L65" s="35">
        <f t="shared" si="19"/>
        <v>31638.340000000004</v>
      </c>
    </row>
    <row r="66" spans="2:14" x14ac:dyDescent="0.45">
      <c r="C66" s="27"/>
      <c r="D66" s="27"/>
      <c r="E66" s="27"/>
      <c r="F66" s="27"/>
      <c r="G66" s="27"/>
      <c r="H66" s="27"/>
      <c r="I66" s="27"/>
      <c r="J66" s="27"/>
      <c r="K66" s="27"/>
      <c r="L66" s="27"/>
      <c r="N66" t="s">
        <v>124</v>
      </c>
    </row>
    <row r="67" spans="2:14" x14ac:dyDescent="0.45">
      <c r="B67" s="36" t="s">
        <v>122</v>
      </c>
      <c r="C67" s="35">
        <f>SUM(C65,C60)</f>
        <v>48723.19</v>
      </c>
      <c r="D67" s="35">
        <f t="shared" ref="D67:L67" si="20">SUM(D65,D60)</f>
        <v>55427.5</v>
      </c>
      <c r="E67" s="35">
        <f t="shared" si="20"/>
        <v>61095.45</v>
      </c>
      <c r="F67" s="35">
        <f t="shared" si="20"/>
        <v>64297.39</v>
      </c>
      <c r="G67" s="35">
        <f t="shared" si="20"/>
        <v>64589.53</v>
      </c>
      <c r="H67" s="35">
        <f t="shared" si="20"/>
        <v>68194.320000000007</v>
      </c>
      <c r="I67" s="35">
        <f t="shared" si="20"/>
        <v>67622.22</v>
      </c>
      <c r="J67" s="35">
        <f t="shared" si="20"/>
        <v>69775.91</v>
      </c>
      <c r="K67" s="35">
        <f t="shared" si="20"/>
        <v>80711.899999999994</v>
      </c>
      <c r="L67" s="35">
        <f t="shared" si="20"/>
        <v>85307.82</v>
      </c>
    </row>
    <row r="69" spans="2:14" x14ac:dyDescent="0.45">
      <c r="B69" s="29" t="s">
        <v>123</v>
      </c>
      <c r="C69" s="29" t="b">
        <f>C67=C54</f>
        <v>1</v>
      </c>
      <c r="D69" s="29" t="b">
        <f t="shared" ref="D69:L69" si="21">D67=D54</f>
        <v>1</v>
      </c>
      <c r="E69" s="29" t="b">
        <f t="shared" si="21"/>
        <v>1</v>
      </c>
      <c r="F69" s="29" t="b">
        <f t="shared" si="21"/>
        <v>1</v>
      </c>
      <c r="G69" s="29" t="b">
        <f t="shared" si="21"/>
        <v>1</v>
      </c>
      <c r="H69" s="29" t="b">
        <f t="shared" si="21"/>
        <v>1</v>
      </c>
      <c r="I69" s="29" t="b">
        <f t="shared" si="21"/>
        <v>1</v>
      </c>
      <c r="J69" s="29" t="b">
        <f t="shared" si="21"/>
        <v>1</v>
      </c>
      <c r="K69" s="29" t="b">
        <f t="shared" si="21"/>
        <v>1</v>
      </c>
      <c r="L69" s="29" t="b">
        <f t="shared" si="21"/>
        <v>1</v>
      </c>
    </row>
    <row r="71" spans="2:14" x14ac:dyDescent="0.45">
      <c r="B71" s="57" t="s">
        <v>125</v>
      </c>
      <c r="C71" s="57"/>
      <c r="D71" s="57"/>
      <c r="E71" s="57"/>
      <c r="F71" s="57"/>
      <c r="G71" s="57"/>
      <c r="H71" s="57"/>
      <c r="I71" s="57"/>
      <c r="J71" s="57"/>
      <c r="K71" s="57"/>
      <c r="L71" s="57"/>
    </row>
    <row r="72" spans="2:14" x14ac:dyDescent="0.45">
      <c r="B72" s="6" t="s">
        <v>32</v>
      </c>
      <c r="C72" s="32">
        <f>IFERROR('Data Sheet'!B82,0)</f>
        <v>5615.74</v>
      </c>
      <c r="D72" s="32">
        <f>IFERROR('Data Sheet'!C82,0)</f>
        <v>6685.86</v>
      </c>
      <c r="E72" s="32">
        <f>IFERROR('Data Sheet'!D82,0)</f>
        <v>7082.21</v>
      </c>
      <c r="F72" s="32">
        <f>IFERROR('Data Sheet'!E82,0)</f>
        <v>3907.15</v>
      </c>
      <c r="G72" s="32">
        <f>IFERROR('Data Sheet'!F82,0)</f>
        <v>2196.4499999999998</v>
      </c>
      <c r="H72" s="32">
        <f>IFERROR('Data Sheet'!G82,0)</f>
        <v>6554.77</v>
      </c>
      <c r="I72" s="32">
        <f>IFERROR('Data Sheet'!H82,0)</f>
        <v>6170.37</v>
      </c>
      <c r="J72" s="32">
        <f>IFERROR('Data Sheet'!I82,0)</f>
        <v>8984.5400000000009</v>
      </c>
      <c r="K72" s="32">
        <f>IFERROR('Data Sheet'!J82,0)</f>
        <v>4959.33</v>
      </c>
      <c r="L72" s="32">
        <f>IFERROR('Data Sheet'!K82,0)</f>
        <v>12134.98</v>
      </c>
    </row>
    <row r="73" spans="2:14" x14ac:dyDescent="0.45">
      <c r="B73" s="6" t="s">
        <v>33</v>
      </c>
      <c r="C73" s="32">
        <f>IFERROR('Data Sheet'!B83,0)</f>
        <v>-1502.35</v>
      </c>
      <c r="D73" s="32">
        <f>IFERROR('Data Sheet'!C83,0)</f>
        <v>-3949.13</v>
      </c>
      <c r="E73" s="32">
        <f>IFERROR('Data Sheet'!D83,0)</f>
        <v>-4186.1499999999996</v>
      </c>
      <c r="F73" s="32">
        <f>IFERROR('Data Sheet'!E83,0)</f>
        <v>-3103.8</v>
      </c>
      <c r="G73" s="32">
        <f>IFERROR('Data Sheet'!F83,0)</f>
        <v>-310.08</v>
      </c>
      <c r="H73" s="32">
        <f>IFERROR('Data Sheet'!G83,0)</f>
        <v>-2225.3200000000002</v>
      </c>
      <c r="I73" s="32">
        <f>IFERROR('Data Sheet'!H83,0)</f>
        <v>406.53</v>
      </c>
      <c r="J73" s="32">
        <f>IFERROR('Data Sheet'!I83,0)</f>
        <v>-5555.86</v>
      </c>
      <c r="K73" s="32">
        <f>IFERROR('Data Sheet'!J83,0)</f>
        <v>-7219.92</v>
      </c>
      <c r="L73" s="32">
        <f>IFERROR('Data Sheet'!K83,0)</f>
        <v>-762.9</v>
      </c>
    </row>
    <row r="74" spans="2:14" x14ac:dyDescent="0.45">
      <c r="B74" s="6" t="s">
        <v>34</v>
      </c>
      <c r="C74" s="32">
        <f>IFERROR('Data Sheet'!B84,0)</f>
        <v>-1186.53</v>
      </c>
      <c r="D74" s="32">
        <f>IFERROR('Data Sheet'!C84,0)</f>
        <v>-1888.53</v>
      </c>
      <c r="E74" s="32">
        <f>IFERROR('Data Sheet'!D84,0)</f>
        <v>-2285.39</v>
      </c>
      <c r="F74" s="32">
        <f>IFERROR('Data Sheet'!E84,0)</f>
        <v>-1539.26</v>
      </c>
      <c r="G74" s="32">
        <f>IFERROR('Data Sheet'!F84,0)</f>
        <v>-2730.52</v>
      </c>
      <c r="H74" s="32">
        <f>IFERROR('Data Sheet'!G84,0)</f>
        <v>-5715.14</v>
      </c>
      <c r="I74" s="32">
        <f>IFERROR('Data Sheet'!H84,0)</f>
        <v>-5980.48</v>
      </c>
      <c r="J74" s="32">
        <f>IFERROR('Data Sheet'!I84,0)</f>
        <v>-5193.46</v>
      </c>
      <c r="K74" s="32">
        <f>IFERROR('Data Sheet'!J84,0)</f>
        <v>2376.0700000000002</v>
      </c>
      <c r="L74" s="32">
        <f>IFERROR('Data Sheet'!K84,0)</f>
        <v>-6710.16</v>
      </c>
    </row>
    <row r="75" spans="2:14" x14ac:dyDescent="0.45">
      <c r="B75" s="6"/>
      <c r="C75" s="32"/>
      <c r="D75" s="32"/>
      <c r="E75" s="32"/>
      <c r="F75" s="32"/>
      <c r="G75" s="32"/>
      <c r="H75" s="32"/>
      <c r="I75" s="32"/>
      <c r="J75" s="32"/>
      <c r="K75" s="32"/>
      <c r="L75" s="32"/>
    </row>
    <row r="76" spans="2:14" x14ac:dyDescent="0.45">
      <c r="B76" s="33" t="s">
        <v>35</v>
      </c>
      <c r="C76" s="34">
        <f>IFERROR('Data Sheet'!B85,0)</f>
        <v>2926.86</v>
      </c>
      <c r="D76" s="34">
        <f>IFERROR('Data Sheet'!C85,0)</f>
        <v>848.2</v>
      </c>
      <c r="E76" s="34">
        <f>IFERROR('Data Sheet'!D85,0)</f>
        <v>610.66999999999996</v>
      </c>
      <c r="F76" s="34">
        <f>IFERROR('Data Sheet'!E85,0)</f>
        <v>-735.91</v>
      </c>
      <c r="G76" s="34">
        <f>IFERROR('Data Sheet'!F85,0)</f>
        <v>-844.15</v>
      </c>
      <c r="H76" s="34">
        <f>IFERROR('Data Sheet'!G85,0)</f>
        <v>-1385.69</v>
      </c>
      <c r="I76" s="34">
        <f>IFERROR('Data Sheet'!H85,0)</f>
        <v>596.41999999999996</v>
      </c>
      <c r="J76" s="34">
        <f>IFERROR('Data Sheet'!I85,0)</f>
        <v>-1764.78</v>
      </c>
      <c r="K76" s="34">
        <f>IFERROR('Data Sheet'!J85,0)</f>
        <v>115.48</v>
      </c>
      <c r="L76" s="34">
        <f>IFERROR('Data Sheet'!K85,0)</f>
        <v>4661.92</v>
      </c>
    </row>
  </sheetData>
  <mergeCells count="4">
    <mergeCell ref="B5:L5"/>
    <mergeCell ref="B8:L8"/>
    <mergeCell ref="B49:L49"/>
    <mergeCell ref="B71:L71"/>
  </mergeCells>
  <pageMargins left="0.25" right="0.25" top="0.75" bottom="0.75" header="0.3" footer="0.3"/>
  <pageSetup paperSize="3" scale="96" fitToHeight="0" orientation="landscape" r:id="rId1"/>
  <ignoredErrors>
    <ignoredError sqref="L18 J18:K18 H18:I18 F18:G18 C18:E18" formulaRange="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39141-1A53-4719-A344-68C68FB6E5AA}">
  <dimension ref="B5:L40"/>
  <sheetViews>
    <sheetView showGridLines="0" workbookViewId="0">
      <selection activeCell="N25" sqref="N25"/>
    </sheetView>
  </sheetViews>
  <sheetFormatPr defaultRowHeight="14.25" x14ac:dyDescent="0.45"/>
  <cols>
    <col min="1" max="1" width="2.1328125" customWidth="1"/>
    <col min="2" max="2" width="22.53125" customWidth="1"/>
  </cols>
  <sheetData>
    <row r="5" spans="2:12" x14ac:dyDescent="0.45">
      <c r="B5" s="56" t="s">
        <v>130</v>
      </c>
      <c r="C5" s="56"/>
      <c r="D5" s="56"/>
      <c r="E5" s="56"/>
      <c r="F5" s="56"/>
      <c r="G5" s="56"/>
      <c r="H5" s="56"/>
      <c r="I5" s="56"/>
      <c r="J5" s="56"/>
      <c r="K5" s="56"/>
      <c r="L5" s="56"/>
    </row>
    <row r="6" spans="2:12" x14ac:dyDescent="0.45">
      <c r="B6" s="25" t="s">
        <v>127</v>
      </c>
      <c r="C6" s="26">
        <v>42094</v>
      </c>
      <c r="D6" s="26">
        <v>42460</v>
      </c>
      <c r="E6" s="26">
        <v>42825</v>
      </c>
      <c r="F6" s="26">
        <v>43190</v>
      </c>
      <c r="G6" s="26">
        <v>43555</v>
      </c>
      <c r="H6" s="26">
        <v>43921</v>
      </c>
      <c r="I6" s="26">
        <v>44286</v>
      </c>
      <c r="J6" s="26">
        <v>44651</v>
      </c>
      <c r="K6" s="26">
        <v>45016</v>
      </c>
      <c r="L6" s="26">
        <v>45382</v>
      </c>
    </row>
    <row r="7" spans="2:12" x14ac:dyDescent="0.45">
      <c r="C7" t="s">
        <v>96</v>
      </c>
    </row>
    <row r="8" spans="2:12" x14ac:dyDescent="0.45">
      <c r="B8" s="2" t="s">
        <v>6</v>
      </c>
      <c r="C8" s="38">
        <f>'Data Sheet'!B17/'Data Sheet'!B$17</f>
        <v>1</v>
      </c>
      <c r="D8" s="38">
        <f>'Data Sheet'!C17/'Data Sheet'!C$17</f>
        <v>1</v>
      </c>
      <c r="E8" s="38">
        <f>'Data Sheet'!D17/'Data Sheet'!D$17</f>
        <v>1</v>
      </c>
      <c r="F8" s="38">
        <f>'Data Sheet'!E17/'Data Sheet'!E$17</f>
        <v>1</v>
      </c>
      <c r="G8" s="38">
        <f>'Data Sheet'!F17/'Data Sheet'!F$17</f>
        <v>1</v>
      </c>
      <c r="H8" s="38">
        <f>'Data Sheet'!G17/'Data Sheet'!G$17</f>
        <v>1</v>
      </c>
      <c r="I8" s="38">
        <f>'Data Sheet'!H17/'Data Sheet'!H$17</f>
        <v>1</v>
      </c>
      <c r="J8" s="38">
        <f>'Data Sheet'!I17/'Data Sheet'!I$17</f>
        <v>1</v>
      </c>
      <c r="K8" s="38">
        <f>'Data Sheet'!J17/'Data Sheet'!J$17</f>
        <v>1</v>
      </c>
      <c r="L8" s="38">
        <f>'Data Sheet'!K17/'Data Sheet'!K$17</f>
        <v>1</v>
      </c>
    </row>
    <row r="9" spans="2:12" x14ac:dyDescent="0.45">
      <c r="B9" s="4" t="s">
        <v>80</v>
      </c>
      <c r="C9" s="28">
        <f>'Data Sheet'!B18/'Data Sheet'!B$17</f>
        <v>0.24184716638172959</v>
      </c>
      <c r="D9" s="28">
        <f>'Data Sheet'!C18/'Data Sheet'!C$17</f>
        <v>0.23604250776581481</v>
      </c>
      <c r="E9" s="28">
        <f>'Data Sheet'!D18/'Data Sheet'!D$17</f>
        <v>0.26607932500782183</v>
      </c>
      <c r="F9" s="28">
        <f>'Data Sheet'!E18/'Data Sheet'!E$17</f>
        <v>0.27157896008450155</v>
      </c>
      <c r="G9" s="28">
        <f>'Data Sheet'!F18/'Data Sheet'!F$17</f>
        <v>0.28562945388601285</v>
      </c>
      <c r="H9" s="28">
        <f>'Data Sheet'!G18/'Data Sheet'!G$17</f>
        <v>0.27193300342596116</v>
      </c>
      <c r="I9" s="28">
        <f>'Data Sheet'!H18/'Data Sheet'!H$17</f>
        <v>0.27847217785823331</v>
      </c>
      <c r="J9" s="28">
        <f>'Data Sheet'!I18/'Data Sheet'!I$17</f>
        <v>0.27058046814225206</v>
      </c>
      <c r="K9" s="28">
        <f>'Data Sheet'!J18/'Data Sheet'!J$17</f>
        <v>0.25860531271248388</v>
      </c>
      <c r="L9" s="28">
        <f>'Data Sheet'!K18/'Data Sheet'!K$17</f>
        <v>0.21383821835851194</v>
      </c>
    </row>
    <row r="10" spans="2:12" x14ac:dyDescent="0.45">
      <c r="B10" s="4" t="s">
        <v>81</v>
      </c>
      <c r="C10" s="28">
        <f>'Data Sheet'!B19/'Data Sheet'!B$17</f>
        <v>-4.1796859741216512E-3</v>
      </c>
      <c r="D10" s="28">
        <f>'Data Sheet'!C19/'Data Sheet'!C$17</f>
        <v>1.382278180631677E-2</v>
      </c>
      <c r="E10" s="28">
        <f>'Data Sheet'!D19/'Data Sheet'!D$17</f>
        <v>8.601754868194882E-3</v>
      </c>
      <c r="F10" s="28">
        <f>'Data Sheet'!E19/'Data Sheet'!E$17</f>
        <v>-8.7091243083097947E-3</v>
      </c>
      <c r="G10" s="28">
        <f>'Data Sheet'!F19/'Data Sheet'!F$17</f>
        <v>1.4900961297960395E-2</v>
      </c>
      <c r="H10" s="28">
        <f>'Data Sheet'!G19/'Data Sheet'!G$17</f>
        <v>-9.1617814998096701E-3</v>
      </c>
      <c r="I10" s="28">
        <f>'Data Sheet'!H19/'Data Sheet'!H$17</f>
        <v>1.9052401118390454E-2</v>
      </c>
      <c r="J10" s="28">
        <f>'Data Sheet'!I19/'Data Sheet'!I$17</f>
        <v>2.7838939279757669E-3</v>
      </c>
      <c r="K10" s="28">
        <f>'Data Sheet'!J19/'Data Sheet'!J$17</f>
        <v>1.5652258322076812E-2</v>
      </c>
      <c r="L10" s="28">
        <f>'Data Sheet'!K19/'Data Sheet'!K$17</f>
        <v>-6.0236901984355683E-3</v>
      </c>
    </row>
    <row r="11" spans="2:12" x14ac:dyDescent="0.45">
      <c r="B11" s="4" t="s">
        <v>82</v>
      </c>
      <c r="C11" s="28">
        <f>'Data Sheet'!B20/'Data Sheet'!B$17</f>
        <v>2.0472028157115889E-2</v>
      </c>
      <c r="D11" s="28">
        <f>'Data Sheet'!C20/'Data Sheet'!C$17</f>
        <v>1.9146959160010718E-2</v>
      </c>
      <c r="E11" s="28">
        <f>'Data Sheet'!D20/'Data Sheet'!D$17</f>
        <v>1.6628117158415681E-2</v>
      </c>
      <c r="F11" s="28">
        <f>'Data Sheet'!E20/'Data Sheet'!E$17</f>
        <v>2.1139351274053909E-2</v>
      </c>
      <c r="G11" s="28">
        <f>'Data Sheet'!F20/'Data Sheet'!F$17</f>
        <v>2.1110641297657634E-2</v>
      </c>
      <c r="H11" s="28">
        <f>'Data Sheet'!G20/'Data Sheet'!G$17</f>
        <v>1.8938408831366577E-2</v>
      </c>
      <c r="I11" s="28">
        <f>'Data Sheet'!H20/'Data Sheet'!H$17</f>
        <v>1.8720143864704133E-2</v>
      </c>
      <c r="J11" s="28">
        <f>'Data Sheet'!I20/'Data Sheet'!I$17</f>
        <v>1.818107029739624E-2</v>
      </c>
      <c r="K11" s="28">
        <f>'Data Sheet'!J20/'Data Sheet'!J$17</f>
        <v>1.8913914516079048E-2</v>
      </c>
      <c r="L11" s="28">
        <f>'Data Sheet'!K20/'Data Sheet'!K$17</f>
        <v>1.5687204426679258E-2</v>
      </c>
    </row>
    <row r="12" spans="2:12" x14ac:dyDescent="0.45">
      <c r="B12" s="4" t="s">
        <v>83</v>
      </c>
      <c r="C12" s="28">
        <f>'Data Sheet'!B21/'Data Sheet'!B$17</f>
        <v>5.2115927235715814E-2</v>
      </c>
      <c r="D12" s="28">
        <f>'Data Sheet'!C21/'Data Sheet'!C$17</f>
        <v>6.3486786793849698E-2</v>
      </c>
      <c r="E12" s="28">
        <f>'Data Sheet'!D21/'Data Sheet'!D$17</f>
        <v>6.2493904068725376E-2</v>
      </c>
      <c r="F12" s="28">
        <f>'Data Sheet'!E21/'Data Sheet'!E$17</f>
        <v>6.9021792063711382E-2</v>
      </c>
      <c r="G12" s="28">
        <f>'Data Sheet'!F21/'Data Sheet'!F$17</f>
        <v>6.4842628357412516E-2</v>
      </c>
      <c r="H12" s="28">
        <f>'Data Sheet'!G21/'Data Sheet'!G$17</f>
        <v>5.1465550057099352E-2</v>
      </c>
      <c r="I12" s="28">
        <f>'Data Sheet'!H21/'Data Sheet'!H$17</f>
        <v>5.1458976528249031E-2</v>
      </c>
      <c r="J12" s="28">
        <f>'Data Sheet'!I21/'Data Sheet'!I$17</f>
        <v>4.8654373657497488E-2</v>
      </c>
      <c r="K12" s="28">
        <f>'Data Sheet'!J21/'Data Sheet'!J$17</f>
        <v>4.413216338450264E-2</v>
      </c>
      <c r="L12" s="28">
        <f>'Data Sheet'!K21/'Data Sheet'!K$17</f>
        <v>4.5087876841485582E-2</v>
      </c>
    </row>
    <row r="13" spans="2:12" x14ac:dyDescent="0.45">
      <c r="B13" s="4" t="s">
        <v>84</v>
      </c>
      <c r="C13" s="28">
        <f>'Data Sheet'!B22/'Data Sheet'!B$17</f>
        <v>0.16437786055130676</v>
      </c>
      <c r="D13" s="28">
        <f>'Data Sheet'!C22/'Data Sheet'!C$17</f>
        <v>0.1675257125786718</v>
      </c>
      <c r="E13" s="28">
        <f>'Data Sheet'!D22/'Data Sheet'!D$17</f>
        <v>0.15524199422137383</v>
      </c>
      <c r="F13" s="28">
        <f>'Data Sheet'!E22/'Data Sheet'!E$17</f>
        <v>0.20261077424756868</v>
      </c>
      <c r="G13" s="28">
        <f>'Data Sheet'!F22/'Data Sheet'!F$17</f>
        <v>0.20529513784361131</v>
      </c>
      <c r="H13" s="28">
        <f>'Data Sheet'!G22/'Data Sheet'!G$17</f>
        <v>0.19375256947087935</v>
      </c>
      <c r="I13" s="28">
        <f>'Data Sheet'!H22/'Data Sheet'!H$17</f>
        <v>0.20485406055380984</v>
      </c>
      <c r="J13" s="28">
        <f>'Data Sheet'!I22/'Data Sheet'!I$17</f>
        <v>0.18887404800839439</v>
      </c>
      <c r="K13" s="28">
        <f>'Data Sheet'!J22/'Data Sheet'!J$17</f>
        <v>0.18903728961246585</v>
      </c>
      <c r="L13" s="28">
        <f>'Data Sheet'!K22/'Data Sheet'!K$17</f>
        <v>0.19442623593078726</v>
      </c>
    </row>
    <row r="14" spans="2:12" x14ac:dyDescent="0.45">
      <c r="B14" s="4" t="s">
        <v>85</v>
      </c>
      <c r="C14" s="28">
        <f>'Data Sheet'!B23/'Data Sheet'!B$17</f>
        <v>0.18733090415781828</v>
      </c>
      <c r="D14" s="28">
        <f>'Data Sheet'!C23/'Data Sheet'!C$17</f>
        <v>0.18321320263993823</v>
      </c>
      <c r="E14" s="28">
        <f>'Data Sheet'!D23/'Data Sheet'!D$17</f>
        <v>0.16544864154150743</v>
      </c>
      <c r="F14" s="28">
        <f>'Data Sheet'!E23/'Data Sheet'!E$17</f>
        <v>0.17844833379011879</v>
      </c>
      <c r="G14" s="28">
        <f>'Data Sheet'!F23/'Data Sheet'!F$17</f>
        <v>0.18407577811945333</v>
      </c>
      <c r="H14" s="28">
        <f>'Data Sheet'!G23/'Data Sheet'!G$17</f>
        <v>0.21302992006090599</v>
      </c>
      <c r="I14" s="28">
        <f>'Data Sheet'!H23/'Data Sheet'!H$17</f>
        <v>0.18757489221789628</v>
      </c>
      <c r="J14" s="28">
        <f>'Data Sheet'!I23/'Data Sheet'!I$17</f>
        <v>0.19058277576550617</v>
      </c>
      <c r="K14" s="28">
        <f>'Data Sheet'!J23/'Data Sheet'!J$17</f>
        <v>0.21606956984601813</v>
      </c>
      <c r="L14" s="28">
        <f>'Data Sheet'!K23/'Data Sheet'!K$17</f>
        <v>0.22750322959120026</v>
      </c>
    </row>
    <row r="15" spans="2:12" x14ac:dyDescent="0.45">
      <c r="B15" s="4" t="s">
        <v>86</v>
      </c>
      <c r="C15" s="28">
        <f>'Data Sheet'!B24/'Data Sheet'!B$17</f>
        <v>4.1496772233947057E-2</v>
      </c>
      <c r="D15" s="28">
        <f>'Data Sheet'!C24/'Data Sheet'!C$17</f>
        <v>5.7473523915971589E-2</v>
      </c>
      <c r="E15" s="28">
        <f>'Data Sheet'!D24/'Data Sheet'!D$17</f>
        <v>2.2807333104485215E-2</v>
      </c>
      <c r="F15" s="28">
        <f>'Data Sheet'!E24/'Data Sheet'!E$17</f>
        <v>3.5900694087384194E-2</v>
      </c>
      <c r="G15" s="28">
        <f>'Data Sheet'!F24/'Data Sheet'!F$17</f>
        <v>3.4550096659626349E-2</v>
      </c>
      <c r="H15" s="28">
        <f>'Data Sheet'!G24/'Data Sheet'!G$17</f>
        <v>2.907042253521127E-2</v>
      </c>
      <c r="I15" s="28">
        <f>'Data Sheet'!H24/'Data Sheet'!H$17</f>
        <v>2.5123484468092858E-2</v>
      </c>
      <c r="J15" s="28">
        <f>'Data Sheet'!I24/'Data Sheet'!I$17</f>
        <v>2.0545608026389689E-2</v>
      </c>
      <c r="K15" s="28">
        <f>'Data Sheet'!J24/'Data Sheet'!J$17</f>
        <v>2.3421535225157726E-2</v>
      </c>
      <c r="L15" s="28">
        <f>'Data Sheet'!K24/'Data Sheet'!K$17</f>
        <v>2.9008481994191374E-2</v>
      </c>
    </row>
    <row r="16" spans="2:12" x14ac:dyDescent="0.45">
      <c r="B16" s="6" t="s">
        <v>9</v>
      </c>
      <c r="C16" s="28">
        <f>'Data Sheet'!B25/'Data Sheet'!B$17</f>
        <v>1.0323813403981674E-2</v>
      </c>
      <c r="D16" s="28">
        <f>'Data Sheet'!C25/'Data Sheet'!C$17</f>
        <v>-1.4919070187380012E-3</v>
      </c>
      <c r="E16" s="28">
        <f>'Data Sheet'!D25/'Data Sheet'!D$17</f>
        <v>1.93296438962786E-2</v>
      </c>
      <c r="F16" s="28">
        <f>'Data Sheet'!E25/'Data Sheet'!E$17</f>
        <v>-5.0974991562681912E-3</v>
      </c>
      <c r="G16" s="28">
        <f>'Data Sheet'!F25/'Data Sheet'!F$17</f>
        <v>-8.8860111381339844E-3</v>
      </c>
      <c r="H16" s="28">
        <f>'Data Sheet'!G25/'Data Sheet'!G$17</f>
        <v>1.1640959269128283E-2</v>
      </c>
      <c r="I16" s="28">
        <f>'Data Sheet'!H25/'Data Sheet'!H$17</f>
        <v>-0.10296720952267797</v>
      </c>
      <c r="J16" s="28">
        <f>'Data Sheet'!I25/'Data Sheet'!I$17</f>
        <v>-9.0679245800423192E-2</v>
      </c>
      <c r="K16" s="28">
        <f>'Data Sheet'!J25/'Data Sheet'!J$17</f>
        <v>1.046856286606474E-2</v>
      </c>
      <c r="L16" s="28">
        <f>'Data Sheet'!K25/'Data Sheet'!K$17</f>
        <v>1.7840952556712447E-2</v>
      </c>
    </row>
    <row r="17" spans="2:12" x14ac:dyDescent="0.45">
      <c r="B17" s="6" t="s">
        <v>10</v>
      </c>
      <c r="C17" s="28">
        <f>'Data Sheet'!B26/'Data Sheet'!B$17</f>
        <v>4.3615638282842338E-2</v>
      </c>
      <c r="D17" s="28">
        <f>'Data Sheet'!C26/'Data Sheet'!C$17</f>
        <v>3.6421136215323252E-2</v>
      </c>
      <c r="E17" s="28">
        <f>'Data Sheet'!D26/'Data Sheet'!D$17</f>
        <v>4.0051060153699802E-2</v>
      </c>
      <c r="F17" s="28">
        <f>'Data Sheet'!E26/'Data Sheet'!E$17</f>
        <v>5.6620255754552942E-2</v>
      </c>
      <c r="G17" s="28">
        <f>'Data Sheet'!F26/'Data Sheet'!F$17</f>
        <v>6.0319804196737693E-2</v>
      </c>
      <c r="H17" s="28">
        <f>'Data Sheet'!G26/'Data Sheet'!G$17</f>
        <v>6.2513285116102019E-2</v>
      </c>
      <c r="I17" s="28">
        <f>'Data Sheet'!H26/'Data Sheet'!H$17</f>
        <v>6.2091507170248854E-2</v>
      </c>
      <c r="J17" s="28">
        <f>'Data Sheet'!I26/'Data Sheet'!I$17</f>
        <v>5.5459016533396244E-2</v>
      </c>
      <c r="K17" s="28">
        <f>'Data Sheet'!J26/'Data Sheet'!J$17</f>
        <v>5.7636796330830464E-2</v>
      </c>
      <c r="L17" s="28">
        <f>'Data Sheet'!K26/'Data Sheet'!K$17</f>
        <v>5.2717650734016741E-2</v>
      </c>
    </row>
    <row r="18" spans="2:12" x14ac:dyDescent="0.45">
      <c r="B18" s="6" t="s">
        <v>11</v>
      </c>
      <c r="C18" s="28">
        <f>'Data Sheet'!B27/'Data Sheet'!B$17</f>
        <v>2.1137185624567165E-2</v>
      </c>
      <c r="D18" s="28">
        <f>'Data Sheet'!C27/'Data Sheet'!C$17</f>
        <v>1.8367657140811101E-2</v>
      </c>
      <c r="E18" s="28">
        <f>'Data Sheet'!D27/'Data Sheet'!D$17</f>
        <v>1.2660536745957053E-2</v>
      </c>
      <c r="F18" s="28">
        <f>'Data Sheet'!E27/'Data Sheet'!E$17</f>
        <v>1.9538714643484618E-2</v>
      </c>
      <c r="G18" s="28">
        <f>'Data Sheet'!F27/'Data Sheet'!F$17</f>
        <v>1.9103134909589963E-2</v>
      </c>
      <c r="H18" s="28">
        <f>'Data Sheet'!G27/'Data Sheet'!G$17</f>
        <v>9.2190331176246667E-3</v>
      </c>
      <c r="I18" s="28">
        <f>'Data Sheet'!H27/'Data Sheet'!H$17</f>
        <v>4.2220254617122031E-3</v>
      </c>
      <c r="J18" s="28">
        <f>'Data Sheet'!I27/'Data Sheet'!I$17</f>
        <v>3.2945719889203042E-3</v>
      </c>
      <c r="K18" s="28">
        <f>'Data Sheet'!J27/'Data Sheet'!J$17</f>
        <v>3.9192738952660636E-3</v>
      </c>
      <c r="L18" s="28">
        <f>'Data Sheet'!K27/'Data Sheet'!K$17</f>
        <v>4.9172265827574372E-3</v>
      </c>
    </row>
    <row r="19" spans="2:12" x14ac:dyDescent="0.45">
      <c r="B19" s="6" t="s">
        <v>12</v>
      </c>
      <c r="C19" s="28">
        <f>'Data Sheet'!B28/'Data Sheet'!B$17</f>
        <v>0.23375064480481716</v>
      </c>
      <c r="D19" s="28">
        <f>'Data Sheet'!C28/'Data Sheet'!C$17</f>
        <v>0.23065338857718759</v>
      </c>
      <c r="E19" s="28">
        <f>'Data Sheet'!D28/'Data Sheet'!D$17</f>
        <v>0.28652048676248737</v>
      </c>
      <c r="F19" s="28">
        <f>'Data Sheet'!E28/'Data Sheet'!E$17</f>
        <v>0.131334500590046</v>
      </c>
      <c r="G19" s="28">
        <f>'Data Sheet'!F28/'Data Sheet'!F$17</f>
        <v>0.13108827488972477</v>
      </c>
      <c r="H19" s="28">
        <f>'Data Sheet'!G28/'Data Sheet'!G$17</f>
        <v>0.15255698515416827</v>
      </c>
      <c r="I19" s="28">
        <f>'Data Sheet'!H28/'Data Sheet'!H$17</f>
        <v>8.3567923472765954E-2</v>
      </c>
      <c r="J19" s="28">
        <f>'Data Sheet'!I28/'Data Sheet'!I$17</f>
        <v>0.11593271570780005</v>
      </c>
      <c r="K19" s="28">
        <f>'Data Sheet'!J28/'Data Sheet'!J$17</f>
        <v>0.21438496566533777</v>
      </c>
      <c r="L19" s="28">
        <f>'Data Sheet'!K28/'Data Sheet'!K$17</f>
        <v>0.22863113789864703</v>
      </c>
    </row>
    <row r="20" spans="2:12" x14ac:dyDescent="0.45">
      <c r="B20" s="6" t="s">
        <v>13</v>
      </c>
      <c r="C20" s="28">
        <f>'Data Sheet'!B29/'Data Sheet'!B$17</f>
        <v>3.3392584187870847E-2</v>
      </c>
      <c r="D20" s="28">
        <f>'Data Sheet'!C29/'Data Sheet'!C$17</f>
        <v>3.2076702976758194E-2</v>
      </c>
      <c r="E20" s="28">
        <f>'Data Sheet'!D29/'Data Sheet'!D$17</f>
        <v>3.8366999763129531E-2</v>
      </c>
      <c r="F20" s="28">
        <f>'Data Sheet'!E29/'Data Sheet'!E$17</f>
        <v>3.4392547073439778E-2</v>
      </c>
      <c r="G20" s="28">
        <f>'Data Sheet'!F29/'Data Sheet'!F$17</f>
        <v>2.0673015226428487E-2</v>
      </c>
      <c r="H20" s="28">
        <f>'Data Sheet'!G29/'Data Sheet'!G$17</f>
        <v>2.5056718690521507E-2</v>
      </c>
      <c r="I20" s="28">
        <f>'Data Sheet'!H29/'Data Sheet'!H$17</f>
        <v>1.5364733683720948E-2</v>
      </c>
      <c r="J20" s="28">
        <f>'Data Sheet'!I29/'Data Sheet'!I$17</f>
        <v>2.7823417150245677E-2</v>
      </c>
      <c r="K20" s="28">
        <f>'Data Sheet'!J29/'Data Sheet'!J$17</f>
        <v>1.9313589307491646E-2</v>
      </c>
      <c r="L20" s="28">
        <f>'Data Sheet'!K29/'Data Sheet'!K$17</f>
        <v>2.9681309198432478E-2</v>
      </c>
    </row>
    <row r="21" spans="2:12" x14ac:dyDescent="0.45">
      <c r="B21" s="6" t="s">
        <v>14</v>
      </c>
      <c r="C21" s="28">
        <f>'Data Sheet'!B30/'Data Sheet'!B$17</f>
        <v>0.16571912758501478</v>
      </c>
      <c r="D21" s="28">
        <f>'Data Sheet'!C30/'Data Sheet'!C$17</f>
        <v>0.15957121539170635</v>
      </c>
      <c r="E21" s="28">
        <f>'Data Sheet'!D30/'Data Sheet'!D$17</f>
        <v>0.22054192670695577</v>
      </c>
      <c r="F21" s="28">
        <f>'Data Sheet'!E30/'Data Sheet'!E$17</f>
        <v>7.9114485535001458E-2</v>
      </c>
      <c r="G21" s="28">
        <f>'Data Sheet'!F30/'Data Sheet'!F$17</f>
        <v>9.170261657040843E-2</v>
      </c>
      <c r="H21" s="28">
        <f>'Data Sheet'!G30/'Data Sheet'!G$17</f>
        <v>0.11465336886181957</v>
      </c>
      <c r="I21" s="28">
        <f>'Data Sheet'!H30/'Data Sheet'!H$17</f>
        <v>8.6686007043973196E-2</v>
      </c>
      <c r="J21" s="28">
        <f>'Data Sheet'!I30/'Data Sheet'!I$17</f>
        <v>8.4666231529636024E-2</v>
      </c>
      <c r="K21" s="28">
        <f>'Data Sheet'!J30/'Data Sheet'!J$17</f>
        <v>0.19308302845028263</v>
      </c>
      <c r="L21" s="28">
        <f>'Data Sheet'!K30/'Data Sheet'!K$17</f>
        <v>0.19746395899939892</v>
      </c>
    </row>
    <row r="22" spans="2:12" x14ac:dyDescent="0.45">
      <c r="B22" s="6" t="s">
        <v>70</v>
      </c>
      <c r="C22" s="28">
        <f>'Data Sheet'!B31/'Data Sheet'!B$17</f>
        <v>2.2683987045857536E-2</v>
      </c>
      <c r="D22" s="28">
        <f>'Data Sheet'!C31/'Data Sheet'!C$17</f>
        <v>8.4480551324585262E-3</v>
      </c>
      <c r="E22" s="28">
        <f>'Data Sheet'!D31/'Data Sheet'!D$17</f>
        <v>2.659282725809128E-2</v>
      </c>
      <c r="F22" s="28">
        <f>'Data Sheet'!E31/'Data Sheet'!E$17</f>
        <v>1.8115129564740089E-2</v>
      </c>
      <c r="G22" s="28">
        <f>'Data Sheet'!F31/'Data Sheet'!F$17</f>
        <v>2.2700476262398114E-2</v>
      </c>
      <c r="H22" s="28">
        <f>'Data Sheet'!G31/'Data Sheet'!G$17</f>
        <v>2.922634183479254E-2</v>
      </c>
      <c r="I22" s="28">
        <f>'Data Sheet'!H31/'Data Sheet'!H$17</f>
        <v>5.3718803491775963E-2</v>
      </c>
      <c r="J22" s="28">
        <f>'Data Sheet'!I31/'Data Sheet'!I$17</f>
        <v>6.2070408896870724E-2</v>
      </c>
      <c r="K22" s="28">
        <f>'Data Sheet'!J31/'Data Sheet'!J$17</f>
        <v>6.2872444952430953E-2</v>
      </c>
      <c r="L22" s="28">
        <f>'Data Sheet'!K31/'Data Sheet'!K$17</f>
        <v>6.6789080115512656E-2</v>
      </c>
    </row>
    <row r="24" spans="2:12" x14ac:dyDescent="0.45">
      <c r="B24" s="56" t="s">
        <v>129</v>
      </c>
      <c r="C24" s="56"/>
      <c r="D24" s="56"/>
      <c r="E24" s="56"/>
      <c r="F24" s="56"/>
      <c r="G24" s="56"/>
      <c r="H24" s="56"/>
      <c r="I24" s="56"/>
      <c r="J24" s="56"/>
      <c r="K24" s="56"/>
      <c r="L24" s="56"/>
    </row>
    <row r="25" spans="2:12" x14ac:dyDescent="0.45">
      <c r="B25" s="25" t="s">
        <v>127</v>
      </c>
      <c r="C25" s="26">
        <v>42094</v>
      </c>
      <c r="D25" s="26">
        <v>42460</v>
      </c>
      <c r="E25" s="26">
        <v>42825</v>
      </c>
      <c r="F25" s="26">
        <v>43190</v>
      </c>
      <c r="G25" s="26">
        <v>43555</v>
      </c>
      <c r="H25" s="26">
        <v>43921</v>
      </c>
      <c r="I25" s="26">
        <v>44286</v>
      </c>
      <c r="J25" s="26">
        <v>44651</v>
      </c>
      <c r="K25" s="26">
        <v>45016</v>
      </c>
      <c r="L25" s="26">
        <v>45382</v>
      </c>
    </row>
    <row r="27" spans="2:12" x14ac:dyDescent="0.45">
      <c r="B27" s="38" t="s">
        <v>119</v>
      </c>
      <c r="C27" s="38">
        <f>'Data Sheet'!B61/'Data Sheet'!B61</f>
        <v>1</v>
      </c>
      <c r="D27" s="38">
        <f>'Data Sheet'!C61/'Data Sheet'!C61</f>
        <v>1</v>
      </c>
      <c r="E27" s="38">
        <f>'Data Sheet'!D61/'Data Sheet'!D61</f>
        <v>1</v>
      </c>
      <c r="F27" s="38">
        <f>'Data Sheet'!E61/'Data Sheet'!E61</f>
        <v>1</v>
      </c>
      <c r="G27" s="38">
        <f>'Data Sheet'!F61/'Data Sheet'!F61</f>
        <v>1</v>
      </c>
      <c r="H27" s="38">
        <f>'Data Sheet'!G61/'Data Sheet'!G61</f>
        <v>1</v>
      </c>
      <c r="I27" s="38">
        <f>'Data Sheet'!H61/'Data Sheet'!H61</f>
        <v>1</v>
      </c>
      <c r="J27" s="38">
        <f>'Data Sheet'!I61/'Data Sheet'!I61</f>
        <v>1</v>
      </c>
      <c r="K27" s="38">
        <f>'Data Sheet'!J61/'Data Sheet'!J61</f>
        <v>1</v>
      </c>
      <c r="L27" s="38">
        <f>'Data Sheet'!K61/'Data Sheet'!K61</f>
        <v>1</v>
      </c>
    </row>
    <row r="28" spans="2:12" x14ac:dyDescent="0.45">
      <c r="B28" s="28" t="s">
        <v>24</v>
      </c>
      <c r="C28" s="28">
        <f>'Data Sheet'!B57/'Data Sheet'!B$61</f>
        <v>4.2509531908727647E-3</v>
      </c>
      <c r="D28" s="28">
        <f>'Data Sheet'!C57/'Data Sheet'!C$61</f>
        <v>4.3418880519597676E-3</v>
      </c>
      <c r="E28" s="28">
        <f>'Data Sheet'!D57/'Data Sheet'!D$61</f>
        <v>3.9271336899883713E-3</v>
      </c>
      <c r="F28" s="28">
        <f>'Data Sheet'!E57/'Data Sheet'!E$61</f>
        <v>3.7315667090063844E-3</v>
      </c>
      <c r="G28" s="28">
        <f>'Data Sheet'!F57/'Data Sheet'!F$61</f>
        <v>3.7146887428968754E-3</v>
      </c>
      <c r="H28" s="28">
        <f>'Data Sheet'!G57/'Data Sheet'!G$61</f>
        <v>3.5183282126722577E-3</v>
      </c>
      <c r="I28" s="28">
        <f>'Data Sheet'!H57/'Data Sheet'!H$61</f>
        <v>3.5480941027963885E-3</v>
      </c>
      <c r="J28" s="28">
        <f>'Data Sheet'!I57/'Data Sheet'!I$61</f>
        <v>3.4385793033727542E-3</v>
      </c>
      <c r="K28" s="28">
        <f>'Data Sheet'!J57/'Data Sheet'!J$61</f>
        <v>2.9726719356129644E-3</v>
      </c>
      <c r="L28" s="28">
        <f>'Data Sheet'!K57/'Data Sheet'!K$61</f>
        <v>2.8125205872099415E-3</v>
      </c>
    </row>
    <row r="29" spans="2:12" x14ac:dyDescent="0.45">
      <c r="B29" s="28" t="s">
        <v>25</v>
      </c>
      <c r="C29" s="28">
        <f>'Data Sheet'!B58/'Data Sheet'!B$61</f>
        <v>0.52194796769259155</v>
      </c>
      <c r="D29" s="28">
        <f>'Data Sheet'!C58/'Data Sheet'!C$61</f>
        <v>0.59071435659194438</v>
      </c>
      <c r="E29" s="28">
        <f>'Data Sheet'!D58/'Data Sheet'!D$61</f>
        <v>0.59578479248454674</v>
      </c>
      <c r="F29" s="28">
        <f>'Data Sheet'!E58/'Data Sheet'!E$61</f>
        <v>0.59215747326602219</v>
      </c>
      <c r="G29" s="28">
        <f>'Data Sheet'!F58/'Data Sheet'!F$61</f>
        <v>0.63739633962346531</v>
      </c>
      <c r="H29" s="28">
        <f>'Data Sheet'!G58/'Data Sheet'!G$61</f>
        <v>0.66023856532332892</v>
      </c>
      <c r="I29" s="28">
        <f>'Data Sheet'!H58/'Data Sheet'!H$61</f>
        <v>0.68354529029067657</v>
      </c>
      <c r="J29" s="28">
        <f>'Data Sheet'!I58/'Data Sheet'!I$61</f>
        <v>0.68463872416712301</v>
      </c>
      <c r="K29" s="28">
        <f>'Data Sheet'!J58/'Data Sheet'!J$61</f>
        <v>0.69079590494090715</v>
      </c>
      <c r="L29" s="28">
        <f>'Data Sheet'!K58/'Data Sheet'!K$61</f>
        <v>0.7435053433553922</v>
      </c>
    </row>
    <row r="30" spans="2:12" x14ac:dyDescent="0.45">
      <c r="B30" s="28" t="s">
        <v>71</v>
      </c>
      <c r="C30" s="28">
        <f>'Data Sheet'!B59/'Data Sheet'!B$61</f>
        <v>0.18463713069690224</v>
      </c>
      <c r="D30" s="28">
        <f>'Data Sheet'!C59/'Data Sheet'!C$61</f>
        <v>0.15329502503270037</v>
      </c>
      <c r="E30" s="28">
        <f>'Data Sheet'!D59/'Data Sheet'!D$61</f>
        <v>0.16092474971540435</v>
      </c>
      <c r="F30" s="28">
        <f>'Data Sheet'!E59/'Data Sheet'!E$61</f>
        <v>0.1615193089486214</v>
      </c>
      <c r="G30" s="28">
        <f>'Data Sheet'!F59/'Data Sheet'!F$61</f>
        <v>0.16278737436237731</v>
      </c>
      <c r="H30" s="28">
        <f>'Data Sheet'!G59/'Data Sheet'!G$61</f>
        <v>0.12192921639221563</v>
      </c>
      <c r="I30" s="28">
        <f>'Data Sheet'!H59/'Data Sheet'!H$61</f>
        <v>5.7208710391347693E-2</v>
      </c>
      <c r="J30" s="28">
        <f>'Data Sheet'!I59/'Data Sheet'!I$61</f>
        <v>1.8492055495944085E-2</v>
      </c>
      <c r="K30" s="28">
        <f>'Data Sheet'!J59/'Data Sheet'!J$61</f>
        <v>8.5314185392736386E-2</v>
      </c>
      <c r="L30" s="28">
        <f>'Data Sheet'!K59/'Data Sheet'!K$61</f>
        <v>3.8374793776232936E-2</v>
      </c>
    </row>
    <row r="31" spans="2:12" x14ac:dyDescent="0.45">
      <c r="B31" s="28" t="s">
        <v>72</v>
      </c>
      <c r="C31" s="28">
        <f>'Data Sheet'!B60/'Data Sheet'!B$61</f>
        <v>0.28916394841963344</v>
      </c>
      <c r="D31" s="28">
        <f>'Data Sheet'!C60/'Data Sheet'!C$61</f>
        <v>0.25164873032339541</v>
      </c>
      <c r="E31" s="28">
        <f>'Data Sheet'!D60/'Data Sheet'!D$61</f>
        <v>0.23936332411006059</v>
      </c>
      <c r="F31" s="28">
        <f>'Data Sheet'!E60/'Data Sheet'!E$61</f>
        <v>0.24259165107635008</v>
      </c>
      <c r="G31" s="28">
        <f>'Data Sheet'!F60/'Data Sheet'!F$61</f>
        <v>0.19610159727126053</v>
      </c>
      <c r="H31" s="28">
        <f>'Data Sheet'!G60/'Data Sheet'!G$61</f>
        <v>0.21431389007178309</v>
      </c>
      <c r="I31" s="28">
        <f>'Data Sheet'!H60/'Data Sheet'!H$61</f>
        <v>0.25569790521517927</v>
      </c>
      <c r="J31" s="28">
        <f>'Data Sheet'!I60/'Data Sheet'!I$61</f>
        <v>0.29343064103356015</v>
      </c>
      <c r="K31" s="28">
        <f>'Data Sheet'!J60/'Data Sheet'!J$61</f>
        <v>0.22091723773074359</v>
      </c>
      <c r="L31" s="28">
        <f>'Data Sheet'!K60/'Data Sheet'!K$61</f>
        <v>0.21530734228116485</v>
      </c>
    </row>
    <row r="32" spans="2:12" x14ac:dyDescent="0.45">
      <c r="B32" s="28"/>
      <c r="C32" s="28"/>
      <c r="D32" s="28"/>
      <c r="E32" s="28"/>
      <c r="F32" s="28"/>
      <c r="G32" s="28"/>
      <c r="H32" s="28"/>
      <c r="I32" s="28"/>
      <c r="J32" s="28"/>
      <c r="K32" s="28"/>
      <c r="L32" s="28"/>
    </row>
    <row r="33" spans="2:12" x14ac:dyDescent="0.45">
      <c r="B33" s="38" t="s">
        <v>128</v>
      </c>
      <c r="C33" s="38">
        <f>'Data Sheet'!B66/'Data Sheet'!B66</f>
        <v>1</v>
      </c>
      <c r="D33" s="38">
        <f>'Data Sheet'!C66/'Data Sheet'!C66</f>
        <v>1</v>
      </c>
      <c r="E33" s="38">
        <f>'Data Sheet'!D66/'Data Sheet'!D66</f>
        <v>1</v>
      </c>
      <c r="F33" s="38">
        <f>'Data Sheet'!E66/'Data Sheet'!E66</f>
        <v>1</v>
      </c>
      <c r="G33" s="38">
        <f>'Data Sheet'!F66/'Data Sheet'!F66</f>
        <v>1</v>
      </c>
      <c r="H33" s="38">
        <f>'Data Sheet'!G66/'Data Sheet'!G66</f>
        <v>1</v>
      </c>
      <c r="I33" s="38">
        <f>'Data Sheet'!H66/'Data Sheet'!H66</f>
        <v>1</v>
      </c>
      <c r="J33" s="38">
        <f>'Data Sheet'!I66/'Data Sheet'!I66</f>
        <v>1</v>
      </c>
      <c r="K33" s="38">
        <f>'Data Sheet'!J66/'Data Sheet'!J66</f>
        <v>1</v>
      </c>
      <c r="L33" s="38">
        <f>'Data Sheet'!K66/'Data Sheet'!K66</f>
        <v>1</v>
      </c>
    </row>
    <row r="34" spans="2:12" x14ac:dyDescent="0.45">
      <c r="B34" s="28" t="s">
        <v>27</v>
      </c>
      <c r="C34" s="28">
        <f>'Data Sheet'!B62/'Data Sheet'!B$66</f>
        <v>0.26029638042993486</v>
      </c>
      <c r="D34" s="28">
        <f>'Data Sheet'!C62/'Data Sheet'!C$66</f>
        <v>0.28636056109332009</v>
      </c>
      <c r="E34" s="28">
        <f>'Data Sheet'!D62/'Data Sheet'!D$66</f>
        <v>0.28930419532060081</v>
      </c>
      <c r="F34" s="28">
        <f>'Data Sheet'!E62/'Data Sheet'!E$66</f>
        <v>0.29321019095798445</v>
      </c>
      <c r="G34" s="28">
        <f>'Data Sheet'!F62/'Data Sheet'!F$66</f>
        <v>0.33808172934529795</v>
      </c>
      <c r="H34" s="28">
        <f>'Data Sheet'!G62/'Data Sheet'!G$66</f>
        <v>0.33502658285910025</v>
      </c>
      <c r="I34" s="28">
        <f>'Data Sheet'!H62/'Data Sheet'!H$66</f>
        <v>0.31872630031962867</v>
      </c>
      <c r="J34" s="28">
        <f>'Data Sheet'!I62/'Data Sheet'!I$66</f>
        <v>0.3248278668096195</v>
      </c>
      <c r="K34" s="28">
        <f>'Data Sheet'!J62/'Data Sheet'!J$66</f>
        <v>0.298164706815228</v>
      </c>
      <c r="L34" s="28">
        <f>'Data Sheet'!K62/'Data Sheet'!K$66</f>
        <v>0.27208970994687237</v>
      </c>
    </row>
    <row r="35" spans="2:12" x14ac:dyDescent="0.45">
      <c r="B35" s="28" t="s">
        <v>28</v>
      </c>
      <c r="C35" s="28">
        <f>'Data Sheet'!B63/'Data Sheet'!B$66</f>
        <v>4.1840651238147578E-2</v>
      </c>
      <c r="D35" s="28">
        <f>'Data Sheet'!C63/'Data Sheet'!C$66</f>
        <v>3.9248567949122723E-2</v>
      </c>
      <c r="E35" s="28">
        <f>'Data Sheet'!D63/'Data Sheet'!D$66</f>
        <v>4.5852514385277467E-2</v>
      </c>
      <c r="F35" s="28">
        <f>'Data Sheet'!E63/'Data Sheet'!E$66</f>
        <v>3.8339969942792387E-2</v>
      </c>
      <c r="G35" s="28">
        <f>'Data Sheet'!F63/'Data Sheet'!F$66</f>
        <v>2.1847968238815178E-2</v>
      </c>
      <c r="H35" s="28">
        <f>'Data Sheet'!G63/'Data Sheet'!G$66</f>
        <v>1.7895038765691918E-2</v>
      </c>
      <c r="I35" s="28">
        <f>'Data Sheet'!H63/'Data Sheet'!H$66</f>
        <v>2.3170342529423019E-2</v>
      </c>
      <c r="J35" s="28">
        <f>'Data Sheet'!I63/'Data Sheet'!I$66</f>
        <v>1.8441894917601218E-2</v>
      </c>
      <c r="K35" s="28">
        <f>'Data Sheet'!J63/'Data Sheet'!J$66</f>
        <v>6.1616192903400861E-2</v>
      </c>
      <c r="L35" s="28">
        <f>'Data Sheet'!K63/'Data Sheet'!K$66</f>
        <v>6.2759545373448758E-2</v>
      </c>
    </row>
    <row r="36" spans="2:12" x14ac:dyDescent="0.45">
      <c r="B36" s="28" t="s">
        <v>29</v>
      </c>
      <c r="C36" s="28">
        <f>'Data Sheet'!B64/'Data Sheet'!B$66</f>
        <v>5.5749633798608013E-2</v>
      </c>
      <c r="D36" s="28">
        <f>'Data Sheet'!C64/'Data Sheet'!C$66</f>
        <v>3.3013937125073299E-2</v>
      </c>
      <c r="E36" s="28">
        <f>'Data Sheet'!D64/'Data Sheet'!D$66</f>
        <v>1.9508490403131497E-2</v>
      </c>
      <c r="F36" s="28">
        <f>'Data Sheet'!E64/'Data Sheet'!E$66</f>
        <v>0.11109113449239541</v>
      </c>
      <c r="G36" s="28">
        <f>'Data Sheet'!F64/'Data Sheet'!F$66</f>
        <v>0.12235001555205618</v>
      </c>
      <c r="H36" s="28">
        <f>'Data Sheet'!G64/'Data Sheet'!G$66</f>
        <v>0.14873834067118785</v>
      </c>
      <c r="I36" s="28">
        <f>'Data Sheet'!H64/'Data Sheet'!H$66</f>
        <v>0.14214928170060079</v>
      </c>
      <c r="J36" s="28">
        <f>'Data Sheet'!I64/'Data Sheet'!I$66</f>
        <v>0.18414077294011644</v>
      </c>
      <c r="K36" s="28">
        <f>'Data Sheet'!J64/'Data Sheet'!J$66</f>
        <v>0.18366981820524608</v>
      </c>
      <c r="L36" s="28">
        <f>'Data Sheet'!K64/'Data Sheet'!K$66</f>
        <v>0.17613590407069363</v>
      </c>
    </row>
    <row r="37" spans="2:12" x14ac:dyDescent="0.45">
      <c r="B37" s="28" t="s">
        <v>73</v>
      </c>
      <c r="C37" s="28">
        <f>'Data Sheet'!B65/'Data Sheet'!B$66</f>
        <v>0.64211333453330954</v>
      </c>
      <c r="D37" s="28">
        <f>'Data Sheet'!C65/'Data Sheet'!C$66</f>
        <v>0.64137693383248384</v>
      </c>
      <c r="E37" s="28">
        <f>'Data Sheet'!D65/'Data Sheet'!D$66</f>
        <v>0.64533479989099019</v>
      </c>
      <c r="F37" s="28">
        <f>'Data Sheet'!E65/'Data Sheet'!E$66</f>
        <v>0.55735870460682768</v>
      </c>
      <c r="G37" s="28">
        <f>'Data Sheet'!F65/'Data Sheet'!F$66</f>
        <v>0.51772028686383065</v>
      </c>
      <c r="H37" s="28">
        <f>'Data Sheet'!G65/'Data Sheet'!G$66</f>
        <v>0.49834003770401986</v>
      </c>
      <c r="I37" s="28">
        <f>'Data Sheet'!H65/'Data Sheet'!H$66</f>
        <v>0.51595407545034755</v>
      </c>
      <c r="J37" s="28">
        <f>'Data Sheet'!I65/'Data Sheet'!I$66</f>
        <v>0.47258946533266277</v>
      </c>
      <c r="K37" s="28">
        <f>'Data Sheet'!J65/'Data Sheet'!J$66</f>
        <v>0.45654928207612511</v>
      </c>
      <c r="L37" s="28">
        <f>'Data Sheet'!K65/'Data Sheet'!K$66</f>
        <v>0.48901484060898515</v>
      </c>
    </row>
    <row r="38" spans="2:12" x14ac:dyDescent="0.45">
      <c r="B38" s="28" t="s">
        <v>78</v>
      </c>
      <c r="C38" s="28">
        <f>'Data Sheet'!B67/'Data Sheet'!B$66</f>
        <v>0.10479876215001521</v>
      </c>
      <c r="D38" s="28">
        <f>'Data Sheet'!C67/'Data Sheet'!C$66</f>
        <v>0.12224365161697713</v>
      </c>
      <c r="E38" s="28">
        <f>'Data Sheet'!D67/'Data Sheet'!D$66</f>
        <v>0.11789110318362497</v>
      </c>
      <c r="F38" s="28">
        <f>'Data Sheet'!E67/'Data Sheet'!E$66</f>
        <v>0.12154894623249871</v>
      </c>
      <c r="G38" s="28">
        <f>'Data Sheet'!F67/'Data Sheet'!F$66</f>
        <v>0.13754860888444306</v>
      </c>
      <c r="H38" s="28">
        <f>'Data Sheet'!G67/'Data Sheet'!G$66</f>
        <v>0.13815285495918134</v>
      </c>
      <c r="I38" s="28">
        <f>'Data Sheet'!H67/'Data Sheet'!H$66</f>
        <v>0.13400033302662939</v>
      </c>
      <c r="J38" s="28">
        <f>'Data Sheet'!I67/'Data Sheet'!I$66</f>
        <v>0.15026088516796127</v>
      </c>
      <c r="K38" s="28">
        <f>'Data Sheet'!J67/'Data Sheet'!J$66</f>
        <v>0.14172024199653335</v>
      </c>
      <c r="L38" s="28">
        <f>'Data Sheet'!K67/'Data Sheet'!K$66</f>
        <v>0.13186798115342765</v>
      </c>
    </row>
    <row r="39" spans="2:12" x14ac:dyDescent="0.45">
      <c r="B39" s="28" t="s">
        <v>45</v>
      </c>
      <c r="C39" s="28">
        <f>'Data Sheet'!B68/'Data Sheet'!B$66</f>
        <v>0.11633043731332041</v>
      </c>
      <c r="D39" s="28">
        <f>'Data Sheet'!C68/'Data Sheet'!C$66</f>
        <v>0.11587280681971945</v>
      </c>
      <c r="E39" s="28">
        <f>'Data Sheet'!D68/'Data Sheet'!D$66</f>
        <v>0.11183827928266345</v>
      </c>
      <c r="F39" s="28">
        <f>'Data Sheet'!E68/'Data Sheet'!E$66</f>
        <v>0.10701351952233208</v>
      </c>
      <c r="G39" s="28">
        <f>'Data Sheet'!F68/'Data Sheet'!F$66</f>
        <v>0.12209378207272913</v>
      </c>
      <c r="H39" s="28">
        <f>'Data Sheet'!G68/'Data Sheet'!G$66</f>
        <v>0.11547867916272204</v>
      </c>
      <c r="I39" s="28">
        <f>'Data Sheet'!H68/'Data Sheet'!H$66</f>
        <v>0.13304827910115935</v>
      </c>
      <c r="J39" s="28">
        <f>'Data Sheet'!I68/'Data Sheet'!I$66</f>
        <v>0.12791133788151238</v>
      </c>
      <c r="K39" s="28">
        <f>'Data Sheet'!J68/'Data Sheet'!J$66</f>
        <v>0.13025402697743454</v>
      </c>
      <c r="L39" s="28">
        <f>'Data Sheet'!K68/'Data Sheet'!K$66</f>
        <v>0.11567860953427248</v>
      </c>
    </row>
    <row r="40" spans="2:12" x14ac:dyDescent="0.45">
      <c r="B40" s="28" t="s">
        <v>87</v>
      </c>
      <c r="C40" s="28">
        <f>'Data Sheet'!B69/'Data Sheet'!B$66</f>
        <v>0.2257249576638968</v>
      </c>
      <c r="D40" s="28">
        <f>'Data Sheet'!C69/'Data Sheet'!C$66</f>
        <v>0.23781787019078976</v>
      </c>
      <c r="E40" s="28">
        <f>'Data Sheet'!D69/'Data Sheet'!D$66</f>
        <v>0.24782271020182356</v>
      </c>
      <c r="F40" s="28">
        <f>'Data Sheet'!E69/'Data Sheet'!E$66</f>
        <v>0.15442897448870008</v>
      </c>
      <c r="G40" s="28">
        <f>'Data Sheet'!F69/'Data Sheet'!F$66</f>
        <v>0.11264364363697957</v>
      </c>
      <c r="H40" s="28">
        <f>'Data Sheet'!G69/'Data Sheet'!G$66</f>
        <v>9.5133289693335163E-2</v>
      </c>
      <c r="I40" s="28">
        <f>'Data Sheet'!H69/'Data Sheet'!H$66</f>
        <v>9.5316450716938908E-2</v>
      </c>
      <c r="J40" s="28">
        <f>'Data Sheet'!I69/'Data Sheet'!I$66</f>
        <v>7.2135927714880393E-2</v>
      </c>
      <c r="K40" s="28">
        <f>'Data Sheet'!J69/'Data Sheet'!J$66</f>
        <v>7.1492431723203145E-2</v>
      </c>
      <c r="L40" s="28">
        <f>'Data Sheet'!K69/'Data Sheet'!K$66</f>
        <v>0.12332609132433579</v>
      </c>
    </row>
  </sheetData>
  <mergeCells count="2">
    <mergeCell ref="B5:L5"/>
    <mergeCell ref="B24:L24"/>
  </mergeCells>
  <printOptions verticalCentered="1"/>
  <pageMargins left="1.5354330708661419" right="0.23622047244094491" top="0.74803149606299213" bottom="0.86614173228346458" header="0.31496062992125984" footer="0.31496062992125984"/>
  <pageSetup scale="85"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D6D1-6BA1-4646-BC07-A25E9BFF269D}">
  <dimension ref="B1:I114"/>
  <sheetViews>
    <sheetView showGridLines="0" topLeftCell="A107" zoomScale="143" zoomScaleNormal="130" workbookViewId="0">
      <selection activeCell="B112" sqref="B112:I113"/>
    </sheetView>
  </sheetViews>
  <sheetFormatPr defaultRowHeight="14.25" x14ac:dyDescent="0.45"/>
  <cols>
    <col min="1" max="1" width="2.1328125" customWidth="1"/>
    <col min="2" max="2" width="35.59765625" customWidth="1"/>
    <col min="3" max="9" width="10" customWidth="1"/>
  </cols>
  <sheetData>
    <row r="1" spans="2:9" x14ac:dyDescent="0.45">
      <c r="B1" s="39"/>
      <c r="C1" s="39"/>
      <c r="D1" s="39"/>
      <c r="E1" s="39"/>
      <c r="F1" s="39"/>
      <c r="G1" s="39"/>
      <c r="H1" s="39"/>
      <c r="I1" s="39"/>
    </row>
    <row r="3" spans="2:9" ht="25.5" x14ac:dyDescent="0.75">
      <c r="B3" s="41" t="s">
        <v>131</v>
      </c>
    </row>
    <row r="4" spans="2:9" x14ac:dyDescent="0.45">
      <c r="B4" t="s">
        <v>132</v>
      </c>
    </row>
    <row r="5" spans="2:9" ht="18" x14ac:dyDescent="0.55000000000000004">
      <c r="B5" s="42" t="s">
        <v>133</v>
      </c>
    </row>
    <row r="6" spans="2:9" x14ac:dyDescent="0.45">
      <c r="B6" t="s">
        <v>134</v>
      </c>
    </row>
    <row r="7" spans="2:9" x14ac:dyDescent="0.45">
      <c r="B7" s="43"/>
      <c r="C7" s="43"/>
      <c r="D7" s="43"/>
      <c r="E7" s="43"/>
      <c r="F7" s="43"/>
      <c r="G7" s="43"/>
      <c r="H7" s="43"/>
      <c r="I7" s="43"/>
    </row>
    <row r="8" spans="2:9" ht="15.75" x14ac:dyDescent="0.5">
      <c r="B8" s="44" t="s">
        <v>135</v>
      </c>
    </row>
    <row r="9" spans="2:9" ht="12.75" customHeight="1" x14ac:dyDescent="0.45">
      <c r="B9" s="60" t="s">
        <v>136</v>
      </c>
      <c r="C9" s="60"/>
      <c r="D9" s="60"/>
      <c r="E9" s="60"/>
      <c r="F9" s="60"/>
      <c r="G9" s="60"/>
      <c r="H9" s="60"/>
      <c r="I9" s="60"/>
    </row>
    <row r="10" spans="2:9" x14ac:dyDescent="0.45">
      <c r="B10" s="60"/>
      <c r="C10" s="60"/>
      <c r="D10" s="60"/>
      <c r="E10" s="60"/>
      <c r="F10" s="60"/>
      <c r="G10" s="60"/>
      <c r="H10" s="60"/>
      <c r="I10" s="60"/>
    </row>
    <row r="11" spans="2:9" x14ac:dyDescent="0.45">
      <c r="B11" s="60"/>
      <c r="C11" s="60"/>
      <c r="D11" s="60"/>
      <c r="E11" s="60"/>
      <c r="F11" s="60"/>
      <c r="G11" s="60"/>
      <c r="H11" s="60"/>
      <c r="I11" s="60"/>
    </row>
    <row r="12" spans="2:9" x14ac:dyDescent="0.45">
      <c r="B12" s="60"/>
      <c r="C12" s="60"/>
      <c r="D12" s="60"/>
      <c r="E12" s="60"/>
      <c r="F12" s="60"/>
      <c r="G12" s="60"/>
      <c r="H12" s="60"/>
      <c r="I12" s="60"/>
    </row>
    <row r="13" spans="2:9" x14ac:dyDescent="0.45">
      <c r="B13" s="60"/>
      <c r="C13" s="60"/>
      <c r="D13" s="60"/>
      <c r="E13" s="60"/>
      <c r="F13" s="60"/>
      <c r="G13" s="60"/>
      <c r="H13" s="60"/>
      <c r="I13" s="60"/>
    </row>
    <row r="14" spans="2:9" x14ac:dyDescent="0.45">
      <c r="B14" s="60"/>
      <c r="C14" s="60"/>
      <c r="D14" s="60"/>
      <c r="E14" s="60"/>
      <c r="F14" s="60"/>
      <c r="G14" s="60"/>
      <c r="H14" s="60"/>
      <c r="I14" s="60"/>
    </row>
    <row r="15" spans="2:9" x14ac:dyDescent="0.45">
      <c r="B15" s="60"/>
      <c r="C15" s="60"/>
      <c r="D15" s="60"/>
      <c r="E15" s="60"/>
      <c r="F15" s="60"/>
      <c r="G15" s="60"/>
      <c r="H15" s="60"/>
      <c r="I15" s="60"/>
    </row>
    <row r="47" spans="2:2" ht="21" x14ac:dyDescent="0.65">
      <c r="B47" s="51" t="s">
        <v>148</v>
      </c>
    </row>
    <row r="57" spans="2:9" x14ac:dyDescent="0.45">
      <c r="B57" s="39"/>
      <c r="C57" s="39"/>
      <c r="D57" s="39"/>
      <c r="E57" s="39"/>
      <c r="F57" s="39"/>
      <c r="G57" s="39"/>
      <c r="H57" s="39"/>
      <c r="I57" s="39"/>
    </row>
    <row r="58" spans="2:9" x14ac:dyDescent="0.45">
      <c r="B58" s="39"/>
      <c r="C58" s="39"/>
      <c r="D58" s="39"/>
      <c r="E58" s="39"/>
      <c r="F58" s="39"/>
      <c r="G58" s="39"/>
      <c r="H58" s="39"/>
      <c r="I58" s="39"/>
    </row>
    <row r="60" spans="2:9" ht="21" x14ac:dyDescent="0.65">
      <c r="B60" s="51" t="s">
        <v>149</v>
      </c>
      <c r="C60" s="51"/>
      <c r="D60" s="52"/>
      <c r="E60" s="52"/>
    </row>
    <row r="62" spans="2:9" ht="15.75" x14ac:dyDescent="0.5">
      <c r="B62" s="58" t="s">
        <v>137</v>
      </c>
      <c r="C62" s="58"/>
      <c r="D62" s="58"/>
      <c r="E62" s="58"/>
      <c r="F62" s="58"/>
      <c r="G62" s="58"/>
      <c r="H62" s="58"/>
      <c r="I62" s="58"/>
    </row>
    <row r="63" spans="2:9" x14ac:dyDescent="0.45">
      <c r="B63" s="46"/>
      <c r="C63" s="45">
        <v>43190</v>
      </c>
      <c r="D63" s="45">
        <v>43555</v>
      </c>
      <c r="E63" s="45">
        <v>43921</v>
      </c>
      <c r="F63" s="45">
        <v>44286</v>
      </c>
      <c r="G63" s="45">
        <v>44651</v>
      </c>
      <c r="H63" s="45">
        <v>45016</v>
      </c>
      <c r="I63" s="45">
        <v>45382</v>
      </c>
    </row>
    <row r="64" spans="2:9" x14ac:dyDescent="0.45">
      <c r="B64" t="s">
        <v>102</v>
      </c>
      <c r="C64" s="47">
        <f>'Data Sheet'!E30</f>
        <v>2095.6999999999998</v>
      </c>
      <c r="D64" s="47">
        <f>'Data Sheet'!F30</f>
        <v>2665.42</v>
      </c>
      <c r="E64" s="47">
        <f>'Data Sheet'!G30</f>
        <v>3764.93</v>
      </c>
      <c r="F64" s="47">
        <f>'Data Sheet'!H30</f>
        <v>2903.82</v>
      </c>
      <c r="G64" s="47">
        <f>'Data Sheet'!I30</f>
        <v>3272.73</v>
      </c>
      <c r="H64" s="47">
        <f>'Data Sheet'!J30</f>
        <v>8473.58</v>
      </c>
      <c r="I64" s="47">
        <f>'Data Sheet'!K30</f>
        <v>9576.3799999999992</v>
      </c>
    </row>
    <row r="65" spans="2:9" x14ac:dyDescent="0.45">
      <c r="B65" t="s">
        <v>138</v>
      </c>
      <c r="C65" s="47">
        <f>(SUM('Data Sheet'!D57:D58)+SUM('Data Sheet'!E57:E58))/2</f>
        <v>37476.89</v>
      </c>
      <c r="D65" s="47">
        <f>(SUM('Data Sheet'!E57:E58)+SUM('Data Sheet'!F57:F58))/2</f>
        <v>39861.584999999999</v>
      </c>
      <c r="E65" s="47">
        <f>(SUM('Data Sheet'!F57:F58)+SUM('Data Sheet'!G57:G58))/2</f>
        <v>43336.754999999997</v>
      </c>
      <c r="F65" s="47">
        <f>(SUM('Data Sheet'!G57:G58)+SUM('Data Sheet'!H57:H58))/2</f>
        <v>45863.614999999998</v>
      </c>
      <c r="G65" s="47">
        <f>(SUM('Data Sheet'!H57:H58)+SUM('Data Sheet'!I57:I58))/2</f>
        <v>47237</v>
      </c>
      <c r="H65" s="47">
        <f>(SUM('Data Sheet'!I57:I58)+SUM('Data Sheet'!J57:J58))/2</f>
        <v>52003.3</v>
      </c>
      <c r="I65" s="47">
        <f>(SUM('Data Sheet'!J57:J58)+SUM('Data Sheet'!K57:K58))/2</f>
        <v>59831.065000000002</v>
      </c>
    </row>
    <row r="66" spans="2:9" x14ac:dyDescent="0.45">
      <c r="B66" s="48" t="s">
        <v>59</v>
      </c>
      <c r="C66" s="49">
        <f>C64/C65</f>
        <v>5.5919794838899382E-2</v>
      </c>
      <c r="D66" s="49">
        <f t="shared" ref="D66:I66" si="0">D64/D65</f>
        <v>6.6866884495435902E-2</v>
      </c>
      <c r="E66" s="49">
        <f t="shared" si="0"/>
        <v>8.6876140126320028E-2</v>
      </c>
      <c r="F66" s="49">
        <f t="shared" si="0"/>
        <v>6.3314241583442565E-2</v>
      </c>
      <c r="G66" s="49">
        <f t="shared" si="0"/>
        <v>6.9283189025552E-2</v>
      </c>
      <c r="H66" s="49">
        <f t="shared" si="0"/>
        <v>0.16294312091732638</v>
      </c>
      <c r="I66" s="49">
        <f t="shared" si="0"/>
        <v>0.16005698711864813</v>
      </c>
    </row>
    <row r="68" spans="2:9" ht="15.75" x14ac:dyDescent="0.5">
      <c r="B68" s="58" t="s">
        <v>139</v>
      </c>
      <c r="C68" s="58"/>
      <c r="D68" s="58"/>
      <c r="E68" s="58"/>
      <c r="F68" s="58"/>
      <c r="G68" s="58"/>
      <c r="H68" s="58"/>
      <c r="I68" s="58"/>
    </row>
    <row r="69" spans="2:9" x14ac:dyDescent="0.45">
      <c r="B69" s="46"/>
      <c r="C69" s="45">
        <v>43190</v>
      </c>
      <c r="D69" s="45">
        <v>43555</v>
      </c>
      <c r="E69" s="45">
        <v>43921</v>
      </c>
      <c r="F69" s="45">
        <v>44286</v>
      </c>
      <c r="G69" s="45">
        <v>44651</v>
      </c>
      <c r="H69" s="45">
        <v>45016</v>
      </c>
      <c r="I69" s="45">
        <v>45382</v>
      </c>
    </row>
    <row r="71" spans="2:9" x14ac:dyDescent="0.45">
      <c r="B71" t="s">
        <v>102</v>
      </c>
      <c r="C71" s="47">
        <f>C64</f>
        <v>2095.6999999999998</v>
      </c>
      <c r="D71" s="47">
        <f t="shared" ref="D71:I71" si="1">D64</f>
        <v>2665.42</v>
      </c>
      <c r="E71" s="47">
        <f t="shared" si="1"/>
        <v>3764.93</v>
      </c>
      <c r="F71" s="47">
        <f t="shared" si="1"/>
        <v>2903.82</v>
      </c>
      <c r="G71" s="47">
        <f t="shared" si="1"/>
        <v>3272.73</v>
      </c>
      <c r="H71" s="47">
        <f t="shared" si="1"/>
        <v>8473.58</v>
      </c>
      <c r="I71" s="47">
        <f t="shared" si="1"/>
        <v>9576.3799999999992</v>
      </c>
    </row>
    <row r="72" spans="2:9" x14ac:dyDescent="0.45">
      <c r="B72" t="s">
        <v>140</v>
      </c>
      <c r="C72" s="47">
        <f>'Data Sheet'!E17</f>
        <v>26489.46</v>
      </c>
      <c r="D72" s="47">
        <f>'Data Sheet'!F17</f>
        <v>29065.91</v>
      </c>
      <c r="E72" s="47">
        <f>'Data Sheet'!G17</f>
        <v>32837.5</v>
      </c>
      <c r="F72" s="47">
        <f>'Data Sheet'!H17</f>
        <v>33498.14</v>
      </c>
      <c r="G72" s="47">
        <f>'Data Sheet'!I17</f>
        <v>38654.49</v>
      </c>
      <c r="H72" s="47">
        <f>'Data Sheet'!J17</f>
        <v>43885.68</v>
      </c>
      <c r="I72" s="47">
        <f>'Data Sheet'!K17</f>
        <v>48496.85</v>
      </c>
    </row>
    <row r="73" spans="2:9" x14ac:dyDescent="0.45">
      <c r="B73" s="48" t="s">
        <v>141</v>
      </c>
      <c r="C73" s="49">
        <f>C71/C72</f>
        <v>7.9114485535001458E-2</v>
      </c>
      <c r="D73" s="49">
        <f t="shared" ref="D73:I73" si="2">D71/D72</f>
        <v>9.170261657040843E-2</v>
      </c>
      <c r="E73" s="49">
        <f t="shared" si="2"/>
        <v>0.11465336886181957</v>
      </c>
      <c r="F73" s="49">
        <f t="shared" si="2"/>
        <v>8.6686007043973196E-2</v>
      </c>
      <c r="G73" s="49">
        <f t="shared" si="2"/>
        <v>8.4666231529636024E-2</v>
      </c>
      <c r="H73" s="49">
        <f t="shared" si="2"/>
        <v>0.19308302845028263</v>
      </c>
      <c r="I73" s="49">
        <f t="shared" si="2"/>
        <v>0.19746395899939892</v>
      </c>
    </row>
    <row r="75" spans="2:9" x14ac:dyDescent="0.45">
      <c r="B75" t="s">
        <v>140</v>
      </c>
      <c r="C75" s="47">
        <f>C72</f>
        <v>26489.46</v>
      </c>
      <c r="D75" s="47">
        <f t="shared" ref="D75:I75" si="3">D72</f>
        <v>29065.91</v>
      </c>
      <c r="E75" s="47">
        <f t="shared" si="3"/>
        <v>32837.5</v>
      </c>
      <c r="F75" s="47">
        <f t="shared" si="3"/>
        <v>33498.14</v>
      </c>
      <c r="G75" s="47">
        <f t="shared" si="3"/>
        <v>38654.49</v>
      </c>
      <c r="H75" s="47">
        <f t="shared" si="3"/>
        <v>43885.68</v>
      </c>
      <c r="I75" s="47">
        <f t="shared" si="3"/>
        <v>48496.85</v>
      </c>
    </row>
    <row r="76" spans="2:9" x14ac:dyDescent="0.45">
      <c r="B76" t="s">
        <v>142</v>
      </c>
      <c r="C76" s="47">
        <f>SUM('Data Sheet'!D65:E65)/2</f>
        <v>37631.864999999998</v>
      </c>
      <c r="D76" s="47">
        <f>SUM('Data Sheet'!E65:F65)/2</f>
        <v>34638.009999999995</v>
      </c>
      <c r="E76" s="47">
        <f>SUM('Data Sheet'!F65:G65)/2</f>
        <v>33711.634999999995</v>
      </c>
      <c r="F76" s="47">
        <f>SUM('Data Sheet'!G65:H65)/2</f>
        <v>34436.959999999999</v>
      </c>
      <c r="G76" s="47">
        <f>SUM('Data Sheet'!H65:I65)/2</f>
        <v>33932.660000000003</v>
      </c>
      <c r="H76" s="47">
        <f>SUM('Data Sheet'!I65:J65)/2</f>
        <v>34912.160000000003</v>
      </c>
      <c r="I76" s="47">
        <f>SUM('Data Sheet'!J65:K65)/2</f>
        <v>39282.875</v>
      </c>
    </row>
    <row r="77" spans="2:9" x14ac:dyDescent="0.45">
      <c r="B77" s="48" t="s">
        <v>143</v>
      </c>
      <c r="C77" s="50">
        <f>C75/C76</f>
        <v>0.7039103695764215</v>
      </c>
      <c r="D77" s="50">
        <f t="shared" ref="D77:I77" si="4">D75/D76</f>
        <v>0.8391333682275629</v>
      </c>
      <c r="E77" s="50">
        <f t="shared" si="4"/>
        <v>0.97407022827578682</v>
      </c>
      <c r="F77" s="50">
        <f t="shared" si="4"/>
        <v>0.97273801171764296</v>
      </c>
      <c r="G77" s="50">
        <f t="shared" si="4"/>
        <v>1.1391529576520083</v>
      </c>
      <c r="H77" s="50">
        <f t="shared" si="4"/>
        <v>1.2570313609928458</v>
      </c>
      <c r="I77" s="50">
        <f t="shared" si="4"/>
        <v>1.2345544973477629</v>
      </c>
    </row>
    <row r="79" spans="2:9" x14ac:dyDescent="0.45">
      <c r="B79" t="s">
        <v>142</v>
      </c>
      <c r="C79" s="47">
        <v>37631.864999999998</v>
      </c>
      <c r="D79" s="47">
        <v>34638.009999999995</v>
      </c>
      <c r="E79" s="47">
        <v>33711.634999999995</v>
      </c>
      <c r="F79" s="47">
        <v>34436.959999999999</v>
      </c>
      <c r="G79" s="47">
        <v>33932.660000000003</v>
      </c>
      <c r="H79" s="47">
        <v>34912.160000000003</v>
      </c>
      <c r="I79" s="47">
        <v>39282.875</v>
      </c>
    </row>
    <row r="80" spans="2:9" x14ac:dyDescent="0.45">
      <c r="B80" t="s">
        <v>138</v>
      </c>
      <c r="C80" s="47">
        <v>37476.89</v>
      </c>
      <c r="D80" s="47">
        <v>39861.584999999999</v>
      </c>
      <c r="E80" s="47">
        <v>43336.754999999997</v>
      </c>
      <c r="F80" s="47">
        <v>45863.614999999998</v>
      </c>
      <c r="G80" s="47">
        <v>47237</v>
      </c>
      <c r="H80" s="47">
        <v>52003.3</v>
      </c>
      <c r="I80" s="47">
        <v>59831.065000000002</v>
      </c>
    </row>
    <row r="81" spans="2:9" x14ac:dyDescent="0.45">
      <c r="B81" s="48" t="s">
        <v>144</v>
      </c>
      <c r="C81" s="50">
        <f>C79/C80</f>
        <v>1.0041352150618688</v>
      </c>
      <c r="D81" s="50">
        <f t="shared" ref="D81:I81" si="5">D79/D80</f>
        <v>0.86895716765903808</v>
      </c>
      <c r="E81" s="50">
        <f t="shared" si="5"/>
        <v>0.77789938356021338</v>
      </c>
      <c r="F81" s="50">
        <f t="shared" si="5"/>
        <v>0.7508557709635405</v>
      </c>
      <c r="G81" s="50">
        <f t="shared" si="5"/>
        <v>0.71834917543451116</v>
      </c>
      <c r="H81" s="50">
        <f t="shared" si="5"/>
        <v>0.67134508771558732</v>
      </c>
      <c r="I81" s="50">
        <f t="shared" si="5"/>
        <v>0.6565631917132011</v>
      </c>
    </row>
    <row r="83" spans="2:9" x14ac:dyDescent="0.45">
      <c r="B83" s="48" t="s">
        <v>59</v>
      </c>
      <c r="C83" s="49">
        <f>C81*C77*C73</f>
        <v>5.5919794838899382E-2</v>
      </c>
      <c r="D83" s="49">
        <f t="shared" ref="D83:I83" si="6">D81*D77*D73</f>
        <v>6.6866884495435902E-2</v>
      </c>
      <c r="E83" s="49">
        <f t="shared" si="6"/>
        <v>8.6876140126320014E-2</v>
      </c>
      <c r="F83" s="49">
        <f t="shared" si="6"/>
        <v>6.3314241583442579E-2</v>
      </c>
      <c r="G83" s="49">
        <f t="shared" si="6"/>
        <v>6.9283189025552014E-2</v>
      </c>
      <c r="H83" s="49">
        <f t="shared" si="6"/>
        <v>0.16294312091732638</v>
      </c>
      <c r="I83" s="49">
        <f t="shared" si="6"/>
        <v>0.16005698711864813</v>
      </c>
    </row>
    <row r="85" spans="2:9" ht="15.75" x14ac:dyDescent="0.5">
      <c r="B85" s="58" t="s">
        <v>145</v>
      </c>
      <c r="C85" s="58"/>
      <c r="D85" s="58"/>
      <c r="E85" s="58"/>
      <c r="F85" s="58"/>
      <c r="G85" s="58"/>
      <c r="H85" s="58"/>
      <c r="I85" s="58"/>
    </row>
    <row r="86" spans="2:9" x14ac:dyDescent="0.45">
      <c r="B86" s="46"/>
      <c r="C86" s="45">
        <v>43190</v>
      </c>
      <c r="D86" s="45">
        <v>43555</v>
      </c>
      <c r="E86" s="45">
        <v>43921</v>
      </c>
      <c r="F86" s="45">
        <v>44286</v>
      </c>
      <c r="G86" s="45">
        <v>44651</v>
      </c>
      <c r="H86" s="45">
        <v>45016</v>
      </c>
      <c r="I86" s="45">
        <v>45382</v>
      </c>
    </row>
    <row r="87" spans="2:9" x14ac:dyDescent="0.45">
      <c r="B87" t="s">
        <v>102</v>
      </c>
      <c r="C87" s="47">
        <v>2095.6999999999998</v>
      </c>
      <c r="D87" s="47">
        <v>2665.42</v>
      </c>
      <c r="E87" s="47">
        <v>3764.93</v>
      </c>
      <c r="F87" s="47">
        <v>2903.82</v>
      </c>
      <c r="G87" s="47">
        <v>3272.73</v>
      </c>
      <c r="H87" s="47">
        <v>8473.58</v>
      </c>
      <c r="I87" s="47">
        <v>9576.3799999999992</v>
      </c>
    </row>
    <row r="88" spans="2:9" x14ac:dyDescent="0.45">
      <c r="B88" t="s">
        <v>142</v>
      </c>
      <c r="C88" s="47">
        <v>37631.864999999998</v>
      </c>
      <c r="D88" s="47">
        <v>34638.009999999995</v>
      </c>
      <c r="E88" s="47">
        <v>33711.634999999995</v>
      </c>
      <c r="F88" s="47">
        <v>34436.959999999999</v>
      </c>
      <c r="G88" s="47">
        <v>33932.660000000003</v>
      </c>
      <c r="H88" s="47">
        <v>34912.160000000003</v>
      </c>
      <c r="I88" s="47">
        <v>39282.875</v>
      </c>
    </row>
    <row r="89" spans="2:9" x14ac:dyDescent="0.45">
      <c r="B89" s="48" t="s">
        <v>146</v>
      </c>
      <c r="C89" s="49">
        <f>C87/C88</f>
        <v>5.568950675179133E-2</v>
      </c>
      <c r="D89" s="49">
        <f t="shared" ref="D89:I89" si="7">D87/D88</f>
        <v>7.6950725518007537E-2</v>
      </c>
      <c r="E89" s="49">
        <f t="shared" si="7"/>
        <v>0.11168043317982057</v>
      </c>
      <c r="F89" s="49">
        <f t="shared" si="7"/>
        <v>8.4322774135696069E-2</v>
      </c>
      <c r="G89" s="49">
        <f t="shared" si="7"/>
        <v>9.6447788060234588E-2</v>
      </c>
      <c r="H89" s="49">
        <f t="shared" si="7"/>
        <v>0.24271142203747917</v>
      </c>
      <c r="I89" s="49">
        <f t="shared" si="7"/>
        <v>0.24378001864680218</v>
      </c>
    </row>
    <row r="91" spans="2:9" ht="15.75" x14ac:dyDescent="0.5">
      <c r="B91" s="58" t="s">
        <v>147</v>
      </c>
      <c r="C91" s="58"/>
      <c r="D91" s="58"/>
      <c r="E91" s="58"/>
      <c r="F91" s="58"/>
      <c r="G91" s="58"/>
      <c r="H91" s="58"/>
      <c r="I91" s="58"/>
    </row>
    <row r="92" spans="2:9" x14ac:dyDescent="0.45">
      <c r="B92" s="46"/>
      <c r="C92" s="45">
        <v>43190</v>
      </c>
      <c r="D92" s="45">
        <v>43555</v>
      </c>
      <c r="E92" s="45">
        <v>43921</v>
      </c>
      <c r="F92" s="45">
        <v>44286</v>
      </c>
      <c r="G92" s="45">
        <v>44651</v>
      </c>
      <c r="H92" s="45">
        <v>45016</v>
      </c>
      <c r="I92" s="45">
        <v>45382</v>
      </c>
    </row>
    <row r="94" spans="2:9" x14ac:dyDescent="0.45">
      <c r="B94" t="s">
        <v>102</v>
      </c>
      <c r="C94" s="47">
        <f>C87</f>
        <v>2095.6999999999998</v>
      </c>
      <c r="D94" s="47">
        <f t="shared" ref="D94:I94" si="8">D87</f>
        <v>2665.42</v>
      </c>
      <c r="E94" s="47">
        <f t="shared" si="8"/>
        <v>3764.93</v>
      </c>
      <c r="F94" s="47">
        <f t="shared" si="8"/>
        <v>2903.82</v>
      </c>
      <c r="G94" s="47">
        <f t="shared" si="8"/>
        <v>3272.73</v>
      </c>
      <c r="H94" s="47">
        <f t="shared" si="8"/>
        <v>8473.58</v>
      </c>
      <c r="I94" s="47">
        <f t="shared" si="8"/>
        <v>9576.3799999999992</v>
      </c>
    </row>
    <row r="95" spans="2:9" x14ac:dyDescent="0.45">
      <c r="B95" t="s">
        <v>140</v>
      </c>
      <c r="C95" s="47">
        <v>26489.46</v>
      </c>
      <c r="D95" s="47">
        <v>29065.91</v>
      </c>
      <c r="E95" s="47">
        <v>32837.5</v>
      </c>
      <c r="F95" s="47">
        <v>33498.14</v>
      </c>
      <c r="G95" s="47">
        <v>38654.49</v>
      </c>
      <c r="H95" s="47">
        <v>43885.68</v>
      </c>
      <c r="I95" s="47">
        <v>48496.85</v>
      </c>
    </row>
    <row r="96" spans="2:9" x14ac:dyDescent="0.45">
      <c r="B96" s="48" t="s">
        <v>141</v>
      </c>
      <c r="C96" s="49">
        <f>C94/C95</f>
        <v>7.9114485535001458E-2</v>
      </c>
      <c r="D96" s="49">
        <f t="shared" ref="D96" si="9">D94/D95</f>
        <v>9.170261657040843E-2</v>
      </c>
      <c r="E96" s="49">
        <f t="shared" ref="E96" si="10">E94/E95</f>
        <v>0.11465336886181957</v>
      </c>
      <c r="F96" s="49">
        <f t="shared" ref="F96" si="11">F94/F95</f>
        <v>8.6686007043973196E-2</v>
      </c>
      <c r="G96" s="49">
        <f t="shared" ref="G96" si="12">G94/G95</f>
        <v>8.4666231529636024E-2</v>
      </c>
      <c r="H96" s="49">
        <f t="shared" ref="H96" si="13">H94/H95</f>
        <v>0.19308302845028263</v>
      </c>
      <c r="I96" s="49">
        <f t="shared" ref="I96" si="14">I94/I95</f>
        <v>0.19746395899939892</v>
      </c>
    </row>
    <row r="98" spans="2:9" x14ac:dyDescent="0.45">
      <c r="B98" t="s">
        <v>140</v>
      </c>
      <c r="C98" s="47">
        <f>C95</f>
        <v>26489.46</v>
      </c>
      <c r="D98" s="47">
        <f t="shared" ref="D98:I98" si="15">D95</f>
        <v>29065.91</v>
      </c>
      <c r="E98" s="47">
        <f t="shared" si="15"/>
        <v>32837.5</v>
      </c>
      <c r="F98" s="47">
        <f t="shared" si="15"/>
        <v>33498.14</v>
      </c>
      <c r="G98" s="47">
        <f t="shared" si="15"/>
        <v>38654.49</v>
      </c>
      <c r="H98" s="47">
        <f t="shared" si="15"/>
        <v>43885.68</v>
      </c>
      <c r="I98" s="47">
        <f t="shared" si="15"/>
        <v>48496.85</v>
      </c>
    </row>
    <row r="99" spans="2:9" x14ac:dyDescent="0.45">
      <c r="B99" t="s">
        <v>142</v>
      </c>
      <c r="C99" s="47">
        <v>37631.864999999998</v>
      </c>
      <c r="D99" s="47">
        <v>34638.009999999995</v>
      </c>
      <c r="E99" s="47">
        <v>33711.634999999995</v>
      </c>
      <c r="F99" s="47">
        <v>34436.959999999999</v>
      </c>
      <c r="G99" s="47">
        <v>33932.660000000003</v>
      </c>
      <c r="H99" s="47">
        <v>34912.160000000003</v>
      </c>
      <c r="I99" s="47">
        <v>39282.875</v>
      </c>
    </row>
    <row r="100" spans="2:9" x14ac:dyDescent="0.45">
      <c r="B100" s="48" t="s">
        <v>143</v>
      </c>
      <c r="C100" s="50">
        <f>C98/C99</f>
        <v>0.7039103695764215</v>
      </c>
      <c r="D100" s="50">
        <f t="shared" ref="D100" si="16">D98/D99</f>
        <v>0.8391333682275629</v>
      </c>
      <c r="E100" s="50">
        <f t="shared" ref="E100" si="17">E98/E99</f>
        <v>0.97407022827578682</v>
      </c>
      <c r="F100" s="50">
        <f t="shared" ref="F100" si="18">F98/F99</f>
        <v>0.97273801171764296</v>
      </c>
      <c r="G100" s="50">
        <f t="shared" ref="G100" si="19">G98/G99</f>
        <v>1.1391529576520083</v>
      </c>
      <c r="H100" s="50">
        <f t="shared" ref="H100" si="20">H98/H99</f>
        <v>1.2570313609928458</v>
      </c>
      <c r="I100" s="50">
        <f t="shared" ref="I100" si="21">I98/I99</f>
        <v>1.2345544973477629</v>
      </c>
    </row>
    <row r="102" spans="2:9" x14ac:dyDescent="0.45">
      <c r="B102" s="48" t="s">
        <v>146</v>
      </c>
      <c r="C102" s="49">
        <f>C96*C100</f>
        <v>5.568950675179133E-2</v>
      </c>
      <c r="D102" s="49">
        <f t="shared" ref="D102:I102" si="22">D96*D100</f>
        <v>7.6950725518007551E-2</v>
      </c>
      <c r="E102" s="49">
        <f t="shared" si="22"/>
        <v>0.11168043317982057</v>
      </c>
      <c r="F102" s="49">
        <f t="shared" si="22"/>
        <v>8.4322774135696082E-2</v>
      </c>
      <c r="G102" s="49">
        <f t="shared" si="22"/>
        <v>9.6447788060234602E-2</v>
      </c>
      <c r="H102" s="49">
        <f t="shared" si="22"/>
        <v>0.24271142203747917</v>
      </c>
      <c r="I102" s="49">
        <f t="shared" si="22"/>
        <v>0.24378001864680218</v>
      </c>
    </row>
    <row r="104" spans="2:9" ht="21" x14ac:dyDescent="0.65">
      <c r="B104" s="40" t="s">
        <v>151</v>
      </c>
    </row>
    <row r="112" spans="2:9" x14ac:dyDescent="0.45">
      <c r="B112" s="59" t="s">
        <v>150</v>
      </c>
      <c r="C112" s="59"/>
      <c r="D112" s="59"/>
      <c r="E112" s="59"/>
      <c r="F112" s="59"/>
      <c r="G112" s="59"/>
      <c r="H112" s="59"/>
      <c r="I112" s="59"/>
    </row>
    <row r="113" spans="2:9" x14ac:dyDescent="0.45">
      <c r="B113" s="59"/>
      <c r="C113" s="59"/>
      <c r="D113" s="59"/>
      <c r="E113" s="59"/>
      <c r="F113" s="59"/>
      <c r="G113" s="59"/>
      <c r="H113" s="59"/>
      <c r="I113" s="59"/>
    </row>
    <row r="114" spans="2:9" x14ac:dyDescent="0.45">
      <c r="B114" s="53"/>
      <c r="C114" s="53"/>
      <c r="D114" s="53"/>
      <c r="E114" s="53"/>
      <c r="F114" s="53"/>
      <c r="G114" s="53"/>
      <c r="H114" s="53"/>
      <c r="I114" s="53"/>
    </row>
  </sheetData>
  <mergeCells count="6">
    <mergeCell ref="B85:I85"/>
    <mergeCell ref="B91:I91"/>
    <mergeCell ref="B112:I113"/>
    <mergeCell ref="B9:I15"/>
    <mergeCell ref="B62:I62"/>
    <mergeCell ref="B68:I68"/>
  </mergeCells>
  <pageMargins left="0.74803149606299213" right="0.59055118110236227" top="0.74803149606299213" bottom="0.74803149606299213" header="0.31496062992125984" footer="0.31496062992125984"/>
  <pageSetup scale="80" orientation="portrait" r:id="rId1"/>
  <ignoredErrors>
    <ignoredError sqref="C65:I65 C76:I76"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Profit &amp; Loss</vt:lpstr>
      <vt:lpstr>Quarters</vt:lpstr>
      <vt:lpstr>Balance Sheet</vt:lpstr>
      <vt:lpstr>Cash Flow</vt:lpstr>
      <vt:lpstr>Customization</vt:lpstr>
      <vt:lpstr>Data Sheet</vt:lpstr>
      <vt:lpstr>fs</vt:lpstr>
      <vt:lpstr>cmnsize</vt:lpstr>
      <vt:lpstr>dupont</vt:lpstr>
      <vt:lpstr>altzman</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dc:creator>
  <cp:lastModifiedBy>udit saini</cp:lastModifiedBy>
  <cp:lastPrinted>2024-07-27T18:09:46Z</cp:lastPrinted>
  <dcterms:created xsi:type="dcterms:W3CDTF">2012-08-17T09:55:37Z</dcterms:created>
  <dcterms:modified xsi:type="dcterms:W3CDTF">2024-07-27T18:10:15Z</dcterms:modified>
</cp:coreProperties>
</file>