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dit Saini\Desktop\SUN PHARMA\"/>
    </mc:Choice>
  </mc:AlternateContent>
  <xr:revisionPtr revIDLastSave="0" documentId="8_{6E9527EF-56AC-49CC-A234-B2C4496CCB65}" xr6:coauthVersionLast="47" xr6:coauthVersionMax="47" xr10:uidLastSave="{00000000-0000-0000-0000-000000000000}"/>
  <bookViews>
    <workbookView xWindow="-98" yWindow="-98" windowWidth="21795" windowHeight="12975" firstSheet="1" activeTab="8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  <sheet name="FS" sheetId="8" r:id="rId7"/>
    <sheet name="Ratio" sheetId="9" r:id="rId8"/>
    <sheet name="Sheet1" sheetId="10" r:id="rId9"/>
  </sheets>
  <definedNames>
    <definedName name="_xlnm.Print_Area" localSheetId="7">Ratio!$A$1:$O$40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1" i="10" l="1"/>
  <c r="O21" i="10" s="1"/>
  <c r="N20" i="10"/>
  <c r="O20" i="10" s="1"/>
  <c r="N19" i="10"/>
  <c r="O19" i="10" s="1"/>
  <c r="N18" i="10"/>
  <c r="O18" i="10" s="1"/>
  <c r="N17" i="10"/>
  <c r="O17" i="10" s="1"/>
  <c r="O8" i="10" a="1"/>
  <c r="O8" i="10" s="1"/>
  <c r="N7" i="10" a="1"/>
  <c r="N7" i="10" s="1"/>
  <c r="M8" i="10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L8" i="10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J21" i="10"/>
  <c r="J20" i="10"/>
  <c r="J19" i="10"/>
  <c r="J18" i="10"/>
  <c r="J17" i="10"/>
  <c r="I21" i="10"/>
  <c r="I20" i="10"/>
  <c r="I19" i="10"/>
  <c r="I18" i="10"/>
  <c r="I17" i="10"/>
  <c r="J8" i="10" a="1"/>
  <c r="J8" i="10" s="1"/>
  <c r="E21" i="10"/>
  <c r="E20" i="10"/>
  <c r="E19" i="10"/>
  <c r="E18" i="10"/>
  <c r="E17" i="10"/>
  <c r="I7" i="10" a="1"/>
  <c r="I7" i="10" s="1"/>
  <c r="H8" i="10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G8" i="10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E8" i="10" l="1" a="1"/>
  <c r="E8" i="10" s="1"/>
  <c r="D7" i="10" a="1"/>
  <c r="D7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O34" i="9"/>
  <c r="O33" i="9"/>
  <c r="O32" i="9"/>
  <c r="O31" i="9"/>
  <c r="O30" i="9"/>
  <c r="O28" i="9"/>
  <c r="O26" i="9"/>
  <c r="O25" i="9"/>
  <c r="O24" i="9"/>
  <c r="O21" i="9"/>
  <c r="O20" i="9"/>
  <c r="O18" i="9"/>
  <c r="O17" i="9"/>
  <c r="O16" i="9"/>
  <c r="O15" i="9"/>
  <c r="O14" i="9"/>
  <c r="O12" i="9"/>
  <c r="O11" i="9"/>
  <c r="O10" i="9"/>
  <c r="O9" i="9"/>
  <c r="O8" i="9"/>
  <c r="N34" i="9"/>
  <c r="N33" i="9"/>
  <c r="N32" i="9"/>
  <c r="N31" i="9"/>
  <c r="N30" i="9"/>
  <c r="N28" i="9"/>
  <c r="N26" i="9"/>
  <c r="N25" i="9"/>
  <c r="N24" i="9"/>
  <c r="N21" i="9"/>
  <c r="N20" i="9"/>
  <c r="N18" i="9"/>
  <c r="N17" i="9"/>
  <c r="N16" i="9"/>
  <c r="N15" i="9"/>
  <c r="N14" i="9"/>
  <c r="N12" i="9"/>
  <c r="N11" i="9"/>
  <c r="N10" i="9"/>
  <c r="N9" i="9"/>
  <c r="N8" i="9"/>
  <c r="L39" i="9"/>
  <c r="K39" i="9"/>
  <c r="J39" i="9"/>
  <c r="I39" i="9"/>
  <c r="H39" i="9"/>
  <c r="G39" i="9"/>
  <c r="C39" i="9"/>
  <c r="O39" i="9" s="1"/>
  <c r="L38" i="9"/>
  <c r="K38" i="9"/>
  <c r="J38" i="9"/>
  <c r="I38" i="9"/>
  <c r="H38" i="9"/>
  <c r="G38" i="9"/>
  <c r="F38" i="9"/>
  <c r="F39" i="9" s="1"/>
  <c r="E38" i="9"/>
  <c r="D38" i="9"/>
  <c r="C38" i="9"/>
  <c r="O38" i="9" s="1"/>
  <c r="L37" i="9"/>
  <c r="K37" i="9"/>
  <c r="J37" i="9"/>
  <c r="I37" i="9"/>
  <c r="H37" i="9"/>
  <c r="O37" i="9" s="1"/>
  <c r="G37" i="9"/>
  <c r="F37" i="9"/>
  <c r="E37" i="9"/>
  <c r="D37" i="9"/>
  <c r="C37" i="9"/>
  <c r="L36" i="9"/>
  <c r="K36" i="9"/>
  <c r="J36" i="9"/>
  <c r="I36" i="9"/>
  <c r="H36" i="9"/>
  <c r="G36" i="9"/>
  <c r="F36" i="9"/>
  <c r="E36" i="9"/>
  <c r="E39" i="9" s="1"/>
  <c r="D36" i="9"/>
  <c r="D39" i="9" s="1"/>
  <c r="C36" i="9"/>
  <c r="L34" i="9"/>
  <c r="K34" i="9"/>
  <c r="J34" i="9"/>
  <c r="I34" i="9"/>
  <c r="H34" i="9"/>
  <c r="G34" i="9"/>
  <c r="F34" i="9"/>
  <c r="E34" i="9"/>
  <c r="D34" i="9"/>
  <c r="C34" i="9"/>
  <c r="L33" i="9"/>
  <c r="K33" i="9"/>
  <c r="J33" i="9"/>
  <c r="I33" i="9"/>
  <c r="H33" i="9"/>
  <c r="G33" i="9"/>
  <c r="F33" i="9"/>
  <c r="E33" i="9"/>
  <c r="D33" i="9"/>
  <c r="C33" i="9"/>
  <c r="L32" i="9"/>
  <c r="K32" i="9"/>
  <c r="J32" i="9"/>
  <c r="I32" i="9"/>
  <c r="H32" i="9"/>
  <c r="G32" i="9"/>
  <c r="F32" i="9"/>
  <c r="E32" i="9"/>
  <c r="D32" i="9"/>
  <c r="C32" i="9"/>
  <c r="L28" i="9"/>
  <c r="K28" i="9"/>
  <c r="L30" i="9"/>
  <c r="K30" i="9"/>
  <c r="L31" i="9"/>
  <c r="K31" i="9"/>
  <c r="J31" i="9"/>
  <c r="I31" i="9"/>
  <c r="H31" i="9"/>
  <c r="G31" i="9"/>
  <c r="F31" i="9"/>
  <c r="E31" i="9"/>
  <c r="D31" i="9"/>
  <c r="C31" i="9"/>
  <c r="J30" i="9"/>
  <c r="I30" i="9"/>
  <c r="H30" i="9"/>
  <c r="G30" i="9"/>
  <c r="F30" i="9"/>
  <c r="E30" i="9"/>
  <c r="D30" i="9"/>
  <c r="C30" i="9"/>
  <c r="J28" i="9"/>
  <c r="I28" i="9"/>
  <c r="H28" i="9"/>
  <c r="G28" i="9"/>
  <c r="F28" i="9"/>
  <c r="E28" i="9"/>
  <c r="D28" i="9"/>
  <c r="C28" i="9"/>
  <c r="C27" i="9"/>
  <c r="N27" i="9" s="1"/>
  <c r="L27" i="9"/>
  <c r="K27" i="9"/>
  <c r="J27" i="9"/>
  <c r="I27" i="9"/>
  <c r="H27" i="9"/>
  <c r="G27" i="9"/>
  <c r="F27" i="9"/>
  <c r="E27" i="9"/>
  <c r="D27" i="9"/>
  <c r="L26" i="9"/>
  <c r="K26" i="9"/>
  <c r="J26" i="9"/>
  <c r="I26" i="9"/>
  <c r="H26" i="9"/>
  <c r="G26" i="9"/>
  <c r="F26" i="9"/>
  <c r="E26" i="9"/>
  <c r="D26" i="9"/>
  <c r="C26" i="9"/>
  <c r="L25" i="9"/>
  <c r="K25" i="9"/>
  <c r="J25" i="9"/>
  <c r="I25" i="9"/>
  <c r="H25" i="9"/>
  <c r="G25" i="9"/>
  <c r="F25" i="9"/>
  <c r="E25" i="9"/>
  <c r="D25" i="9"/>
  <c r="C25" i="9"/>
  <c r="L24" i="9"/>
  <c r="K24" i="9"/>
  <c r="J24" i="9"/>
  <c r="I24" i="9"/>
  <c r="H24" i="9"/>
  <c r="G24" i="9"/>
  <c r="F24" i="9"/>
  <c r="E24" i="9"/>
  <c r="D24" i="9"/>
  <c r="C24" i="9"/>
  <c r="L22" i="9"/>
  <c r="K22" i="9"/>
  <c r="J22" i="9"/>
  <c r="I22" i="9"/>
  <c r="H22" i="9"/>
  <c r="G22" i="9"/>
  <c r="F22" i="9"/>
  <c r="E22" i="9"/>
  <c r="D22" i="9"/>
  <c r="O22" i="9" s="1"/>
  <c r="C22" i="9"/>
  <c r="L21" i="9"/>
  <c r="K21" i="9"/>
  <c r="J21" i="9"/>
  <c r="I21" i="9"/>
  <c r="H21" i="9"/>
  <c r="G21" i="9"/>
  <c r="F21" i="9"/>
  <c r="E21" i="9"/>
  <c r="D21" i="9"/>
  <c r="C21" i="9"/>
  <c r="L20" i="9"/>
  <c r="K20" i="9"/>
  <c r="J20" i="9"/>
  <c r="I20" i="9"/>
  <c r="H20" i="9"/>
  <c r="G20" i="9"/>
  <c r="F20" i="9"/>
  <c r="E20" i="9"/>
  <c r="D20" i="9"/>
  <c r="C20" i="9"/>
  <c r="L18" i="9"/>
  <c r="K18" i="9"/>
  <c r="J18" i="9"/>
  <c r="I18" i="9"/>
  <c r="H18" i="9"/>
  <c r="G18" i="9"/>
  <c r="F18" i="9"/>
  <c r="E18" i="9"/>
  <c r="D18" i="9"/>
  <c r="C18" i="9"/>
  <c r="L17" i="9"/>
  <c r="K17" i="9"/>
  <c r="J17" i="9"/>
  <c r="I17" i="9"/>
  <c r="H17" i="9"/>
  <c r="G17" i="9"/>
  <c r="F17" i="9"/>
  <c r="E17" i="9"/>
  <c r="D17" i="9"/>
  <c r="C17" i="9"/>
  <c r="L16" i="9"/>
  <c r="K16" i="9"/>
  <c r="J16" i="9"/>
  <c r="I16" i="9"/>
  <c r="H16" i="9"/>
  <c r="G16" i="9"/>
  <c r="F16" i="9"/>
  <c r="E16" i="9"/>
  <c r="D16" i="9"/>
  <c r="C16" i="9"/>
  <c r="L15" i="9"/>
  <c r="K15" i="9"/>
  <c r="J15" i="9"/>
  <c r="I15" i="9"/>
  <c r="H15" i="9"/>
  <c r="G15" i="9"/>
  <c r="F15" i="9"/>
  <c r="E15" i="9"/>
  <c r="D15" i="9"/>
  <c r="C15" i="9"/>
  <c r="L14" i="9"/>
  <c r="K14" i="9"/>
  <c r="J14" i="9"/>
  <c r="I14" i="9"/>
  <c r="H14" i="9"/>
  <c r="G14" i="9"/>
  <c r="F14" i="9"/>
  <c r="E14" i="9"/>
  <c r="D14" i="9"/>
  <c r="C14" i="9"/>
  <c r="L12" i="9"/>
  <c r="K12" i="9"/>
  <c r="J12" i="9"/>
  <c r="I12" i="9"/>
  <c r="H12" i="9"/>
  <c r="G12" i="9"/>
  <c r="F12" i="9"/>
  <c r="E12" i="9"/>
  <c r="D12" i="9"/>
  <c r="L11" i="9"/>
  <c r="K11" i="9"/>
  <c r="J11" i="9"/>
  <c r="I11" i="9"/>
  <c r="H11" i="9"/>
  <c r="G11" i="9"/>
  <c r="F11" i="9"/>
  <c r="E11" i="9"/>
  <c r="D11" i="9"/>
  <c r="L10" i="9"/>
  <c r="K10" i="9"/>
  <c r="J10" i="9"/>
  <c r="I10" i="9"/>
  <c r="H10" i="9"/>
  <c r="G10" i="9"/>
  <c r="F10" i="9"/>
  <c r="E10" i="9"/>
  <c r="D10" i="9"/>
  <c r="L9" i="9"/>
  <c r="K9" i="9"/>
  <c r="J9" i="9"/>
  <c r="I9" i="9"/>
  <c r="H9" i="9"/>
  <c r="G9" i="9"/>
  <c r="F9" i="9"/>
  <c r="E9" i="9"/>
  <c r="D9" i="9"/>
  <c r="L8" i="9"/>
  <c r="K8" i="9"/>
  <c r="J8" i="9"/>
  <c r="I8" i="9"/>
  <c r="H8" i="9"/>
  <c r="G8" i="9"/>
  <c r="F8" i="9"/>
  <c r="E8" i="9"/>
  <c r="D8" i="9"/>
  <c r="L29" i="8"/>
  <c r="K29" i="8"/>
  <c r="J29" i="8"/>
  <c r="I29" i="8"/>
  <c r="H29" i="8"/>
  <c r="G29" i="8"/>
  <c r="F29" i="8"/>
  <c r="E29" i="8"/>
  <c r="D29" i="8"/>
  <c r="C29" i="8"/>
  <c r="B18" i="10" l="1"/>
  <c r="D17" i="10"/>
  <c r="O27" i="9"/>
  <c r="N36" i="9"/>
  <c r="N22" i="9"/>
  <c r="N37" i="9"/>
  <c r="N38" i="9"/>
  <c r="N39" i="9"/>
  <c r="O36" i="9"/>
  <c r="B19" i="10" l="1"/>
  <c r="D18" i="10"/>
  <c r="L76" i="8"/>
  <c r="K76" i="8"/>
  <c r="J76" i="8"/>
  <c r="I76" i="8"/>
  <c r="H76" i="8"/>
  <c r="G76" i="8"/>
  <c r="F76" i="8"/>
  <c r="E76" i="8"/>
  <c r="D76" i="8"/>
  <c r="C76" i="8"/>
  <c r="L74" i="8"/>
  <c r="K74" i="8"/>
  <c r="J74" i="8"/>
  <c r="I74" i="8"/>
  <c r="H74" i="8"/>
  <c r="G74" i="8"/>
  <c r="F74" i="8"/>
  <c r="E74" i="8"/>
  <c r="D74" i="8"/>
  <c r="C74" i="8"/>
  <c r="L73" i="8"/>
  <c r="K73" i="8"/>
  <c r="J73" i="8"/>
  <c r="I73" i="8"/>
  <c r="H73" i="8"/>
  <c r="G73" i="8"/>
  <c r="F73" i="8"/>
  <c r="E73" i="8"/>
  <c r="D73" i="8"/>
  <c r="C73" i="8"/>
  <c r="L72" i="8"/>
  <c r="K72" i="8"/>
  <c r="J72" i="8"/>
  <c r="I72" i="8"/>
  <c r="H72" i="8"/>
  <c r="G72" i="8"/>
  <c r="F72" i="8"/>
  <c r="E72" i="8"/>
  <c r="D72" i="8"/>
  <c r="C72" i="8"/>
  <c r="K65" i="8"/>
  <c r="J65" i="8"/>
  <c r="L59" i="8"/>
  <c r="K59" i="8"/>
  <c r="J59" i="8"/>
  <c r="I59" i="8"/>
  <c r="H59" i="8"/>
  <c r="G59" i="8"/>
  <c r="F59" i="8"/>
  <c r="E59" i="8"/>
  <c r="D59" i="8"/>
  <c r="C59" i="8"/>
  <c r="L64" i="8"/>
  <c r="K64" i="8"/>
  <c r="J64" i="8"/>
  <c r="I64" i="8"/>
  <c r="H64" i="8"/>
  <c r="G64" i="8"/>
  <c r="G65" i="8" s="1"/>
  <c r="F64" i="8"/>
  <c r="F65" i="8" s="1"/>
  <c r="F67" i="8" s="1"/>
  <c r="F69" i="8" s="1"/>
  <c r="E64" i="8"/>
  <c r="D64" i="8"/>
  <c r="C64" i="8"/>
  <c r="L63" i="8"/>
  <c r="K63" i="8"/>
  <c r="J63" i="8"/>
  <c r="I63" i="8"/>
  <c r="H63" i="8"/>
  <c r="G63" i="8"/>
  <c r="F63" i="8"/>
  <c r="E63" i="8"/>
  <c r="D63" i="8"/>
  <c r="C63" i="8"/>
  <c r="L62" i="8"/>
  <c r="L65" i="8" s="1"/>
  <c r="K62" i="8"/>
  <c r="J62" i="8"/>
  <c r="I62" i="8"/>
  <c r="I65" i="8" s="1"/>
  <c r="H62" i="8"/>
  <c r="H65" i="8" s="1"/>
  <c r="G62" i="8"/>
  <c r="F62" i="8"/>
  <c r="E62" i="8"/>
  <c r="E65" i="8" s="1"/>
  <c r="E67" i="8" s="1"/>
  <c r="E69" i="8" s="1"/>
  <c r="D62" i="8"/>
  <c r="D65" i="8" s="1"/>
  <c r="D67" i="8" s="1"/>
  <c r="D69" i="8" s="1"/>
  <c r="C62" i="8"/>
  <c r="C65" i="8" s="1"/>
  <c r="C67" i="8" s="1"/>
  <c r="C69" i="8" s="1"/>
  <c r="L58" i="8"/>
  <c r="K58" i="8"/>
  <c r="K60" i="8" s="1"/>
  <c r="J58" i="8"/>
  <c r="I58" i="8"/>
  <c r="H58" i="8"/>
  <c r="G58" i="8"/>
  <c r="F58" i="8"/>
  <c r="E58" i="8"/>
  <c r="D58" i="8"/>
  <c r="C58" i="8"/>
  <c r="L57" i="8"/>
  <c r="K57" i="8"/>
  <c r="J57" i="8"/>
  <c r="J60" i="8" s="1"/>
  <c r="I57" i="8"/>
  <c r="I60" i="8" s="1"/>
  <c r="H57" i="8"/>
  <c r="H60" i="8" s="1"/>
  <c r="G57" i="8"/>
  <c r="F57" i="8"/>
  <c r="E57" i="8"/>
  <c r="E60" i="8" s="1"/>
  <c r="D57" i="8"/>
  <c r="D60" i="8" s="1"/>
  <c r="C57" i="8"/>
  <c r="L56" i="8"/>
  <c r="L60" i="8" s="1"/>
  <c r="K56" i="8"/>
  <c r="J56" i="8"/>
  <c r="I56" i="8"/>
  <c r="H56" i="8"/>
  <c r="G56" i="8"/>
  <c r="G60" i="8" s="1"/>
  <c r="G67" i="8" s="1"/>
  <c r="G69" i="8" s="1"/>
  <c r="F56" i="8"/>
  <c r="F60" i="8" s="1"/>
  <c r="E56" i="8"/>
  <c r="D56" i="8"/>
  <c r="C56" i="8"/>
  <c r="C60" i="8" s="1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39" i="8"/>
  <c r="L44" i="8" s="1"/>
  <c r="K39" i="8"/>
  <c r="K44" i="8" s="1"/>
  <c r="J39" i="8"/>
  <c r="J44" i="8" s="1"/>
  <c r="I39" i="8"/>
  <c r="I44" i="8" s="1"/>
  <c r="H39" i="8"/>
  <c r="H44" i="8" s="1"/>
  <c r="G39" i="8"/>
  <c r="G44" i="8" s="1"/>
  <c r="F39" i="8"/>
  <c r="F44" i="8" s="1"/>
  <c r="E39" i="8"/>
  <c r="E44" i="8" s="1"/>
  <c r="D39" i="8"/>
  <c r="D44" i="8" s="1"/>
  <c r="C39" i="8"/>
  <c r="C44" i="8" s="1"/>
  <c r="L33" i="8"/>
  <c r="K33" i="8"/>
  <c r="J33" i="8"/>
  <c r="I33" i="8"/>
  <c r="H33" i="8"/>
  <c r="G33" i="8"/>
  <c r="F33" i="8"/>
  <c r="E33" i="8"/>
  <c r="D33" i="8"/>
  <c r="C33" i="8"/>
  <c r="L27" i="8"/>
  <c r="K27" i="8"/>
  <c r="J27" i="8"/>
  <c r="I27" i="8"/>
  <c r="H27" i="8"/>
  <c r="G27" i="8"/>
  <c r="F27" i="8"/>
  <c r="E27" i="8"/>
  <c r="D27" i="8"/>
  <c r="C27" i="8"/>
  <c r="L24" i="8"/>
  <c r="K24" i="8"/>
  <c r="J24" i="8"/>
  <c r="I24" i="8"/>
  <c r="H24" i="8"/>
  <c r="G24" i="8"/>
  <c r="F24" i="8"/>
  <c r="E24" i="8"/>
  <c r="D24" i="8"/>
  <c r="D25" i="8" s="1"/>
  <c r="C24" i="8"/>
  <c r="C25" i="8" s="1"/>
  <c r="L18" i="8"/>
  <c r="L19" i="8" s="1"/>
  <c r="K18" i="8"/>
  <c r="J18" i="8"/>
  <c r="I18" i="8"/>
  <c r="H18" i="8"/>
  <c r="G18" i="8"/>
  <c r="F18" i="8"/>
  <c r="E18" i="8"/>
  <c r="D18" i="8"/>
  <c r="C18" i="8"/>
  <c r="D15" i="8"/>
  <c r="C15" i="8"/>
  <c r="C21" i="8" s="1"/>
  <c r="L12" i="8"/>
  <c r="L13" i="8" s="1"/>
  <c r="K12" i="8"/>
  <c r="J12" i="8"/>
  <c r="I12" i="8"/>
  <c r="H12" i="8"/>
  <c r="G12" i="8"/>
  <c r="F12" i="8"/>
  <c r="E12" i="8"/>
  <c r="D12" i="8"/>
  <c r="C12" i="8"/>
  <c r="C13" i="8" s="1"/>
  <c r="L9" i="8"/>
  <c r="K9" i="8"/>
  <c r="K19" i="8" s="1"/>
  <c r="J9" i="8"/>
  <c r="I9" i="8"/>
  <c r="H9" i="8"/>
  <c r="G9" i="8"/>
  <c r="F9" i="8"/>
  <c r="E9" i="8"/>
  <c r="D9" i="8"/>
  <c r="C9" i="8"/>
  <c r="C6" i="3"/>
  <c r="D6" i="3"/>
  <c r="E6" i="3"/>
  <c r="F6" i="3"/>
  <c r="F14" i="3" s="1"/>
  <c r="G6" i="3"/>
  <c r="H6" i="3"/>
  <c r="H14" i="3" s="1"/>
  <c r="I6" i="3"/>
  <c r="J6" i="3"/>
  <c r="K6" i="3"/>
  <c r="B6" i="3"/>
  <c r="C5" i="1"/>
  <c r="D5" i="1"/>
  <c r="E5" i="1"/>
  <c r="F5" i="1"/>
  <c r="G5" i="1"/>
  <c r="H5" i="1"/>
  <c r="I5" i="1"/>
  <c r="J5" i="1"/>
  <c r="K5" i="1"/>
  <c r="K6" i="1" s="1"/>
  <c r="K19" i="1" s="1"/>
  <c r="B5" i="1"/>
  <c r="D13" i="1" s="1"/>
  <c r="E13" i="1" s="1"/>
  <c r="C13" i="1"/>
  <c r="F13" i="1"/>
  <c r="G13" i="1"/>
  <c r="G14" i="1" s="1"/>
  <c r="B6" i="6"/>
  <c r="C17" i="2"/>
  <c r="D17" i="2"/>
  <c r="E17" i="2"/>
  <c r="F17" i="2"/>
  <c r="G17" i="2"/>
  <c r="H17" i="2"/>
  <c r="I17" i="2"/>
  <c r="J17" i="2"/>
  <c r="J20" i="2" s="1"/>
  <c r="K17" i="2"/>
  <c r="K20" i="2" s="1"/>
  <c r="C18" i="2"/>
  <c r="D18" i="2"/>
  <c r="E18" i="2"/>
  <c r="F18" i="2"/>
  <c r="G18" i="2"/>
  <c r="H18" i="2"/>
  <c r="I18" i="2"/>
  <c r="J18" i="2"/>
  <c r="J21" i="2" s="1"/>
  <c r="K18" i="2"/>
  <c r="K21" i="2" s="1"/>
  <c r="B17" i="2"/>
  <c r="C4" i="2"/>
  <c r="C23" i="2" s="1"/>
  <c r="D4" i="2"/>
  <c r="E24" i="2" s="1"/>
  <c r="E4" i="2"/>
  <c r="E23" i="2" s="1"/>
  <c r="E5" i="2"/>
  <c r="F4" i="2"/>
  <c r="G4" i="2"/>
  <c r="H4" i="2"/>
  <c r="I4" i="2"/>
  <c r="I5" i="2"/>
  <c r="J4" i="2"/>
  <c r="J5" i="2"/>
  <c r="J23" i="2" s="1"/>
  <c r="K4" i="2"/>
  <c r="K23" i="2" s="1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C16" i="2" s="1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G4" i="3"/>
  <c r="H4" i="3"/>
  <c r="I4" i="3"/>
  <c r="L4" i="1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I11" i="3"/>
  <c r="J11" i="3"/>
  <c r="L11" i="1" s="1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21" i="2" s="1"/>
  <c r="D4" i="1"/>
  <c r="I23" i="1" s="1"/>
  <c r="E4" i="1"/>
  <c r="E6" i="1" s="1"/>
  <c r="E19" i="1" s="1"/>
  <c r="F4" i="1"/>
  <c r="F20" i="2" s="1"/>
  <c r="G4" i="1"/>
  <c r="H4" i="1"/>
  <c r="I4" i="1"/>
  <c r="J4" i="1"/>
  <c r="J6" i="1" s="1"/>
  <c r="J19" i="1" s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G23" i="2" s="1"/>
  <c r="H12" i="1"/>
  <c r="H13" i="1" s="1"/>
  <c r="I12" i="1"/>
  <c r="I13" i="1" s="1"/>
  <c r="J12" i="1"/>
  <c r="J13" i="1" s="1"/>
  <c r="J14" i="1" s="1"/>
  <c r="K12" i="1"/>
  <c r="K13" i="1" s="1"/>
  <c r="C15" i="1"/>
  <c r="C14" i="1" s="1"/>
  <c r="D15" i="1"/>
  <c r="E15" i="1"/>
  <c r="F15" i="1"/>
  <c r="F14" i="1" s="1"/>
  <c r="G15" i="1"/>
  <c r="H15" i="1"/>
  <c r="I15" i="1"/>
  <c r="J15" i="1"/>
  <c r="K15" i="1"/>
  <c r="B15" i="1"/>
  <c r="B7" i="1"/>
  <c r="B4" i="1"/>
  <c r="A1" i="1"/>
  <c r="A1" i="3" s="1"/>
  <c r="E1" i="6"/>
  <c r="H1" i="1" s="1"/>
  <c r="E1" i="2"/>
  <c r="E1" i="3"/>
  <c r="H16" i="2"/>
  <c r="D16" i="2"/>
  <c r="F16" i="2"/>
  <c r="H23" i="2"/>
  <c r="D23" i="2"/>
  <c r="I6" i="1"/>
  <c r="I19" i="1" s="1"/>
  <c r="G6" i="1"/>
  <c r="G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I21" i="2"/>
  <c r="H21" i="2"/>
  <c r="G21" i="2"/>
  <c r="E21" i="2"/>
  <c r="D21" i="2"/>
  <c r="B18" i="2"/>
  <c r="B13" i="2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3" i="3"/>
  <c r="L15" i="1"/>
  <c r="B12" i="1"/>
  <c r="B13" i="1" s="1"/>
  <c r="B11" i="1"/>
  <c r="B10" i="1"/>
  <c r="B9" i="1"/>
  <c r="B8" i="1"/>
  <c r="B3" i="1"/>
  <c r="I14" i="3"/>
  <c r="G14" i="3"/>
  <c r="G20" i="2"/>
  <c r="L12" i="1"/>
  <c r="L13" i="1" s="1"/>
  <c r="L14" i="1" s="1"/>
  <c r="L25" i="1" s="1"/>
  <c r="L6" i="1"/>
  <c r="H23" i="1"/>
  <c r="B20" i="10" l="1"/>
  <c r="D19" i="10"/>
  <c r="K67" i="8"/>
  <c r="K69" i="8" s="1"/>
  <c r="I67" i="8"/>
  <c r="I69" i="8" s="1"/>
  <c r="H67" i="8"/>
  <c r="H69" i="8" s="1"/>
  <c r="L67" i="8"/>
  <c r="L69" i="8" s="1"/>
  <c r="J67" i="8"/>
  <c r="J69" i="8" s="1"/>
  <c r="L25" i="8"/>
  <c r="K13" i="8"/>
  <c r="C28" i="8"/>
  <c r="H15" i="8"/>
  <c r="H16" i="8" s="1"/>
  <c r="D13" i="8"/>
  <c r="D19" i="8"/>
  <c r="G10" i="8"/>
  <c r="F28" i="8"/>
  <c r="J28" i="8"/>
  <c r="K28" i="8"/>
  <c r="E25" i="8"/>
  <c r="G13" i="8"/>
  <c r="F10" i="8"/>
  <c r="H13" i="8"/>
  <c r="H10" i="8"/>
  <c r="H21" i="8"/>
  <c r="H30" i="8" s="1"/>
  <c r="H31" i="8" s="1"/>
  <c r="E28" i="8"/>
  <c r="E19" i="8"/>
  <c r="G15" i="8"/>
  <c r="F19" i="8"/>
  <c r="G28" i="8"/>
  <c r="G19" i="8"/>
  <c r="F25" i="8"/>
  <c r="H28" i="8"/>
  <c r="I15" i="8"/>
  <c r="I16" i="8" s="1"/>
  <c r="H19" i="8"/>
  <c r="G25" i="8"/>
  <c r="I28" i="8"/>
  <c r="J13" i="8"/>
  <c r="I19" i="8"/>
  <c r="H25" i="8"/>
  <c r="K15" i="8"/>
  <c r="K21" i="8" s="1"/>
  <c r="J19" i="8"/>
  <c r="I25" i="8"/>
  <c r="L15" i="8"/>
  <c r="L21" i="8" s="1"/>
  <c r="D21" i="8"/>
  <c r="D22" i="8" s="1"/>
  <c r="J25" i="8"/>
  <c r="L28" i="8"/>
  <c r="E15" i="8"/>
  <c r="K25" i="8"/>
  <c r="F15" i="8"/>
  <c r="E13" i="8"/>
  <c r="E10" i="8"/>
  <c r="D10" i="8"/>
  <c r="F13" i="8"/>
  <c r="C19" i="8"/>
  <c r="D28" i="8"/>
  <c r="G16" i="8"/>
  <c r="G21" i="8"/>
  <c r="C30" i="8"/>
  <c r="C22" i="8"/>
  <c r="H36" i="8"/>
  <c r="I13" i="8"/>
  <c r="J10" i="8"/>
  <c r="K10" i="8"/>
  <c r="C16" i="8"/>
  <c r="L10" i="8"/>
  <c r="D16" i="8"/>
  <c r="I10" i="8"/>
  <c r="J15" i="8"/>
  <c r="N11" i="1"/>
  <c r="M11" i="1"/>
  <c r="K14" i="1"/>
  <c r="L19" i="1"/>
  <c r="L24" i="1" s="1"/>
  <c r="B14" i="3"/>
  <c r="J24" i="2"/>
  <c r="B20" i="2"/>
  <c r="K14" i="3"/>
  <c r="I24" i="2"/>
  <c r="L23" i="1"/>
  <c r="N23" i="1" s="1"/>
  <c r="N4" i="1" s="1"/>
  <c r="H24" i="2"/>
  <c r="L7" i="1"/>
  <c r="C24" i="2"/>
  <c r="E20" i="2"/>
  <c r="B23" i="2"/>
  <c r="J16" i="2"/>
  <c r="L8" i="1"/>
  <c r="A1" i="2"/>
  <c r="A1" i="4" s="1"/>
  <c r="B21" i="2"/>
  <c r="E14" i="1"/>
  <c r="K24" i="1"/>
  <c r="L9" i="1"/>
  <c r="M9" i="1" s="1"/>
  <c r="E16" i="2"/>
  <c r="F21" i="2"/>
  <c r="C20" i="2"/>
  <c r="G24" i="2"/>
  <c r="D20" i="2"/>
  <c r="F23" i="2"/>
  <c r="B14" i="1"/>
  <c r="D14" i="1"/>
  <c r="D24" i="2"/>
  <c r="K24" i="2"/>
  <c r="D6" i="1"/>
  <c r="D19" i="1" s="1"/>
  <c r="H24" i="1" s="1"/>
  <c r="I14" i="1"/>
  <c r="K25" i="1" s="1"/>
  <c r="M25" i="1" s="1"/>
  <c r="M14" i="1" s="1"/>
  <c r="I23" i="2"/>
  <c r="J23" i="1"/>
  <c r="H14" i="1"/>
  <c r="C6" i="1"/>
  <c r="C19" i="1" s="1"/>
  <c r="B16" i="2"/>
  <c r="F24" i="2"/>
  <c r="J25" i="1"/>
  <c r="M24" i="1"/>
  <c r="N8" i="1"/>
  <c r="M8" i="1"/>
  <c r="H25" i="1"/>
  <c r="I25" i="1"/>
  <c r="I20" i="2"/>
  <c r="H20" i="2"/>
  <c r="K23" i="1"/>
  <c r="H6" i="1"/>
  <c r="H19" i="1" s="1"/>
  <c r="J24" i="1" s="1"/>
  <c r="F6" i="1"/>
  <c r="F19" i="1" s="1"/>
  <c r="I24" i="1" s="1"/>
  <c r="E1" i="4"/>
  <c r="B21" i="10" l="1"/>
  <c r="D21" i="10" s="1"/>
  <c r="D20" i="10"/>
  <c r="H34" i="8"/>
  <c r="I21" i="8"/>
  <c r="H22" i="8"/>
  <c r="F16" i="8"/>
  <c r="F21" i="8"/>
  <c r="K16" i="8"/>
  <c r="E16" i="8"/>
  <c r="E21" i="8"/>
  <c r="L16" i="8"/>
  <c r="D30" i="8"/>
  <c r="D36" i="8" s="1"/>
  <c r="C34" i="8"/>
  <c r="C36" i="8"/>
  <c r="C31" i="8"/>
  <c r="G30" i="8"/>
  <c r="G22" i="8"/>
  <c r="I22" i="8"/>
  <c r="I30" i="8"/>
  <c r="H37" i="8"/>
  <c r="H41" i="8"/>
  <c r="L22" i="8"/>
  <c r="L30" i="8"/>
  <c r="K22" i="8"/>
  <c r="K30" i="8"/>
  <c r="J21" i="8"/>
  <c r="J16" i="8"/>
  <c r="N24" i="1"/>
  <c r="N9" i="1"/>
  <c r="M23" i="1"/>
  <c r="M4" i="1" s="1"/>
  <c r="N25" i="1"/>
  <c r="N14" i="1" s="1"/>
  <c r="N6" i="1"/>
  <c r="N10" i="1" s="1"/>
  <c r="N12" i="1" s="1"/>
  <c r="N13" i="1" s="1"/>
  <c r="N5" i="1"/>
  <c r="M6" i="1"/>
  <c r="M10" i="1" s="1"/>
  <c r="M12" i="1" s="1"/>
  <c r="M13" i="1" s="1"/>
  <c r="M15" i="1" s="1"/>
  <c r="D34" i="8" l="1"/>
  <c r="D31" i="8"/>
  <c r="E22" i="8"/>
  <c r="E30" i="8"/>
  <c r="F30" i="8"/>
  <c r="F22" i="8"/>
  <c r="K34" i="8"/>
  <c r="K36" i="8"/>
  <c r="K31" i="8"/>
  <c r="G34" i="8"/>
  <c r="G36" i="8"/>
  <c r="G31" i="8"/>
  <c r="I31" i="8"/>
  <c r="I36" i="8"/>
  <c r="I34" i="8"/>
  <c r="J30" i="8"/>
  <c r="J22" i="8"/>
  <c r="H45" i="8"/>
  <c r="H47" i="8" s="1"/>
  <c r="L36" i="8"/>
  <c r="L31" i="8"/>
  <c r="L34" i="8"/>
  <c r="D37" i="8"/>
  <c r="D41" i="8"/>
  <c r="C37" i="8"/>
  <c r="C41" i="8"/>
  <c r="C45" i="8" s="1"/>
  <c r="C47" i="8" s="1"/>
  <c r="N15" i="1"/>
  <c r="M5" i="1"/>
  <c r="F36" i="8" l="1"/>
  <c r="F34" i="8"/>
  <c r="F31" i="8"/>
  <c r="E34" i="8"/>
  <c r="E31" i="8"/>
  <c r="E36" i="8"/>
  <c r="D45" i="8"/>
  <c r="D47" i="8" s="1"/>
  <c r="D42" i="8"/>
  <c r="I37" i="8"/>
  <c r="I41" i="8"/>
  <c r="G37" i="8"/>
  <c r="G41" i="8"/>
  <c r="J34" i="8"/>
  <c r="J36" i="8"/>
  <c r="J31" i="8"/>
  <c r="L37" i="8"/>
  <c r="L41" i="8"/>
  <c r="K41" i="8"/>
  <c r="K37" i="8"/>
  <c r="E41" i="8" l="1"/>
  <c r="E37" i="8"/>
  <c r="F37" i="8"/>
  <c r="F41" i="8"/>
  <c r="I42" i="8"/>
  <c r="I45" i="8"/>
  <c r="I47" i="8" s="1"/>
  <c r="J37" i="8"/>
  <c r="J41" i="8"/>
  <c r="G42" i="8"/>
  <c r="G45" i="8"/>
  <c r="G47" i="8" s="1"/>
  <c r="H42" i="8"/>
  <c r="K42" i="8"/>
  <c r="K45" i="8"/>
  <c r="K47" i="8" s="1"/>
  <c r="L42" i="8"/>
  <c r="L45" i="8"/>
  <c r="L47" i="8" s="1"/>
  <c r="F45" i="8" l="1"/>
  <c r="F47" i="8" s="1"/>
  <c r="F42" i="8"/>
  <c r="E45" i="8"/>
  <c r="E47" i="8" s="1"/>
  <c r="E42" i="8"/>
  <c r="J42" i="8"/>
  <c r="J45" i="8"/>
  <c r="J47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<sst xmlns="http://schemas.openxmlformats.org/spreadsheetml/2006/main" count="253" uniqueCount="161">
  <si>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</si>
  <si>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</si>
  <si>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</si>
  <si>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</si>
  <si>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</si>
  <si>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</si>
  <si>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</si>
  <si>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</si>
  <si>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</si>
  <si>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</si>
  <si>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</si>
  <si>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</si>
  <si>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</si>
  <si>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</si>
  <si>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</si>
  <si>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</si>
  <si>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</si>
  <si>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</si>
  <si>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</si>
  <si>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</si>
  <si>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</si>
  <si>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</si>
  <si>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</si>
  <si>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</si>
  <si>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</si>
  <si>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</si>
  <si>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</si>
  <si>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</si>
  <si>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</si>
  <si>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</si>
  <si>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</si>
  <si>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</si>
  <si>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</si>
  <si>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</si>
  <si>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</si>
  <si>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</si>
  <si>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</si>
  <si>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</si>
  <si>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</si>
  <si>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</si>
  <si>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</si>
  <si>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</si>
  <si>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</si>
  <si>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</si>
  <si>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</si>
  <si>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</si>
  <si>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</si>
  <si>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</si>
  <si>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</si>
  <si>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</si>
  <si>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</si>
  <si>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</si>
  <si>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</si>
  <si>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</si>
  <si>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</si>
  <si>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</si>
  <si>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</si>
  <si>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</si>
  <si>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</si>
  <si>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</si>
  <si>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</si>
  <si>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</si>
  <si>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</si>
  <si>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SUN PHARMACEUTICALS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</si>
  <si>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</si>
  <si>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</si>
  <si>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</si>
  <si>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</si>
  <si>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</si>
  <si>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</si>
  <si>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</si>
  <si>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</si>
  <si>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</si>
  <si>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</si>
  <si>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</si>
  <si>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</si>
  <si>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</si>
  <si>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</si>
  <si>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</si>
  <si>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</si>
  <si>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</si>
  <si>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</si>
  <si>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</si>
  <si>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</si>
  <si>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</si>
  <si>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</si>
  <si>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</si>
  <si>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</si>
  <si>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</si>
  <si>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</si>
  <si>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</si>
  <si>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</si>
  <si>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</si>
  <si>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Historical Financial Statement - Sun Pharmaceuticals Industries Ltd</t>
  </si>
  <si>
    <t>Years</t>
  </si>
  <si>
    <t>Income Statement</t>
  </si>
  <si>
    <t xml:space="preserve"> </t>
  </si>
  <si>
    <t>COGS</t>
  </si>
  <si>
    <t>Gross Profit</t>
  </si>
  <si>
    <t>Selling &amp; General Expenses</t>
  </si>
  <si>
    <t>EBITDA</t>
  </si>
  <si>
    <t>Earnings Before Tax</t>
  </si>
  <si>
    <t>Net Profit</t>
  </si>
  <si>
    <t>No of Equity Shares</t>
  </si>
  <si>
    <t>Earnings per Share</t>
  </si>
  <si>
    <t>Dividend per Share</t>
  </si>
  <si>
    <t>Dividend payout Ratio</t>
  </si>
  <si>
    <t>EPS Growth %</t>
  </si>
  <si>
    <t>COGS % Sales</t>
  </si>
  <si>
    <t>Gross Margin</t>
  </si>
  <si>
    <t>S&amp;G % Sales</t>
  </si>
  <si>
    <t>EBITDA Margin</t>
  </si>
  <si>
    <t>Net Margin</t>
  </si>
  <si>
    <t>Effective Tax Rate</t>
  </si>
  <si>
    <t>EBT % Sales</t>
  </si>
  <si>
    <t>Depriciation % Sales</t>
  </si>
  <si>
    <t>Interest % Sales</t>
  </si>
  <si>
    <t>Retained Earnings</t>
  </si>
  <si>
    <t>Balance Sheet</t>
  </si>
  <si>
    <t>Total Liabilities</t>
  </si>
  <si>
    <t>Total Non Current Asset</t>
  </si>
  <si>
    <t>Total Current Asset</t>
  </si>
  <si>
    <t>Total Asset</t>
  </si>
  <si>
    <t>check</t>
  </si>
  <si>
    <t xml:space="preserve">  </t>
  </si>
  <si>
    <t>Cash Flow Statement</t>
  </si>
  <si>
    <t xml:space="preserve">   </t>
  </si>
  <si>
    <t>EBIT</t>
  </si>
  <si>
    <t>SalesGrowth</t>
  </si>
  <si>
    <t>EBITDA Growth</t>
  </si>
  <si>
    <t>EBIT Growth</t>
  </si>
  <si>
    <t>Net Profit Growth</t>
  </si>
  <si>
    <t>Dividend Growth</t>
  </si>
  <si>
    <t>EBIT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</si>
  <si>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</si>
  <si>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</si>
  <si>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</si>
  <si>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</si>
  <si>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</si>
  <si>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</si>
  <si>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</si>
  <si>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</si>
  <si>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</si>
  <si>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</si>
  <si>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</si>
  <si>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</si>
  <si>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</si>
  <si>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</si>
  <si>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</si>
  <si>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</si>
  <si>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Cash Conversion Cycle (in days)</t>
  </si>
  <si>
    <t>Mean</t>
  </si>
  <si>
    <t>Median</t>
  </si>
  <si>
    <t>Trendlines</t>
  </si>
  <si>
    <t>Sales Forecasting</t>
  </si>
  <si>
    <t>Ratio Analysis - Sun Pharmaceuticals Industries Ltd</t>
  </si>
  <si>
    <t>Year Weight</t>
  </si>
  <si>
    <t>Year</t>
  </si>
  <si>
    <t>EBITDA Forecasting</t>
  </si>
  <si>
    <t>EPS Forecasting</t>
  </si>
  <si>
    <t>EPS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</si>
</sst>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"/>
    <numFmt numFmtId="167" formatCode="&quot;₹&quot;\ #,##0.0;\(&quot;₹&quot;\ #,##0.0\)"/>
    <numFmt numFmtId="168" formatCode="#,##0.00\x"/>
    <numFmt numFmtId="169" formatCode="0.00\x"/>
    <numFmt numFmtId="170" formatCode="General\A"/>
    <numFmt numFmtId="171" formatCode="General&quot;E&quot;"/>
    <numFmt numFmtId="172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70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1" fillId="8" borderId="0" xfId="0" applyFont="1" applyFill="1"/>
    <xf numFmtId="17" fontId="1" fillId="8" borderId="0" xfId="0" applyNumberFormat="1" applyFont="1" applyFill="1"/>
    <xf numFmtId="166" fontId="0" fillId="0" borderId="0" xfId="0" applyNumberFormat="1"/>
    <xf numFmtId="10" fontId="0" fillId="0" borderId="0" xfId="6" applyNumberFormat="1" applyFont="1"/>
    <xf numFmtId="0" fontId="10" fillId="0" borderId="0" xfId="0" applyFont="1"/>
    <xf numFmtId="10" fontId="10" fillId="0" borderId="0" xfId="6" applyNumberFormat="1" applyFont="1"/>
    <xf numFmtId="166" fontId="1" fillId="0" borderId="0" xfId="0" applyNumberFormat="1" applyFont="1"/>
    <xf numFmtId="167" fontId="0" fillId="0" borderId="0" xfId="0" applyNumberFormat="1"/>
    <xf numFmtId="43" fontId="1" fillId="0" borderId="1" xfId="1" applyFont="1" applyBorder="1"/>
    <xf numFmtId="167" fontId="1" fillId="0" borderId="1" xfId="0" applyNumberFormat="1" applyFont="1" applyBorder="1"/>
    <xf numFmtId="166" fontId="1" fillId="0" borderId="1" xfId="0" applyNumberFormat="1" applyFont="1" applyBorder="1"/>
    <xf numFmtId="43" fontId="1" fillId="0" borderId="1" xfId="1" applyFont="1" applyFill="1" applyBorder="1"/>
    <xf numFmtId="0" fontId="1" fillId="0" borderId="1" xfId="0" applyFont="1" applyBorder="1"/>
    <xf numFmtId="0" fontId="0" fillId="0" borderId="2" xfId="0" applyBorder="1"/>
    <xf numFmtId="10" fontId="0" fillId="0" borderId="2" xfId="6" applyNumberFormat="1" applyFont="1" applyBorder="1"/>
    <xf numFmtId="10" fontId="0" fillId="7" borderId="2" xfId="6" applyNumberFormat="1" applyFont="1" applyFill="1" applyBorder="1"/>
    <xf numFmtId="10" fontId="0" fillId="0" borderId="0" xfId="6" applyNumberFormat="1" applyFont="1" applyBorder="1"/>
    <xf numFmtId="10" fontId="0" fillId="7" borderId="0" xfId="6" applyNumberFormat="1" applyFont="1" applyFill="1" applyBorder="1"/>
    <xf numFmtId="0" fontId="0" fillId="0" borderId="3" xfId="0" applyBorder="1"/>
    <xf numFmtId="10" fontId="0" fillId="7" borderId="3" xfId="6" applyNumberFormat="1" applyFont="1" applyFill="1" applyBorder="1"/>
    <xf numFmtId="10" fontId="0" fillId="0" borderId="3" xfId="6" applyNumberFormat="1" applyFont="1" applyBorder="1"/>
    <xf numFmtId="17" fontId="1" fillId="8" borderId="0" xfId="0" applyNumberFormat="1" applyFont="1" applyFill="1" applyAlignment="1">
      <alignment horizontal="right"/>
    </xf>
    <xf numFmtId="1" fontId="0" fillId="0" borderId="2" xfId="0" applyNumberFormat="1" applyBorder="1"/>
    <xf numFmtId="1" fontId="0" fillId="0" borderId="0" xfId="0" applyNumberFormat="1"/>
    <xf numFmtId="1" fontId="0" fillId="7" borderId="3" xfId="0" applyNumberFormat="1" applyFill="1" applyBorder="1"/>
    <xf numFmtId="1" fontId="0" fillId="0" borderId="3" xfId="0" applyNumberFormat="1" applyBorder="1"/>
    <xf numFmtId="168" fontId="0" fillId="0" borderId="2" xfId="0" applyNumberFormat="1" applyBorder="1"/>
    <xf numFmtId="169" fontId="0" fillId="0" borderId="2" xfId="0" applyNumberFormat="1" applyBorder="1"/>
    <xf numFmtId="168" fontId="0" fillId="0" borderId="0" xfId="0" applyNumberFormat="1"/>
    <xf numFmtId="169" fontId="0" fillId="0" borderId="0" xfId="0" applyNumberFormat="1"/>
    <xf numFmtId="168" fontId="0" fillId="0" borderId="3" xfId="0" applyNumberFormat="1" applyBorder="1"/>
    <xf numFmtId="169" fontId="0" fillId="0" borderId="3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70" fontId="0" fillId="0" borderId="0" xfId="0" applyNumberFormat="1"/>
    <xf numFmtId="172" fontId="0" fillId="0" borderId="0" xfId="0" applyNumberFormat="1"/>
    <xf numFmtId="0" fontId="1" fillId="8" borderId="0" xfId="0" applyFont="1" applyFill="1" applyAlignment="1">
      <alignment horizontal="right"/>
    </xf>
    <xf numFmtId="0" fontId="0" fillId="7" borderId="0" xfId="0" applyFill="1" applyAlignment="1">
      <alignment horizontal="left"/>
    </xf>
    <xf numFmtId="171" fontId="0" fillId="7" borderId="0" xfId="0" applyNumberFormat="1" applyFill="1"/>
    <xf numFmtId="172" fontId="0" fillId="7" borderId="0" xfId="0" applyNumberFormat="1" applyFill="1"/>
    <xf numFmtId="10" fontId="0" fillId="7" borderId="0" xfId="6" applyNumberFormat="1" applyFont="1" applyFill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Growth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2777815166271"/>
          <c:y val="0.17933161480039855"/>
          <c:w val="0.7444475850775063"/>
          <c:h val="0.76748295077511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Sheet1!$C$7:$C$21</c:f>
              <c:numCache>
                <c:formatCode>General\A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General&quot;E&quot;">
                  <c:v>2025</c:v>
                </c:pt>
                <c:pt idx="11" formatCode="General&quot;E&quot;">
                  <c:v>2026</c:v>
                </c:pt>
                <c:pt idx="12" formatCode="General&quot;E&quot;">
                  <c:v>2027</c:v>
                </c:pt>
                <c:pt idx="13" formatCode="General&quot;E&quot;">
                  <c:v>2028</c:v>
                </c:pt>
                <c:pt idx="14" formatCode="General&quot;E&quot;">
                  <c:v>2029</c:v>
                </c:pt>
              </c:numCache>
            </c:numRef>
          </c:xVal>
          <c:yVal>
            <c:numRef>
              <c:f>Sheet1!$E$7:$E$21</c:f>
              <c:numCache>
                <c:formatCode>0.00%</c:formatCode>
                <c:ptCount val="15"/>
                <c:pt idx="1">
                  <c:v>3.9975890779829548E-2</c:v>
                </c:pt>
                <c:pt idx="2">
                  <c:v>0.10851991239521985</c:v>
                </c:pt>
                <c:pt idx="3">
                  <c:v>-0.16115362253486876</c:v>
                </c:pt>
                <c:pt idx="4">
                  <c:v>9.7263213368637969E-2</c:v>
                </c:pt>
                <c:pt idx="5">
                  <c:v>0.12975991462163061</c:v>
                </c:pt>
                <c:pt idx="6">
                  <c:v>2.0118462124095959E-2</c:v>
                </c:pt>
                <c:pt idx="7">
                  <c:v>0.15392944205260339</c:v>
                </c:pt>
                <c:pt idx="8">
                  <c:v>0.1353320144697292</c:v>
                </c:pt>
                <c:pt idx="9">
                  <c:v>0.10507231516066295</c:v>
                </c:pt>
                <c:pt idx="10">
                  <c:v>-5.2125021178351605E-2</c:v>
                </c:pt>
                <c:pt idx="11">
                  <c:v>4.7187580840963195E-2</c:v>
                </c:pt>
                <c:pt idx="12">
                  <c:v>4.5061249487955424E-2</c:v>
                </c:pt>
                <c:pt idx="13">
                  <c:v>4.3118285660322497E-2</c:v>
                </c:pt>
                <c:pt idx="14">
                  <c:v>4.1335950345293471E-2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B-4F44-AD6B-BE3CF03C6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64015"/>
        <c:axId val="82764975"/>
      </c:scatterChart>
      <c:valAx>
        <c:axId val="82764015"/>
        <c:scaling>
          <c:orientation val="minMax"/>
        </c:scaling>
        <c:delete val="0"/>
        <c:axPos val="b"/>
        <c:numFmt formatCode="General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4975"/>
        <c:crosses val="autoZero"/>
        <c:crossBetween val="midCat"/>
      </c:valAx>
      <c:valAx>
        <c:axId val="8276497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EBITDA</a:t>
            </a:r>
            <a:r>
              <a:rPr lang="en-IN" baseline="0"/>
              <a:t> Growth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Sheet1!$H$7:$H$21</c:f>
              <c:numCache>
                <c:formatCode>General\A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General&quot;E&quot;">
                  <c:v>2025</c:v>
                </c:pt>
                <c:pt idx="11" formatCode="General&quot;E&quot;">
                  <c:v>2026</c:v>
                </c:pt>
                <c:pt idx="12" formatCode="General&quot;E&quot;">
                  <c:v>2027</c:v>
                </c:pt>
                <c:pt idx="13" formatCode="General&quot;E&quot;">
                  <c:v>2028</c:v>
                </c:pt>
                <c:pt idx="14" formatCode="General&quot;E&quot;">
                  <c:v>2029</c:v>
                </c:pt>
              </c:numCache>
            </c:numRef>
          </c:xVal>
          <c:yVal>
            <c:numRef>
              <c:f>Sheet1!$J$7:$J$21</c:f>
              <c:numCache>
                <c:formatCode>0.00%</c:formatCode>
                <c:ptCount val="15"/>
                <c:pt idx="1">
                  <c:v>3.5480920517569681E-2</c:v>
                </c:pt>
                <c:pt idx="2">
                  <c:v>0.23588739769265565</c:v>
                </c:pt>
                <c:pt idx="3">
                  <c:v>-0.44254515433546937</c:v>
                </c:pt>
                <c:pt idx="4">
                  <c:v>0.13239289557518386</c:v>
                </c:pt>
                <c:pt idx="5">
                  <c:v>9.5007354578499514E-2</c:v>
                </c:pt>
                <c:pt idx="6">
                  <c:v>0.21296778960995777</c:v>
                </c:pt>
                <c:pt idx="7">
                  <c:v>0.21105294476006931</c:v>
                </c:pt>
                <c:pt idx="8">
                  <c:v>0.13578947060561197</c:v>
                </c:pt>
                <c:pt idx="9">
                  <c:v>0.11736294938216862</c:v>
                </c:pt>
                <c:pt idx="10">
                  <c:v>-0.11397850783966823</c:v>
                </c:pt>
                <c:pt idx="11">
                  <c:v>4.2220572014510571E-2</c:v>
                </c:pt>
                <c:pt idx="12">
                  <c:v>4.0510207865981807E-2</c:v>
                </c:pt>
                <c:pt idx="13">
                  <c:v>3.8933023010957024E-2</c:v>
                </c:pt>
                <c:pt idx="14">
                  <c:v>3.7474045148862656E-2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6-4919-8254-FD0A76CA5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959871"/>
        <c:axId val="395961791"/>
      </c:scatterChart>
      <c:valAx>
        <c:axId val="395959871"/>
        <c:scaling>
          <c:orientation val="minMax"/>
        </c:scaling>
        <c:delete val="0"/>
        <c:axPos val="b"/>
        <c:numFmt formatCode="General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61791"/>
        <c:crosses val="autoZero"/>
        <c:crossBetween val="midCat"/>
      </c:valAx>
      <c:valAx>
        <c:axId val="395961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5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EPS</a:t>
            </a:r>
            <a:r>
              <a:rPr lang="en-IN" baseline="0"/>
              <a:t> Growth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Sheet1!$M$7:$M$21</c:f>
              <c:numCache>
                <c:formatCode>General\A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 formatCode="General&quot;E&quot;">
                  <c:v>2025</c:v>
                </c:pt>
                <c:pt idx="11" formatCode="General&quot;E&quot;">
                  <c:v>2026</c:v>
                </c:pt>
                <c:pt idx="12" formatCode="General&quot;E&quot;">
                  <c:v>2027</c:v>
                </c:pt>
                <c:pt idx="13" formatCode="General&quot;E&quot;">
                  <c:v>2028</c:v>
                </c:pt>
                <c:pt idx="14" formatCode="General&quot;E&quot;">
                  <c:v>2029</c:v>
                </c:pt>
              </c:numCache>
            </c:numRef>
          </c:xVal>
          <c:yVal>
            <c:numRef>
              <c:f>Sheet1!$O$7:$O$21</c:f>
              <c:numCache>
                <c:formatCode>0.00%</c:formatCode>
                <c:ptCount val="15"/>
                <c:pt idx="1">
                  <c:v>-5.7740785584332266E-2</c:v>
                </c:pt>
                <c:pt idx="2">
                  <c:v>0.2717544353262884</c:v>
                </c:pt>
                <c:pt idx="3">
                  <c:v>-0.62593310175895023</c:v>
                </c:pt>
                <c:pt idx="4">
                  <c:v>0.28288512266136911</c:v>
                </c:pt>
                <c:pt idx="5">
                  <c:v>9.7165186295997019E-2</c:v>
                </c:pt>
                <c:pt idx="6">
                  <c:v>0.50712177325451457</c:v>
                </c:pt>
                <c:pt idx="7">
                  <c:v>0.2052864634654652</c:v>
                </c:pt>
                <c:pt idx="8">
                  <c:v>0.17225342860202275</c:v>
                </c:pt>
                <c:pt idx="9">
                  <c:v>8.4156851514918918E-2</c:v>
                </c:pt>
                <c:pt idx="10">
                  <c:v>-0.14648518893179474</c:v>
                </c:pt>
                <c:pt idx="11">
                  <c:v>4.0075498741927618E-2</c:v>
                </c:pt>
                <c:pt idx="12">
                  <c:v>3.8531336225497981E-2</c:v>
                </c:pt>
                <c:pt idx="13">
                  <c:v>3.7101755990857521E-2</c:v>
                </c:pt>
                <c:pt idx="14">
                  <c:v>3.5774460680003894E-2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E0-4568-86BB-0851C5611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64015"/>
        <c:axId val="82765455"/>
      </c:scatterChart>
      <c:valAx>
        <c:axId val="82764015"/>
        <c:scaling>
          <c:orientation val="minMax"/>
        </c:scaling>
        <c:delete val="0"/>
        <c:axPos val="b"/>
        <c:numFmt formatCode="General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5455"/>
        <c:crosses val="autoZero"/>
        <c:crossBetween val="midCat"/>
      </c:valAx>
      <c:valAx>
        <c:axId val="82765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64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1</xdr:col>
      <xdr:colOff>542925</xdr:colOff>
      <xdr:row>3</xdr:row>
      <xdr:rowOff>148071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AA3BF-4049-00FB-2CBD-3C953031D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"/>
          <a:ext cx="542925" cy="690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1</xdr:col>
      <xdr:colOff>542925</xdr:colOff>
      <xdr:row>3</xdr:row>
      <xdr:rowOff>148071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4BA66-5648-4226-A45D-BBE5B6BA7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"/>
          <a:ext cx="542925" cy="690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1</xdr:col>
      <xdr:colOff>542925</xdr:colOff>
      <xdr:row>3</xdr:row>
      <xdr:rowOff>148071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725E28-458F-4AE6-B508-D9ECC29E7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"/>
          <a:ext cx="542925" cy="690995"/>
        </a:xfrm>
        <a:prstGeom prst="rect">
          <a:avLst/>
        </a:prstGeom>
      </xdr:spPr>
    </xdr:pic>
    <xdr:clientData/>
  </xdr:twoCellAnchor>
  <xdr:twoCellAnchor>
    <xdr:from>
      <xdr:col>0</xdr:col>
      <xdr:colOff>93009</xdr:colOff>
      <xdr:row>22</xdr:row>
      <xdr:rowOff>18489</xdr:rowOff>
    </xdr:from>
    <xdr:to>
      <xdr:col>5</xdr:col>
      <xdr:colOff>102534</xdr:colOff>
      <xdr:row>36</xdr:row>
      <xdr:rowOff>95810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2E6625-1905-895E-4A6E-A1A4D5DCF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254793</xdr:colOff>
      <xdr:row>22</xdr:row>
      <xdr:rowOff>23252</xdr:rowOff>
    </xdr:from>
    <xdr:to>
      <xdr:col>10</xdr:col>
      <xdr:colOff>9525</xdr:colOff>
      <xdr:row>36</xdr:row>
      <xdr:rowOff>84045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3E6F7A5-A846-ACB2-D03A-BE9108D79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147076</xdr:colOff>
      <xdr:row>22</xdr:row>
      <xdr:rowOff>31095</xdr:rowOff>
    </xdr:from>
    <xdr:to>
      <xdr:col>15</xdr:col>
      <xdr:colOff>77040</xdr:colOff>
      <xdr:row>36</xdr:row>
      <xdr:rowOff>84045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6B9CB2-95E5-7CD8-ED76-4533B2F36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71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96875" defaultRowHeight="14.25" x14ac:dyDescent="0.45"/>
  <cols>
    <col min="1" max="1" width="20.6640625" customWidth="1"/>
    <col min="2" max="6" width="13.46484375" customWidth="1"/>
    <col min="7" max="7" width="14.796875" bestFit="1" customWidth="1"/>
    <col min="8" max="11" width="13.46484375" customWidth="1"/>
    <col min="12" max="12" width="13.33203125" customWidth="1"/>
    <col min="13" max="14" width="12.1328125" customWidth="1"/>
  </cols>
  <sheetData>
    <row r="1" spans="1:14" s="2" customFormat="1" x14ac:dyDescent="0.45">
      <c r="A1" s="2" t="str">
        <f>'Data Sheet'!B1</f>
        <v>SUN PHARMACEUTICALS INDUSTRIES LTD</v>
      </c>
      <c r="H1" t="str">
        <f>UPDATE</f>
        <v/>
      </c>
      <c r="J1" s="3"/>
      <c r="K1" s="3"/>
      <c r="M1" s="2" t="s">
        <v>1</v>
      </c>
    </row>
    <row r="3" spans="1:14" s="2" customFormat="1" x14ac:dyDescent="0.4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45">
      <c r="A4" s="2" t="s">
        <v>6</v>
      </c>
      <c r="B4" s="1">
        <f>'Data Sheet'!B17</f>
        <v>27392.01</v>
      </c>
      <c r="C4" s="1">
        <f>'Data Sheet'!C17</f>
        <v>28487.03</v>
      </c>
      <c r="D4" s="1">
        <f>'Data Sheet'!D17</f>
        <v>31578.44</v>
      </c>
      <c r="E4" s="1">
        <f>'Data Sheet'!E17</f>
        <v>26489.46</v>
      </c>
      <c r="F4" s="1">
        <f>'Data Sheet'!F17</f>
        <v>29065.91</v>
      </c>
      <c r="G4" s="1">
        <f>'Data Sheet'!G17</f>
        <v>32837.5</v>
      </c>
      <c r="H4" s="1">
        <f>'Data Sheet'!H17</f>
        <v>33498.14</v>
      </c>
      <c r="I4" s="1">
        <f>'Data Sheet'!I17</f>
        <v>38654.49</v>
      </c>
      <c r="J4" s="1">
        <f>'Data Sheet'!J17</f>
        <v>43885.68</v>
      </c>
      <c r="K4" s="1">
        <f>'Data Sheet'!K17</f>
        <v>48496.85</v>
      </c>
      <c r="L4" s="1">
        <f>SUM(Quarters!H4:K4)</f>
        <v>48496.85</v>
      </c>
      <c r="M4" s="1">
        <f>$K4+M23*K4</f>
        <v>54862.779974617573</v>
      </c>
      <c r="N4" s="1">
        <f>$K4+N23*L4</f>
        <v>51562.157634433985</v>
      </c>
    </row>
    <row r="5" spans="1:14" x14ac:dyDescent="0.45">
      <c r="A5" t="s">
        <v>7</v>
      </c>
      <c r="B5" s="6">
        <f>SUM('Data Sheet'!B18,'Data Sheet'!B20:B24, -1*'Data Sheet'!B19)</f>
        <v>19498.190000000002</v>
      </c>
      <c r="C5" s="6">
        <f>SUM('Data Sheet'!C18,'Data Sheet'!C20:C24, -1*'Data Sheet'!C19)</f>
        <v>20313.13</v>
      </c>
      <c r="D5" s="6">
        <f>SUM('Data Sheet'!D18,'Data Sheet'!D20:D24, -1*'Data Sheet'!D19)</f>
        <v>21476.420000000002</v>
      </c>
      <c r="E5" s="6">
        <f>SUM('Data Sheet'!E18,'Data Sheet'!E20:E24, -1*'Data Sheet'!E19)</f>
        <v>20858.04</v>
      </c>
      <c r="F5" s="6">
        <f>SUM('Data Sheet'!F18,'Data Sheet'!F20:F24, -1*'Data Sheet'!F19)</f>
        <v>22688.929999999997</v>
      </c>
      <c r="G5" s="6">
        <f>SUM('Data Sheet'!G18,'Data Sheet'!G20:G24, -1*'Data Sheet'!G19)</f>
        <v>25854.659999999996</v>
      </c>
      <c r="H5" s="6">
        <f>SUM('Data Sheet'!H18,'Data Sheet'!H20:H24, -1*'Data Sheet'!H19)</f>
        <v>25028.18</v>
      </c>
      <c r="I5" s="6">
        <f>SUM('Data Sheet'!I18,'Data Sheet'!I20:I24, -1*'Data Sheet'!I19)</f>
        <v>28396.920000000002</v>
      </c>
      <c r="J5" s="6">
        <f>SUM('Data Sheet'!J18,'Data Sheet'!J20:J24, -1*'Data Sheet'!J19)</f>
        <v>32235.24</v>
      </c>
      <c r="K5" s="6">
        <f>SUM('Data Sheet'!K18,'Data Sheet'!K20:K24, -1*'Data Sheet'!K19)</f>
        <v>35479.08</v>
      </c>
      <c r="L5" s="6">
        <f>SUM(Quarters!H5:K5)</f>
        <v>35473.72</v>
      </c>
      <c r="M5" s="6">
        <f t="shared" ref="M5:N5" si="0">M4-M6</f>
        <v>40130.171242899094</v>
      </c>
      <c r="N5" s="6">
        <f t="shared" si="0"/>
        <v>38843.886365344988</v>
      </c>
    </row>
    <row r="6" spans="1:14" s="2" customFormat="1" x14ac:dyDescent="0.45">
      <c r="A6" s="2" t="s">
        <v>8</v>
      </c>
      <c r="B6" s="1">
        <f>B4-B5</f>
        <v>7893.8199999999961</v>
      </c>
      <c r="C6" s="1">
        <f t="shared" ref="C6:K6" si="1">C4-C5</f>
        <v>8173.8999999999978</v>
      </c>
      <c r="D6" s="1">
        <f t="shared" si="1"/>
        <v>10102.019999999997</v>
      </c>
      <c r="E6" s="1">
        <f t="shared" si="1"/>
        <v>5631.4199999999983</v>
      </c>
      <c r="F6" s="1">
        <f t="shared" si="1"/>
        <v>6376.9800000000032</v>
      </c>
      <c r="G6" s="1">
        <f t="shared" si="1"/>
        <v>6982.8400000000038</v>
      </c>
      <c r="H6" s="1">
        <f t="shared" si="1"/>
        <v>8469.9599999999991</v>
      </c>
      <c r="I6" s="1">
        <f t="shared" si="1"/>
        <v>10257.569999999996</v>
      </c>
      <c r="J6" s="1">
        <f t="shared" si="1"/>
        <v>11650.439999999999</v>
      </c>
      <c r="K6" s="1">
        <f t="shared" si="1"/>
        <v>13017.769999999997</v>
      </c>
      <c r="L6" s="1">
        <f>SUM(Quarters!H6:K6)</f>
        <v>13023.13</v>
      </c>
      <c r="M6" s="1">
        <f>M4*M24</f>
        <v>14732.608731718479</v>
      </c>
      <c r="N6" s="1">
        <f>N4*N24</f>
        <v>12718.271269088998</v>
      </c>
    </row>
    <row r="7" spans="1:14" x14ac:dyDescent="0.45">
      <c r="A7" t="s">
        <v>9</v>
      </c>
      <c r="B7" s="6">
        <f>'Data Sheet'!B25</f>
        <v>282.79000000000002</v>
      </c>
      <c r="C7" s="6">
        <f>'Data Sheet'!C25</f>
        <v>-42.5</v>
      </c>
      <c r="D7" s="6">
        <f>'Data Sheet'!D25</f>
        <v>610.4</v>
      </c>
      <c r="E7" s="6">
        <f>'Data Sheet'!E25</f>
        <v>-135.03</v>
      </c>
      <c r="F7" s="6">
        <f>'Data Sheet'!F25</f>
        <v>-258.27999999999997</v>
      </c>
      <c r="G7" s="6">
        <f>'Data Sheet'!G25</f>
        <v>382.26</v>
      </c>
      <c r="H7" s="6">
        <f>'Data Sheet'!H25</f>
        <v>-3449.21</v>
      </c>
      <c r="I7" s="6">
        <f>'Data Sheet'!I25</f>
        <v>-3505.16</v>
      </c>
      <c r="J7" s="6">
        <f>'Data Sheet'!J25</f>
        <v>459.42</v>
      </c>
      <c r="K7" s="6">
        <f>'Data Sheet'!K25</f>
        <v>865.23</v>
      </c>
      <c r="L7" s="6">
        <f>SUM(Quarters!H7:K7)</f>
        <v>859.87</v>
      </c>
      <c r="M7" s="6">
        <v>0</v>
      </c>
      <c r="N7" s="6">
        <v>0</v>
      </c>
    </row>
    <row r="8" spans="1:14" x14ac:dyDescent="0.45">
      <c r="A8" t="s">
        <v>10</v>
      </c>
      <c r="B8" s="6">
        <f>'Data Sheet'!B26</f>
        <v>1194.72</v>
      </c>
      <c r="C8" s="6">
        <f>'Data Sheet'!C26</f>
        <v>1037.53</v>
      </c>
      <c r="D8" s="6">
        <f>'Data Sheet'!D26</f>
        <v>1264.75</v>
      </c>
      <c r="E8" s="6">
        <f>'Data Sheet'!E26</f>
        <v>1499.84</v>
      </c>
      <c r="F8" s="6">
        <f>'Data Sheet'!F26</f>
        <v>1753.25</v>
      </c>
      <c r="G8" s="6">
        <f>'Data Sheet'!G26</f>
        <v>2052.7800000000002</v>
      </c>
      <c r="H8" s="6">
        <f>'Data Sheet'!H26</f>
        <v>2079.9499999999998</v>
      </c>
      <c r="I8" s="6">
        <f>'Data Sheet'!I26</f>
        <v>2143.7399999999998</v>
      </c>
      <c r="J8" s="6">
        <f>'Data Sheet'!J26</f>
        <v>2529.4299999999998</v>
      </c>
      <c r="K8" s="6">
        <f>'Data Sheet'!K26</f>
        <v>2556.64</v>
      </c>
      <c r="L8" s="6">
        <f>SUM(Quarters!H8:K8)</f>
        <v>2556.6400000000003</v>
      </c>
      <c r="M8" s="6">
        <f>+$L8</f>
        <v>2556.6400000000003</v>
      </c>
      <c r="N8" s="6">
        <f>+$L8</f>
        <v>2556.6400000000003</v>
      </c>
    </row>
    <row r="9" spans="1:14" x14ac:dyDescent="0.45">
      <c r="A9" t="s">
        <v>11</v>
      </c>
      <c r="B9" s="6">
        <f>'Data Sheet'!B27</f>
        <v>578.99</v>
      </c>
      <c r="C9" s="6">
        <f>'Data Sheet'!C27</f>
        <v>523.24</v>
      </c>
      <c r="D9" s="6">
        <f>'Data Sheet'!D27</f>
        <v>399.8</v>
      </c>
      <c r="E9" s="6">
        <f>'Data Sheet'!E27</f>
        <v>517.57000000000005</v>
      </c>
      <c r="F9" s="6">
        <f>'Data Sheet'!F27</f>
        <v>555.25</v>
      </c>
      <c r="G9" s="6">
        <f>'Data Sheet'!G27</f>
        <v>302.73</v>
      </c>
      <c r="H9" s="6">
        <f>'Data Sheet'!H27</f>
        <v>141.43</v>
      </c>
      <c r="I9" s="6">
        <f>'Data Sheet'!I27</f>
        <v>127.35</v>
      </c>
      <c r="J9" s="6">
        <f>'Data Sheet'!J27</f>
        <v>172</v>
      </c>
      <c r="K9" s="6">
        <f>'Data Sheet'!K27</f>
        <v>238.47</v>
      </c>
      <c r="L9" s="6">
        <f>SUM(Quarters!H9:K9)</f>
        <v>238.46999999999997</v>
      </c>
      <c r="M9" s="6">
        <f>+$L9</f>
        <v>238.46999999999997</v>
      </c>
      <c r="N9" s="6">
        <f>+$L9</f>
        <v>238.46999999999997</v>
      </c>
    </row>
    <row r="10" spans="1:14" x14ac:dyDescent="0.45">
      <c r="A10" t="s">
        <v>12</v>
      </c>
      <c r="B10" s="6">
        <f>'Data Sheet'!B28</f>
        <v>6402.9</v>
      </c>
      <c r="C10" s="6">
        <f>'Data Sheet'!C28</f>
        <v>6570.63</v>
      </c>
      <c r="D10" s="6">
        <f>'Data Sheet'!D28</f>
        <v>9047.8700000000008</v>
      </c>
      <c r="E10" s="6">
        <f>'Data Sheet'!E28</f>
        <v>3478.98</v>
      </c>
      <c r="F10" s="6">
        <f>'Data Sheet'!F28</f>
        <v>3810.2</v>
      </c>
      <c r="G10" s="6">
        <f>'Data Sheet'!G28</f>
        <v>5009.59</v>
      </c>
      <c r="H10" s="6">
        <f>'Data Sheet'!H28</f>
        <v>2799.37</v>
      </c>
      <c r="I10" s="6">
        <f>'Data Sheet'!I28</f>
        <v>4481.32</v>
      </c>
      <c r="J10" s="6">
        <f>'Data Sheet'!J28</f>
        <v>9408.43</v>
      </c>
      <c r="K10" s="6">
        <f>'Data Sheet'!K28</f>
        <v>11087.89</v>
      </c>
      <c r="L10" s="6">
        <f>SUM(Quarters!H10:K10)</f>
        <v>11087.890000000001</v>
      </c>
      <c r="M10" s="6">
        <f>M6+M7-SUM(M8:M9)</f>
        <v>11937.498731718479</v>
      </c>
      <c r="N10" s="6">
        <f>N6+N7-SUM(N8:N9)</f>
        <v>9923.1612690889979</v>
      </c>
    </row>
    <row r="11" spans="1:14" x14ac:dyDescent="0.45">
      <c r="A11" t="s">
        <v>13</v>
      </c>
      <c r="B11" s="6">
        <f>'Data Sheet'!B29</f>
        <v>914.69</v>
      </c>
      <c r="C11" s="6">
        <f>'Data Sheet'!C29</f>
        <v>913.77</v>
      </c>
      <c r="D11" s="6">
        <f>'Data Sheet'!D29</f>
        <v>1211.57</v>
      </c>
      <c r="E11" s="6">
        <f>'Data Sheet'!E29</f>
        <v>911.04</v>
      </c>
      <c r="F11" s="6">
        <f>'Data Sheet'!F29</f>
        <v>600.88</v>
      </c>
      <c r="G11" s="6">
        <f>'Data Sheet'!G29</f>
        <v>822.8</v>
      </c>
      <c r="H11" s="6">
        <f>'Data Sheet'!H29</f>
        <v>514.69000000000005</v>
      </c>
      <c r="I11" s="6">
        <f>'Data Sheet'!I29</f>
        <v>1075.5</v>
      </c>
      <c r="J11" s="6">
        <f>'Data Sheet'!J29</f>
        <v>847.59</v>
      </c>
      <c r="K11" s="6">
        <f>'Data Sheet'!K29</f>
        <v>1439.45</v>
      </c>
      <c r="L11" s="6">
        <f>SUM(Quarters!H11:K11)</f>
        <v>1439.45</v>
      </c>
      <c r="M11" s="7">
        <f>IF($L10&gt;0,$L11/$L10,0)</f>
        <v>0.12982181461035416</v>
      </c>
      <c r="N11" s="7">
        <f>IF($L10&gt;0,$L11/$L10,0)</f>
        <v>0.12982181461035416</v>
      </c>
    </row>
    <row r="12" spans="1:14" s="2" customFormat="1" x14ac:dyDescent="0.45">
      <c r="A12" s="2" t="s">
        <v>14</v>
      </c>
      <c r="B12" s="1">
        <f>'Data Sheet'!B30</f>
        <v>4539.38</v>
      </c>
      <c r="C12" s="1">
        <f>'Data Sheet'!C30</f>
        <v>4545.71</v>
      </c>
      <c r="D12" s="1">
        <f>'Data Sheet'!D30</f>
        <v>6964.37</v>
      </c>
      <c r="E12" s="1">
        <f>'Data Sheet'!E30</f>
        <v>2095.6999999999998</v>
      </c>
      <c r="F12" s="1">
        <f>'Data Sheet'!F30</f>
        <v>2665.42</v>
      </c>
      <c r="G12" s="1">
        <f>'Data Sheet'!G30</f>
        <v>3764.93</v>
      </c>
      <c r="H12" s="1">
        <f>'Data Sheet'!H30</f>
        <v>2903.82</v>
      </c>
      <c r="I12" s="1">
        <f>'Data Sheet'!I30</f>
        <v>3272.73</v>
      </c>
      <c r="J12" s="1">
        <f>'Data Sheet'!J30</f>
        <v>8473.58</v>
      </c>
      <c r="K12" s="1">
        <f>'Data Sheet'!K30</f>
        <v>9576.3799999999992</v>
      </c>
      <c r="L12" s="1">
        <f>SUM(Quarters!H12:K12)</f>
        <v>9576.380000000001</v>
      </c>
      <c r="M12" s="1">
        <f>M10-M11*M10</f>
        <v>10387.750984457984</v>
      </c>
      <c r="N12" s="1">
        <f>N10-N11*N10</f>
        <v>8634.91846646468</v>
      </c>
    </row>
    <row r="13" spans="1:14" x14ac:dyDescent="0.45">
      <c r="A13" t="s">
        <v>57</v>
      </c>
      <c r="B13" s="6">
        <f>IF('Data Sheet'!B93&gt;0,B12/'Data Sheet'!B93,0)</f>
        <v>21.916666666666668</v>
      </c>
      <c r="C13" s="6">
        <f>IF('Data Sheet'!C93&gt;0,C12/'Data Sheet'!C93,0)</f>
        <v>18.887730086840904</v>
      </c>
      <c r="D13" s="6">
        <f>IF('Data Sheet'!D93&gt;0,D12/'Data Sheet'!D93,0)</f>
        <v>29.026674446713624</v>
      </c>
      <c r="E13" s="6">
        <f>IF('Data Sheet'!E93&gt;0,E12/'Data Sheet'!E93,0)</f>
        <v>8.7346309340224231</v>
      </c>
      <c r="F13" s="6">
        <f>IF('Data Sheet'!F93&gt;0,F12/'Data Sheet'!F93,0)</f>
        <v>11.109156837410911</v>
      </c>
      <c r="G13" s="6">
        <f>IF('Data Sheet'!G93&gt;0,G12/'Data Sheet'!G93,0)</f>
        <v>15.691785103988662</v>
      </c>
      <c r="H13" s="6">
        <f>IF('Data Sheet'!H93&gt;0,H12/'Data Sheet'!H93,0)</f>
        <v>12.102779977493435</v>
      </c>
      <c r="I13" s="6">
        <f>IF('Data Sheet'!I93&gt;0,I12/'Data Sheet'!I93,0)</f>
        <v>13.640353436418955</v>
      </c>
      <c r="J13" s="6">
        <f>IF('Data Sheet'!J93&gt;0,J12/'Data Sheet'!J93,0)</f>
        <v>35.316884091193266</v>
      </c>
      <c r="K13" s="6">
        <f>IF('Data Sheet'!K93&gt;0,K12/'Data Sheet'!K93,0)</f>
        <v>39.913224690534733</v>
      </c>
      <c r="L13" s="6">
        <f>IF('Data Sheet'!$B6&gt;0,'Profit &amp; Loss'!L12/'Data Sheet'!$B6,0)</f>
        <v>39.912642967717453</v>
      </c>
      <c r="M13" s="6">
        <f>IF('Data Sheet'!$B6&gt;0,'Profit &amp; Loss'!M12/'Data Sheet'!$B6,0)</f>
        <v>43.294292444559105</v>
      </c>
      <c r="N13" s="6">
        <f>IF('Data Sheet'!$B6&gt;0,'Profit &amp; Loss'!N12/'Data Sheet'!$B6,0)</f>
        <v>35.988799296535333</v>
      </c>
    </row>
    <row r="14" spans="1:14" x14ac:dyDescent="0.45">
      <c r="A14" t="s">
        <v>16</v>
      </c>
      <c r="B14" s="6">
        <f>IF(B15&gt;0,B15/B13,"")</f>
        <v>46.717870722433453</v>
      </c>
      <c r="C14" s="6">
        <f t="shared" ref="C14:K14" si="2">IF(C15&gt;0,C15/C13,"")</f>
        <v>43.41442810914026</v>
      </c>
      <c r="D14" s="6">
        <f t="shared" si="2"/>
        <v>23.70750398097746</v>
      </c>
      <c r="E14" s="6">
        <f t="shared" si="2"/>
        <v>56.682417807892357</v>
      </c>
      <c r="F14" s="6">
        <f t="shared" si="2"/>
        <v>43.104081345529039</v>
      </c>
      <c r="G14" s="6">
        <f t="shared" si="2"/>
        <v>22.451237871620457</v>
      </c>
      <c r="H14" s="6">
        <f t="shared" si="2"/>
        <v>49.393610485498407</v>
      </c>
      <c r="I14" s="6">
        <f t="shared" si="2"/>
        <v>67.062045295517805</v>
      </c>
      <c r="J14" s="6">
        <f t="shared" si="2"/>
        <v>27.836544058119472</v>
      </c>
      <c r="K14" s="6">
        <f t="shared" si="2"/>
        <v>40.60183091105408</v>
      </c>
      <c r="L14" s="6">
        <f t="shared" ref="L14" si="3">IF(L13&gt;0,L15/L13,0)</f>
        <v>39.302082832970278</v>
      </c>
      <c r="M14" s="6">
        <f>M25</f>
        <v>43.700625774415407</v>
      </c>
      <c r="N14" s="6">
        <f>N25</f>
        <v>39.302082832970278</v>
      </c>
    </row>
    <row r="15" spans="1:14" s="2" customFormat="1" x14ac:dyDescent="0.45">
      <c r="A15" s="2" t="s">
        <v>58</v>
      </c>
      <c r="B15" s="1">
        <f>'Data Sheet'!B90</f>
        <v>1023.9</v>
      </c>
      <c r="C15" s="1">
        <f>'Data Sheet'!C90</f>
        <v>820</v>
      </c>
      <c r="D15" s="1">
        <f>'Data Sheet'!D90</f>
        <v>688.15</v>
      </c>
      <c r="E15" s="1">
        <f>'Data Sheet'!E90</f>
        <v>495.1</v>
      </c>
      <c r="F15" s="1">
        <f>'Data Sheet'!F90</f>
        <v>478.85</v>
      </c>
      <c r="G15" s="1">
        <f>'Data Sheet'!G90</f>
        <v>352.3</v>
      </c>
      <c r="H15" s="1">
        <f>'Data Sheet'!H90</f>
        <v>597.79999999999995</v>
      </c>
      <c r="I15" s="1">
        <f>'Data Sheet'!I90</f>
        <v>914.75</v>
      </c>
      <c r="J15" s="1">
        <f>'Data Sheet'!J90</f>
        <v>983.1</v>
      </c>
      <c r="K15" s="1">
        <f>'Data Sheet'!K90</f>
        <v>1620.55</v>
      </c>
      <c r="L15" s="1">
        <f>'Data Sheet'!B8</f>
        <v>1568.65</v>
      </c>
      <c r="M15" s="8">
        <f>M13*M14</f>
        <v>1891.9876722877777</v>
      </c>
      <c r="N15" s="9">
        <f>N13*N14</f>
        <v>1414.4347710115742</v>
      </c>
    </row>
    <row r="17" spans="1:14" s="2" customFormat="1" x14ac:dyDescent="0.45">
      <c r="A17" s="2" t="s">
        <v>15</v>
      </c>
    </row>
    <row r="18" spans="1:14" x14ac:dyDescent="0.45">
      <c r="A18" t="s">
        <v>17</v>
      </c>
      <c r="B18" s="5">
        <f>IF('Data Sheet'!B30&gt;0, 'Data Sheet'!B31/'Data Sheet'!B30, 0)</f>
        <v>0.13688212927756654</v>
      </c>
      <c r="C18" s="5">
        <f>IF('Data Sheet'!C30&gt;0, 'Data Sheet'!C31/'Data Sheet'!C30, 0)</f>
        <v>5.2942224646974838E-2</v>
      </c>
      <c r="D18" s="5">
        <f>IF('Data Sheet'!D30&gt;0, 'Data Sheet'!D31/'Data Sheet'!D30, 0)</f>
        <v>0.12057946375623352</v>
      </c>
      <c r="E18" s="5">
        <f>IF('Data Sheet'!E30&gt;0, 'Data Sheet'!E31/'Data Sheet'!E30, 0)</f>
        <v>0.22897361263539631</v>
      </c>
      <c r="F18" s="5">
        <f>IF('Data Sheet'!F30&gt;0, 'Data Sheet'!F31/'Data Sheet'!F30, 0)</f>
        <v>0.24754447704301757</v>
      </c>
      <c r="G18" s="5">
        <f>IF('Data Sheet'!G30&gt;0, 'Data Sheet'!G31/'Data Sheet'!G30, 0)</f>
        <v>0.25491044986228167</v>
      </c>
      <c r="H18" s="5">
        <f>IF('Data Sheet'!H30&gt;0, 'Data Sheet'!H31/'Data Sheet'!H30, 0)</f>
        <v>0.61969405817164969</v>
      </c>
      <c r="I18" s="5">
        <f>IF('Data Sheet'!I30&gt;0, 'Data Sheet'!I31/'Data Sheet'!I30, 0)</f>
        <v>0.73311883351208329</v>
      </c>
      <c r="J18" s="5">
        <f>IF('Data Sheet'!J30&gt;0, 'Data Sheet'!J31/'Data Sheet'!J30, 0)</f>
        <v>0.32562388034337314</v>
      </c>
      <c r="K18" s="5">
        <f>IF('Data Sheet'!K30&gt;0, 'Data Sheet'!K31/'Data Sheet'!K30, 0)</f>
        <v>0.33823428059454619</v>
      </c>
    </row>
    <row r="19" spans="1:14" x14ac:dyDescent="0.45">
      <c r="A19" t="s">
        <v>18</v>
      </c>
      <c r="B19" s="5">
        <f t="shared" ref="B19:L19" si="4">IF(B6&gt;0,B6/B4,0)</f>
        <v>0.28817965530824485</v>
      </c>
      <c r="C19" s="5">
        <f t="shared" ref="C19:K19" si="5">IF(C6&gt;0,C6/C4,0)</f>
        <v>0.28693408895205985</v>
      </c>
      <c r="D19" s="5">
        <f t="shared" si="5"/>
        <v>0.31990243976586547</v>
      </c>
      <c r="E19" s="5">
        <f t="shared" si="5"/>
        <v>0.21259097014435169</v>
      </c>
      <c r="F19" s="5">
        <f t="shared" si="5"/>
        <v>0.21939722513418652</v>
      </c>
      <c r="G19" s="5">
        <f t="shared" si="5"/>
        <v>0.21264834411876676</v>
      </c>
      <c r="H19" s="5">
        <f t="shared" si="5"/>
        <v>0.25284866562740499</v>
      </c>
      <c r="I19" s="5">
        <f t="shared" si="5"/>
        <v>0.26536555003053969</v>
      </c>
      <c r="J19" s="5">
        <f t="shared" si="5"/>
        <v>0.26547247302536953</v>
      </c>
      <c r="K19" s="5">
        <f t="shared" si="5"/>
        <v>0.26842506265870869</v>
      </c>
      <c r="L19" s="5">
        <f t="shared" si="4"/>
        <v>0.26853558530090099</v>
      </c>
    </row>
    <row r="20" spans="1:14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4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45">
      <c r="A23"/>
      <c r="B23"/>
      <c r="C23"/>
      <c r="D23"/>
      <c r="E23"/>
      <c r="F23"/>
      <c r="G23" t="s">
        <v>22</v>
      </c>
      <c r="H23" s="5">
        <f>IF(B4=0,"",POWER($K4/B4,1/9)-1)</f>
        <v>6.5529589267993238E-2</v>
      </c>
      <c r="I23" s="5">
        <f>IF(D4=0,"",POWER($K4/D4,1/7)-1)</f>
        <v>6.3206324419709414E-2</v>
      </c>
      <c r="J23" s="5">
        <f>IF(F4=0,"",POWER($K4/F4,1/5)-1)</f>
        <v>0.10781163295773566</v>
      </c>
      <c r="K23" s="5">
        <f>IF(H4=0,"",POWER($K4/H4, 1/3)-1)</f>
        <v>0.13126481358310027</v>
      </c>
      <c r="L23" s="5">
        <f>IF(ISERROR(MAX(IF(J4=0,"",(K4-J4)/J4),IF(K4=0,"",(L4-K4)/K4))),"",MAX(IF(J4=0,"",(K4-J4)/J4),IF(K4=0,"",(L4-K4)/K4)))</f>
        <v>0.10507231516066284</v>
      </c>
      <c r="M23" s="16">
        <f>MAX(K23:L23)</f>
        <v>0.13126481358310027</v>
      </c>
      <c r="N23" s="16">
        <f>MIN(H23:L23)</f>
        <v>6.3206324419709414E-2</v>
      </c>
    </row>
    <row r="24" spans="1:14" x14ac:dyDescent="0.45">
      <c r="G24" t="s">
        <v>18</v>
      </c>
      <c r="H24" s="5">
        <f>IF(SUM(B4:$K$4)=0,"",SUMPRODUCT(B19:$K$19,B4:$K$4)/SUM(B4:$K$4))</f>
        <v>0.26016595124745473</v>
      </c>
      <c r="I24" s="5">
        <f>IF(SUM(E4:$K$4)=0,"",SUMPRODUCT(E19:$K$19,E4:$K$4)/SUM(E4:$K$4))</f>
        <v>0.24665901995915598</v>
      </c>
      <c r="J24" s="5">
        <f>IF(SUM(G4:$K$4)=0,"",SUMPRODUCT(G19:$K$19,G4:$K$4)/SUM(G4:$K$4))</f>
        <v>0.25524598999679082</v>
      </c>
      <c r="K24" s="5">
        <f>IF(SUM(I4:$K$4)=0, "", SUMPRODUCT(I19:$K$19,I4:$K$4)/SUM(I4:$K$4))</f>
        <v>0.26653368643456632</v>
      </c>
      <c r="L24" s="5">
        <f>L19</f>
        <v>0.26853558530090099</v>
      </c>
      <c r="M24" s="16">
        <f>MAX(K24:L24)</f>
        <v>0.26853558530090099</v>
      </c>
      <c r="N24" s="16">
        <f>MIN(H24:L24)</f>
        <v>0.24665901995915598</v>
      </c>
    </row>
    <row r="25" spans="1:14" x14ac:dyDescent="0.45">
      <c r="G25" t="s">
        <v>23</v>
      </c>
      <c r="H25" s="6">
        <f>IF(ISERROR(AVERAGEIF(B14:$L14,"&gt;0")),"",AVERAGEIF(B14:$L14,"&gt;0"))</f>
        <v>41.843059401886642</v>
      </c>
      <c r="I25" s="6">
        <f>IF(ISERROR(AVERAGEIF(E14:$L14,"&gt;0")),"",AVERAGEIF(E14:$L14,"&gt;0"))</f>
        <v>43.304231326025239</v>
      </c>
      <c r="J25" s="6">
        <f>IF(ISERROR(AVERAGEIF(G14:$L14,"&gt;0")),"",AVERAGEIF(G14:$L14,"&gt;0"))</f>
        <v>41.107891909130082</v>
      </c>
      <c r="K25" s="6">
        <f>IF(ISERROR(AVERAGEIF(I14:$L14,"&gt;0")),"",AVERAGEIF(I14:$L14,"&gt;0"))</f>
        <v>43.700625774415407</v>
      </c>
      <c r="L25" s="6">
        <f>L14</f>
        <v>39.302082832970278</v>
      </c>
      <c r="M25" s="1">
        <f>MAX(K25:L25)</f>
        <v>43.700625774415407</v>
      </c>
      <c r="N25" s="1">
        <f>MIN(H25:L25)</f>
        <v>39.302082832970278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8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96875" defaultRowHeight="14.25" x14ac:dyDescent="0.45"/>
  <cols>
    <col min="1" max="1" width="20.6640625" customWidth="1"/>
    <col min="2" max="11" width="13.46484375" bestFit="1" customWidth="1"/>
  </cols>
  <sheetData>
    <row r="1" spans="1:11" s="2" customFormat="1" x14ac:dyDescent="0.45">
      <c r="A1" s="2" t="str">
        <f>'Profit &amp; Loss'!A1</f>
        <v>SUN PHARMACEUTICALS INDUSTRIES LTD</v>
      </c>
      <c r="E1" t="str">
        <f>UPDATE</f>
        <v/>
      </c>
      <c r="J1" s="2" t="s">
        <v>1</v>
      </c>
    </row>
    <row r="3" spans="1:11" s="2" customFormat="1" x14ac:dyDescent="0.45">
      <c r="A3" s="11" t="s">
        <v>2</v>
      </c>
      <c r="B3" s="12">
        <f>'Data Sheet'!B41</f>
        <v>44561</v>
      </c>
      <c r="C3" s="12">
        <f>'Data Sheet'!C41</f>
        <v>44651</v>
      </c>
      <c r="D3" s="12">
        <f>'Data Sheet'!D41</f>
        <v>44742</v>
      </c>
      <c r="E3" s="12">
        <f>'Data Sheet'!E41</f>
        <v>44834</v>
      </c>
      <c r="F3" s="12">
        <f>'Data Sheet'!F41</f>
        <v>44926</v>
      </c>
      <c r="G3" s="12">
        <f>'Data Sheet'!G41</f>
        <v>45016</v>
      </c>
      <c r="H3" s="12">
        <f>'Data Sheet'!H41</f>
        <v>45107</v>
      </c>
      <c r="I3" s="12">
        <f>'Data Sheet'!I41</f>
        <v>45199</v>
      </c>
      <c r="J3" s="12">
        <f>'Data Sheet'!J41</f>
        <v>45291</v>
      </c>
      <c r="K3" s="12">
        <f>'Data Sheet'!K41</f>
        <v>45382</v>
      </c>
    </row>
    <row r="4" spans="1:11" s="2" customFormat="1" x14ac:dyDescent="0.45">
      <c r="A4" s="2" t="s">
        <v>6</v>
      </c>
      <c r="B4" s="1">
        <f>'Data Sheet'!B42</f>
        <v>9863.06</v>
      </c>
      <c r="C4" s="1">
        <f>'Data Sheet'!C42</f>
        <v>9446.76</v>
      </c>
      <c r="D4" s="1">
        <f>'Data Sheet'!D42</f>
        <v>10761.76</v>
      </c>
      <c r="E4" s="1">
        <f>'Data Sheet'!E42</f>
        <v>10952.28</v>
      </c>
      <c r="F4" s="1">
        <f>'Data Sheet'!F42</f>
        <v>11240.97</v>
      </c>
      <c r="G4" s="1">
        <f>'Data Sheet'!G42</f>
        <v>10930.67</v>
      </c>
      <c r="H4" s="1">
        <f>'Data Sheet'!H42</f>
        <v>11940.84</v>
      </c>
      <c r="I4" s="1">
        <f>'Data Sheet'!I42</f>
        <v>12192.41</v>
      </c>
      <c r="J4" s="1">
        <f>'Data Sheet'!J42</f>
        <v>12380.7</v>
      </c>
      <c r="K4" s="1">
        <f>'Data Sheet'!K42</f>
        <v>11982.9</v>
      </c>
    </row>
    <row r="5" spans="1:11" x14ac:dyDescent="0.45">
      <c r="A5" t="s">
        <v>7</v>
      </c>
      <c r="B5" s="6">
        <f>'Data Sheet'!B43</f>
        <v>7256.73</v>
      </c>
      <c r="C5" s="6">
        <f>'Data Sheet'!C43</f>
        <v>7106.39</v>
      </c>
      <c r="D5" s="6">
        <f>'Data Sheet'!D43</f>
        <v>7877.37</v>
      </c>
      <c r="E5" s="6">
        <f>'Data Sheet'!E43</f>
        <v>7995.73</v>
      </c>
      <c r="F5" s="6">
        <f>'Data Sheet'!F43</f>
        <v>8237.25</v>
      </c>
      <c r="G5" s="6">
        <f>'Data Sheet'!G43</f>
        <v>8128.54</v>
      </c>
      <c r="H5" s="6">
        <f>'Data Sheet'!H43</f>
        <v>8609.07</v>
      </c>
      <c r="I5" s="6">
        <f>'Data Sheet'!I43</f>
        <v>9013.0300000000007</v>
      </c>
      <c r="J5" s="6">
        <f>'Data Sheet'!J43</f>
        <v>8903.8700000000008</v>
      </c>
      <c r="K5" s="6">
        <f>'Data Sheet'!K43</f>
        <v>8947.75</v>
      </c>
    </row>
    <row r="6" spans="1:11" s="2" customFormat="1" x14ac:dyDescent="0.45">
      <c r="A6" s="2" t="s">
        <v>8</v>
      </c>
      <c r="B6" s="1">
        <f>'Data Sheet'!B50</f>
        <v>2606.33</v>
      </c>
      <c r="C6" s="1">
        <f>'Data Sheet'!C50</f>
        <v>2340.37</v>
      </c>
      <c r="D6" s="1">
        <f>'Data Sheet'!D50</f>
        <v>2884.39</v>
      </c>
      <c r="E6" s="1">
        <f>'Data Sheet'!E50</f>
        <v>2956.55</v>
      </c>
      <c r="F6" s="1">
        <f>'Data Sheet'!F50</f>
        <v>3003.72</v>
      </c>
      <c r="G6" s="1">
        <f>'Data Sheet'!G50</f>
        <v>2802.13</v>
      </c>
      <c r="H6" s="1">
        <f>'Data Sheet'!H50</f>
        <v>3331.77</v>
      </c>
      <c r="I6" s="1">
        <f>'Data Sheet'!I50</f>
        <v>3179.38</v>
      </c>
      <c r="J6" s="1">
        <f>'Data Sheet'!J50</f>
        <v>3476.83</v>
      </c>
      <c r="K6" s="1">
        <f>'Data Sheet'!K50</f>
        <v>3035.15</v>
      </c>
    </row>
    <row r="7" spans="1:11" x14ac:dyDescent="0.45">
      <c r="A7" t="s">
        <v>9</v>
      </c>
      <c r="B7" s="6">
        <f>'Data Sheet'!B44</f>
        <v>432.51</v>
      </c>
      <c r="C7" s="6">
        <f>'Data Sheet'!C44</f>
        <v>-3822.16</v>
      </c>
      <c r="D7" s="6">
        <f>'Data Sheet'!D44</f>
        <v>2.14</v>
      </c>
      <c r="E7" s="6">
        <f>'Data Sheet'!E44</f>
        <v>85.22</v>
      </c>
      <c r="F7" s="6">
        <f>'Data Sheet'!F44</f>
        <v>173.88</v>
      </c>
      <c r="G7" s="6">
        <f>'Data Sheet'!G44</f>
        <v>201.83</v>
      </c>
      <c r="H7" s="6">
        <f>'Data Sheet'!H44</f>
        <v>-118.43</v>
      </c>
      <c r="I7" s="6">
        <f>'Data Sheet'!I44</f>
        <v>293.61</v>
      </c>
      <c r="J7" s="6">
        <f>'Data Sheet'!J44</f>
        <v>180.39</v>
      </c>
      <c r="K7" s="6">
        <f>'Data Sheet'!K44</f>
        <v>504.3</v>
      </c>
    </row>
    <row r="8" spans="1:11" x14ac:dyDescent="0.45">
      <c r="A8" t="s">
        <v>10</v>
      </c>
      <c r="B8" s="6">
        <f>'Data Sheet'!B45</f>
        <v>553.67999999999995</v>
      </c>
      <c r="C8" s="6">
        <f>'Data Sheet'!C45</f>
        <v>556.47</v>
      </c>
      <c r="D8" s="6">
        <f>'Data Sheet'!D45</f>
        <v>588</v>
      </c>
      <c r="E8" s="6">
        <f>'Data Sheet'!E45</f>
        <v>609.95000000000005</v>
      </c>
      <c r="F8" s="6">
        <f>'Data Sheet'!F45</f>
        <v>659.95</v>
      </c>
      <c r="G8" s="6">
        <f>'Data Sheet'!G45</f>
        <v>671.53</v>
      </c>
      <c r="H8" s="6">
        <f>'Data Sheet'!H45</f>
        <v>651.32000000000005</v>
      </c>
      <c r="I8" s="6">
        <f>'Data Sheet'!I45</f>
        <v>632.82000000000005</v>
      </c>
      <c r="J8" s="6">
        <f>'Data Sheet'!J45</f>
        <v>622.14</v>
      </c>
      <c r="K8" s="6">
        <f>'Data Sheet'!K45</f>
        <v>650.36</v>
      </c>
    </row>
    <row r="9" spans="1:11" x14ac:dyDescent="0.45">
      <c r="A9" t="s">
        <v>11</v>
      </c>
      <c r="B9" s="6">
        <f>'Data Sheet'!B46</f>
        <v>18.97</v>
      </c>
      <c r="C9" s="6">
        <f>'Data Sheet'!C46</f>
        <v>37.340000000000003</v>
      </c>
      <c r="D9" s="6">
        <f>'Data Sheet'!D46</f>
        <v>13.69</v>
      </c>
      <c r="E9" s="6">
        <f>'Data Sheet'!E46</f>
        <v>19.39</v>
      </c>
      <c r="F9" s="6">
        <f>'Data Sheet'!F46</f>
        <v>46.18</v>
      </c>
      <c r="G9" s="6">
        <f>'Data Sheet'!G46</f>
        <v>92.74</v>
      </c>
      <c r="H9" s="6">
        <f>'Data Sheet'!H46</f>
        <v>80.88</v>
      </c>
      <c r="I9" s="6">
        <f>'Data Sheet'!I46</f>
        <v>49.29</v>
      </c>
      <c r="J9" s="6">
        <f>'Data Sheet'!J46</f>
        <v>34.729999999999997</v>
      </c>
      <c r="K9" s="6">
        <f>'Data Sheet'!K46</f>
        <v>73.569999999999993</v>
      </c>
    </row>
    <row r="10" spans="1:11" x14ac:dyDescent="0.45">
      <c r="A10" t="s">
        <v>12</v>
      </c>
      <c r="B10" s="6">
        <f>'Data Sheet'!B47</f>
        <v>2466.19</v>
      </c>
      <c r="C10" s="6">
        <f>'Data Sheet'!C47</f>
        <v>-2075.6</v>
      </c>
      <c r="D10" s="6">
        <f>'Data Sheet'!D47</f>
        <v>2284.84</v>
      </c>
      <c r="E10" s="6">
        <f>'Data Sheet'!E47</f>
        <v>2412.4299999999998</v>
      </c>
      <c r="F10" s="6">
        <f>'Data Sheet'!F47</f>
        <v>2471.4699999999998</v>
      </c>
      <c r="G10" s="6">
        <f>'Data Sheet'!G47</f>
        <v>2239.69</v>
      </c>
      <c r="H10" s="6">
        <f>'Data Sheet'!H47</f>
        <v>2481.14</v>
      </c>
      <c r="I10" s="6">
        <f>'Data Sheet'!I47</f>
        <v>2790.88</v>
      </c>
      <c r="J10" s="6">
        <f>'Data Sheet'!J47</f>
        <v>3000.35</v>
      </c>
      <c r="K10" s="6">
        <f>'Data Sheet'!K47</f>
        <v>2815.52</v>
      </c>
    </row>
    <row r="11" spans="1:11" x14ac:dyDescent="0.45">
      <c r="A11" t="s">
        <v>13</v>
      </c>
      <c r="B11" s="6">
        <f>'Data Sheet'!B48</f>
        <v>335.39</v>
      </c>
      <c r="C11" s="6">
        <f>'Data Sheet'!C48</f>
        <v>146.76</v>
      </c>
      <c r="D11" s="6">
        <f>'Data Sheet'!D48</f>
        <v>188.99</v>
      </c>
      <c r="E11" s="6">
        <f>'Data Sheet'!E48</f>
        <v>152.26</v>
      </c>
      <c r="F11" s="6">
        <f>'Data Sheet'!F48</f>
        <v>283.43</v>
      </c>
      <c r="G11" s="6">
        <f>'Data Sheet'!G48</f>
        <v>222.91</v>
      </c>
      <c r="H11" s="6">
        <f>'Data Sheet'!H48</f>
        <v>468.1</v>
      </c>
      <c r="I11" s="6">
        <f>'Data Sheet'!I48</f>
        <v>390.1</v>
      </c>
      <c r="J11" s="6">
        <f>'Data Sheet'!J48</f>
        <v>432.32</v>
      </c>
      <c r="K11" s="6">
        <f>'Data Sheet'!K48</f>
        <v>148.93</v>
      </c>
    </row>
    <row r="12" spans="1:11" s="2" customFormat="1" x14ac:dyDescent="0.45">
      <c r="A12" s="2" t="s">
        <v>14</v>
      </c>
      <c r="B12" s="1">
        <f>'Data Sheet'!B49</f>
        <v>2058.8000000000002</v>
      </c>
      <c r="C12" s="1">
        <f>'Data Sheet'!C49</f>
        <v>-2277.25</v>
      </c>
      <c r="D12" s="1">
        <f>'Data Sheet'!D49</f>
        <v>2060.88</v>
      </c>
      <c r="E12" s="1">
        <f>'Data Sheet'!E49</f>
        <v>2262.2199999999998</v>
      </c>
      <c r="F12" s="1">
        <f>'Data Sheet'!F49</f>
        <v>2166.0100000000002</v>
      </c>
      <c r="G12" s="1">
        <f>'Data Sheet'!G49</f>
        <v>1984.47</v>
      </c>
      <c r="H12" s="1">
        <f>'Data Sheet'!H49</f>
        <v>2022.54</v>
      </c>
      <c r="I12" s="1">
        <f>'Data Sheet'!I49</f>
        <v>2375.5100000000002</v>
      </c>
      <c r="J12" s="1">
        <f>'Data Sheet'!J49</f>
        <v>2523.75</v>
      </c>
      <c r="K12" s="1">
        <f>'Data Sheet'!K49</f>
        <v>2654.58</v>
      </c>
    </row>
    <row r="14" spans="1:11" s="2" customFormat="1" x14ac:dyDescent="0.45">
      <c r="A14" s="2" t="s">
        <v>18</v>
      </c>
      <c r="B14" s="10">
        <f>IF(B4&gt;0,B6/B4,"")</f>
        <v>0.26425166226302993</v>
      </c>
      <c r="C14" s="10">
        <f t="shared" ref="C14:K14" si="0">IF(C4&gt;0,C6/C4,"")</f>
        <v>0.24774314156388008</v>
      </c>
      <c r="D14" s="10">
        <f t="shared" si="0"/>
        <v>0.26802214507664174</v>
      </c>
      <c r="E14" s="10">
        <f t="shared" si="0"/>
        <v>0.26994835778486304</v>
      </c>
      <c r="F14" s="10">
        <f t="shared" si="0"/>
        <v>0.26721181535045463</v>
      </c>
      <c r="G14" s="10">
        <f t="shared" si="0"/>
        <v>0.25635482545900662</v>
      </c>
      <c r="H14" s="10">
        <f t="shared" si="0"/>
        <v>0.2790230838031495</v>
      </c>
      <c r="I14" s="10">
        <f t="shared" si="0"/>
        <v>0.26076714939868328</v>
      </c>
      <c r="J14" s="10">
        <f t="shared" si="0"/>
        <v>0.28082660915780205</v>
      </c>
      <c r="K14" s="10">
        <f t="shared" si="0"/>
        <v>0.25329010506638627</v>
      </c>
    </row>
    <row r="22" s="23" customFormat="1" x14ac:dyDescent="0.4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53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96875" defaultRowHeight="14.25" x14ac:dyDescent="0.45"/>
  <cols>
    <col min="1" max="1" width="22.796875" bestFit="1" customWidth="1"/>
    <col min="2" max="2" width="13.46484375" customWidth="1"/>
    <col min="3" max="11" width="15.46484375" customWidth="1"/>
  </cols>
  <sheetData>
    <row r="1" spans="1:11" s="2" customFormat="1" x14ac:dyDescent="0.45">
      <c r="A1" s="2" t="str">
        <f>'Profit &amp; Loss'!A1</f>
        <v>SUN PHARMACEUTICALS INDUSTRIES LTD</v>
      </c>
      <c r="E1" t="str">
        <f>UPDATE</f>
        <v/>
      </c>
      <c r="G1"/>
      <c r="J1" s="2" t="s">
        <v>1</v>
      </c>
    </row>
    <row r="2" spans="1:11" x14ac:dyDescent="0.45">
      <c r="G2" s="2"/>
      <c r="H2" s="2"/>
    </row>
    <row r="3" spans="1:11" x14ac:dyDescent="0.4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45">
      <c r="A4" t="s">
        <v>24</v>
      </c>
      <c r="B4" s="14">
        <f>'Data Sheet'!B57</f>
        <v>207.12</v>
      </c>
      <c r="C4" s="14">
        <f>'Data Sheet'!C57</f>
        <v>240.66</v>
      </c>
      <c r="D4" s="14">
        <f>'Data Sheet'!D57</f>
        <v>239.93</v>
      </c>
      <c r="E4" s="14">
        <f>'Data Sheet'!E57</f>
        <v>239.93</v>
      </c>
      <c r="F4" s="14">
        <f>'Data Sheet'!F57</f>
        <v>239.93</v>
      </c>
      <c r="G4" s="14">
        <f>'Data Sheet'!G57</f>
        <v>239.93</v>
      </c>
      <c r="H4" s="14">
        <f>'Data Sheet'!H57</f>
        <v>239.93</v>
      </c>
      <c r="I4" s="14">
        <f>'Data Sheet'!I57</f>
        <v>239.93</v>
      </c>
      <c r="J4" s="14">
        <f>'Data Sheet'!J57</f>
        <v>239.93</v>
      </c>
      <c r="K4" s="14">
        <f>'Data Sheet'!K57</f>
        <v>239.93</v>
      </c>
    </row>
    <row r="5" spans="1:11" x14ac:dyDescent="0.45">
      <c r="A5" t="s">
        <v>25</v>
      </c>
      <c r="B5" s="14">
        <f>'Data Sheet'!B58</f>
        <v>25430.97</v>
      </c>
      <c r="C5" s="14">
        <f>'Data Sheet'!C58</f>
        <v>32741.82</v>
      </c>
      <c r="D5" s="14">
        <f>'Data Sheet'!D58</f>
        <v>36399.74</v>
      </c>
      <c r="E5" s="14">
        <f>'Data Sheet'!E58</f>
        <v>38074.18</v>
      </c>
      <c r="F5" s="14">
        <f>'Data Sheet'!F58</f>
        <v>41169.129999999997</v>
      </c>
      <c r="G5" s="14">
        <f>'Data Sheet'!G58</f>
        <v>45024.52</v>
      </c>
      <c r="H5" s="14">
        <f>'Data Sheet'!H58</f>
        <v>46222.85</v>
      </c>
      <c r="I5" s="14">
        <f>'Data Sheet'!I58</f>
        <v>47771.29</v>
      </c>
      <c r="J5" s="14">
        <f>'Data Sheet'!J58</f>
        <v>55755.45</v>
      </c>
      <c r="K5" s="14">
        <f>'Data Sheet'!K58</f>
        <v>63426.82</v>
      </c>
    </row>
    <row r="6" spans="1:11" x14ac:dyDescent="0.45">
      <c r="A6" t="s">
        <v>71</v>
      </c>
      <c r="B6" s="14">
        <f>'Data Sheet'!B59</f>
        <v>8996.11</v>
      </c>
      <c r="C6" s="14">
        <f>'Data Sheet'!C59</f>
        <v>8496.76</v>
      </c>
      <c r="D6" s="14">
        <f>'Data Sheet'!D59</f>
        <v>9831.77</v>
      </c>
      <c r="E6" s="14">
        <f>'Data Sheet'!E59</f>
        <v>10385.27</v>
      </c>
      <c r="F6" s="14">
        <f>'Data Sheet'!F59</f>
        <v>10514.36</v>
      </c>
      <c r="G6" s="14">
        <f>'Data Sheet'!G59</f>
        <v>8314.8799999999992</v>
      </c>
      <c r="H6" s="14">
        <f>'Data Sheet'!H59</f>
        <v>3868.58</v>
      </c>
      <c r="I6" s="14">
        <f>'Data Sheet'!I59</f>
        <v>1290.3</v>
      </c>
      <c r="J6" s="14">
        <f>'Data Sheet'!J59</f>
        <v>6885.87</v>
      </c>
      <c r="K6" s="14">
        <f>'Data Sheet'!K59</f>
        <v>3273.67</v>
      </c>
    </row>
    <row r="7" spans="1:11" x14ac:dyDescent="0.45">
      <c r="A7" t="s">
        <v>72</v>
      </c>
      <c r="B7" s="14">
        <f>'Data Sheet'!B60</f>
        <v>14088.99</v>
      </c>
      <c r="C7" s="14">
        <f>'Data Sheet'!C60</f>
        <v>13948.26</v>
      </c>
      <c r="D7" s="14">
        <f>'Data Sheet'!D60</f>
        <v>14624.01</v>
      </c>
      <c r="E7" s="14">
        <f>'Data Sheet'!E60</f>
        <v>15598.01</v>
      </c>
      <c r="F7" s="14">
        <f>'Data Sheet'!F60</f>
        <v>12666.11</v>
      </c>
      <c r="G7" s="14">
        <f>'Data Sheet'!G60</f>
        <v>14614.99</v>
      </c>
      <c r="H7" s="14">
        <f>'Data Sheet'!H60</f>
        <v>17290.86</v>
      </c>
      <c r="I7" s="14">
        <f>'Data Sheet'!I60</f>
        <v>20474.39</v>
      </c>
      <c r="J7" s="14">
        <f>'Data Sheet'!J60</f>
        <v>17830.650000000001</v>
      </c>
      <c r="K7" s="14">
        <f>'Data Sheet'!K60</f>
        <v>18367.400000000001</v>
      </c>
    </row>
    <row r="8" spans="1:11" s="2" customFormat="1" x14ac:dyDescent="0.45">
      <c r="A8" s="2" t="s">
        <v>26</v>
      </c>
      <c r="B8" s="15">
        <f>'Data Sheet'!B61</f>
        <v>48723.19</v>
      </c>
      <c r="C8" s="15">
        <f>'Data Sheet'!C61</f>
        <v>55427.5</v>
      </c>
      <c r="D8" s="15">
        <f>'Data Sheet'!D61</f>
        <v>61095.45</v>
      </c>
      <c r="E8" s="15">
        <f>'Data Sheet'!E61</f>
        <v>64297.39</v>
      </c>
      <c r="F8" s="15">
        <f>'Data Sheet'!F61</f>
        <v>64589.53</v>
      </c>
      <c r="G8" s="15">
        <f>'Data Sheet'!G61</f>
        <v>68194.320000000007</v>
      </c>
      <c r="H8" s="15">
        <f>'Data Sheet'!H61</f>
        <v>67622.22</v>
      </c>
      <c r="I8" s="15">
        <f>'Data Sheet'!I61</f>
        <v>69775.91</v>
      </c>
      <c r="J8" s="15">
        <f>'Data Sheet'!J61</f>
        <v>80711.899999999994</v>
      </c>
      <c r="K8" s="15">
        <f>'Data Sheet'!K61</f>
        <v>85307.82</v>
      </c>
    </row>
    <row r="9" spans="1:11" s="2" customFormat="1" x14ac:dyDescent="0.4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45">
      <c r="A10" t="s">
        <v>27</v>
      </c>
      <c r="B10" s="14">
        <f>'Data Sheet'!B62</f>
        <v>12682.47</v>
      </c>
      <c r="C10" s="14">
        <f>'Data Sheet'!C62</f>
        <v>15872.25</v>
      </c>
      <c r="D10" s="14">
        <f>'Data Sheet'!D62</f>
        <v>17675.169999999998</v>
      </c>
      <c r="E10" s="14">
        <f>'Data Sheet'!E62</f>
        <v>18852.650000000001</v>
      </c>
      <c r="F10" s="14">
        <f>'Data Sheet'!F62</f>
        <v>21836.54</v>
      </c>
      <c r="G10" s="14">
        <f>'Data Sheet'!G62</f>
        <v>22846.91</v>
      </c>
      <c r="H10" s="14">
        <f>'Data Sheet'!H62</f>
        <v>21552.98</v>
      </c>
      <c r="I10" s="14">
        <f>'Data Sheet'!I62</f>
        <v>22665.16</v>
      </c>
      <c r="J10" s="14">
        <f>'Data Sheet'!J62</f>
        <v>24065.439999999999</v>
      </c>
      <c r="K10" s="14">
        <f>'Data Sheet'!K62</f>
        <v>23211.38</v>
      </c>
    </row>
    <row r="11" spans="1:11" x14ac:dyDescent="0.45">
      <c r="A11" t="s">
        <v>28</v>
      </c>
      <c r="B11" s="14">
        <f>'Data Sheet'!B63</f>
        <v>2038.61</v>
      </c>
      <c r="C11" s="14">
        <f>'Data Sheet'!C63</f>
        <v>2175.4499999999998</v>
      </c>
      <c r="D11" s="14">
        <f>'Data Sheet'!D63</f>
        <v>2801.38</v>
      </c>
      <c r="E11" s="14">
        <f>'Data Sheet'!E63</f>
        <v>2465.16</v>
      </c>
      <c r="F11" s="14">
        <f>'Data Sheet'!F63</f>
        <v>1411.15</v>
      </c>
      <c r="G11" s="14">
        <f>'Data Sheet'!G63</f>
        <v>1220.3399999999999</v>
      </c>
      <c r="H11" s="14">
        <f>'Data Sheet'!H63</f>
        <v>1566.83</v>
      </c>
      <c r="I11" s="14">
        <f>'Data Sheet'!I63</f>
        <v>1286.8</v>
      </c>
      <c r="J11" s="14">
        <f>'Data Sheet'!J63</f>
        <v>4973.16</v>
      </c>
      <c r="K11" s="14">
        <f>'Data Sheet'!K63</f>
        <v>5353.88</v>
      </c>
    </row>
    <row r="12" spans="1:11" x14ac:dyDescent="0.45">
      <c r="A12" t="s">
        <v>29</v>
      </c>
      <c r="B12" s="14">
        <f>'Data Sheet'!B64</f>
        <v>2716.3</v>
      </c>
      <c r="C12" s="14">
        <f>'Data Sheet'!C64</f>
        <v>1829.88</v>
      </c>
      <c r="D12" s="14">
        <f>'Data Sheet'!D64</f>
        <v>1191.8800000000001</v>
      </c>
      <c r="E12" s="14">
        <f>'Data Sheet'!E64</f>
        <v>7142.87</v>
      </c>
      <c r="F12" s="14">
        <f>'Data Sheet'!F64</f>
        <v>7902.53</v>
      </c>
      <c r="G12" s="14">
        <f>'Data Sheet'!G64</f>
        <v>10143.11</v>
      </c>
      <c r="H12" s="14">
        <f>'Data Sheet'!H64</f>
        <v>9612.4500000000007</v>
      </c>
      <c r="I12" s="14">
        <f>'Data Sheet'!I64</f>
        <v>12848.59</v>
      </c>
      <c r="J12" s="14">
        <f>'Data Sheet'!J64</f>
        <v>14824.34</v>
      </c>
      <c r="K12" s="14">
        <f>'Data Sheet'!K64</f>
        <v>15025.77</v>
      </c>
    </row>
    <row r="13" spans="1:11" x14ac:dyDescent="0.45">
      <c r="A13" t="s">
        <v>73</v>
      </c>
      <c r="B13" s="14">
        <f>'Data Sheet'!B65</f>
        <v>31285.81</v>
      </c>
      <c r="C13" s="14">
        <f>'Data Sheet'!C65</f>
        <v>35549.919999999998</v>
      </c>
      <c r="D13" s="14">
        <f>'Data Sheet'!D65</f>
        <v>39427.019999999997</v>
      </c>
      <c r="E13" s="14">
        <f>'Data Sheet'!E65</f>
        <v>35836.71</v>
      </c>
      <c r="F13" s="14">
        <f>'Data Sheet'!F65</f>
        <v>33439.31</v>
      </c>
      <c r="G13" s="14">
        <f>'Data Sheet'!G65</f>
        <v>33983.96</v>
      </c>
      <c r="H13" s="14">
        <f>'Data Sheet'!H65</f>
        <v>34889.96</v>
      </c>
      <c r="I13" s="14">
        <f>'Data Sheet'!I65</f>
        <v>32975.360000000001</v>
      </c>
      <c r="J13" s="14">
        <f>'Data Sheet'!J65</f>
        <v>36848.959999999999</v>
      </c>
      <c r="K13" s="14">
        <f>'Data Sheet'!K65</f>
        <v>41716.79</v>
      </c>
    </row>
    <row r="14" spans="1:11" s="2" customFormat="1" x14ac:dyDescent="0.45">
      <c r="A14" s="2" t="s">
        <v>26</v>
      </c>
      <c r="B14" s="14">
        <f>'Data Sheet'!B66</f>
        <v>48723.19</v>
      </c>
      <c r="C14" s="14">
        <f>'Data Sheet'!C66</f>
        <v>55427.5</v>
      </c>
      <c r="D14" s="14">
        <f>'Data Sheet'!D66</f>
        <v>61095.45</v>
      </c>
      <c r="E14" s="14">
        <f>'Data Sheet'!E66</f>
        <v>64297.39</v>
      </c>
      <c r="F14" s="14">
        <f>'Data Sheet'!F66</f>
        <v>64589.53</v>
      </c>
      <c r="G14" s="14">
        <f>'Data Sheet'!G66</f>
        <v>68194.320000000007</v>
      </c>
      <c r="H14" s="14">
        <f>'Data Sheet'!H66</f>
        <v>67622.22</v>
      </c>
      <c r="I14" s="14">
        <f>'Data Sheet'!I66</f>
        <v>69775.91</v>
      </c>
      <c r="J14" s="14">
        <f>'Data Sheet'!J66</f>
        <v>80711.899999999994</v>
      </c>
      <c r="K14" s="14">
        <f>'Data Sheet'!K66</f>
        <v>85307.82</v>
      </c>
    </row>
    <row r="15" spans="1:11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5">
      <c r="A16" t="s">
        <v>30</v>
      </c>
      <c r="B16" s="4">
        <f>B13-B7</f>
        <v>17196.82</v>
      </c>
      <c r="C16" s="4">
        <f t="shared" ref="C16:K16" si="0">C13-C7</f>
        <v>21601.659999999996</v>
      </c>
      <c r="D16" s="4">
        <f t="shared" si="0"/>
        <v>24803.009999999995</v>
      </c>
      <c r="E16" s="4">
        <f t="shared" si="0"/>
        <v>20238.699999999997</v>
      </c>
      <c r="F16" s="4">
        <f t="shared" si="0"/>
        <v>20773.199999999997</v>
      </c>
      <c r="G16" s="4">
        <f t="shared" si="0"/>
        <v>19368.97</v>
      </c>
      <c r="H16" s="4">
        <f t="shared" si="0"/>
        <v>17599.099999999999</v>
      </c>
      <c r="I16" s="4">
        <f t="shared" si="0"/>
        <v>12500.970000000001</v>
      </c>
      <c r="J16" s="4">
        <f t="shared" si="0"/>
        <v>19018.309999999998</v>
      </c>
      <c r="K16" s="4">
        <f t="shared" si="0"/>
        <v>23349.39</v>
      </c>
    </row>
    <row r="17" spans="1:11" x14ac:dyDescent="0.45">
      <c r="A17" t="s">
        <v>44</v>
      </c>
      <c r="B17" s="4">
        <f>'Data Sheet'!B67</f>
        <v>5106.13</v>
      </c>
      <c r="C17" s="4">
        <f>'Data Sheet'!C67</f>
        <v>6775.66</v>
      </c>
      <c r="D17" s="4">
        <f>'Data Sheet'!D67</f>
        <v>7202.61</v>
      </c>
      <c r="E17" s="4">
        <f>'Data Sheet'!E67</f>
        <v>7815.28</v>
      </c>
      <c r="F17" s="4">
        <f>'Data Sheet'!F67</f>
        <v>8884.2000000000007</v>
      </c>
      <c r="G17" s="4">
        <f>'Data Sheet'!G67</f>
        <v>9421.24</v>
      </c>
      <c r="H17" s="4">
        <f>'Data Sheet'!H67</f>
        <v>9061.4</v>
      </c>
      <c r="I17" s="4">
        <f>'Data Sheet'!I67</f>
        <v>10484.59</v>
      </c>
      <c r="J17" s="4">
        <f>'Data Sheet'!J67</f>
        <v>11438.51</v>
      </c>
      <c r="K17" s="4">
        <f>'Data Sheet'!K67</f>
        <v>11249.37</v>
      </c>
    </row>
    <row r="18" spans="1:11" x14ac:dyDescent="0.45">
      <c r="A18" t="s">
        <v>45</v>
      </c>
      <c r="B18" s="4">
        <f>'Data Sheet'!B68</f>
        <v>5667.99</v>
      </c>
      <c r="C18" s="4">
        <f>'Data Sheet'!C68</f>
        <v>6422.54</v>
      </c>
      <c r="D18" s="4">
        <f>'Data Sheet'!D68</f>
        <v>6832.81</v>
      </c>
      <c r="E18" s="4">
        <f>'Data Sheet'!E68</f>
        <v>6880.69</v>
      </c>
      <c r="F18" s="4">
        <f>'Data Sheet'!F68</f>
        <v>7885.98</v>
      </c>
      <c r="G18" s="4">
        <f>'Data Sheet'!G68</f>
        <v>7874.99</v>
      </c>
      <c r="H18" s="4">
        <f>'Data Sheet'!H68</f>
        <v>8997.02</v>
      </c>
      <c r="I18" s="4">
        <f>'Data Sheet'!I68</f>
        <v>8925.1299999999992</v>
      </c>
      <c r="J18" s="4">
        <f>'Data Sheet'!J68</f>
        <v>10513.05</v>
      </c>
      <c r="K18" s="4">
        <f>'Data Sheet'!K68</f>
        <v>9868.2900000000009</v>
      </c>
    </row>
    <row r="20" spans="1:11" x14ac:dyDescent="0.45">
      <c r="A20" t="s">
        <v>46</v>
      </c>
      <c r="B20" s="4">
        <f>IF('Profit &amp; Loss'!B4&gt;0,'Balance Sheet'!B17/('Profit &amp; Loss'!B4/365),0)</f>
        <v>68.039455666086567</v>
      </c>
      <c r="C20" s="4">
        <f>IF('Profit &amp; Loss'!C4&gt;0,'Balance Sheet'!C17/('Profit &amp; Loss'!C4/365),0)</f>
        <v>86.815505161471719</v>
      </c>
      <c r="D20" s="4">
        <f>IF('Profit &amp; Loss'!D4&gt;0,'Balance Sheet'!D17/('Profit &amp; Loss'!D4/365),0)</f>
        <v>83.251504824177516</v>
      </c>
      <c r="E20" s="4">
        <f>IF('Profit &amp; Loss'!E4&gt;0,'Balance Sheet'!E17/('Profit &amp; Loss'!E4/365),0)</f>
        <v>107.68725372280144</v>
      </c>
      <c r="F20" s="4">
        <f>IF('Profit &amp; Loss'!F4&gt;0,'Balance Sheet'!F17/('Profit &amp; Loss'!F4/365),0)</f>
        <v>111.5648194052758</v>
      </c>
      <c r="G20" s="4">
        <f>IF('Profit &amp; Loss'!G4&gt;0,'Balance Sheet'!G17/('Profit &amp; Loss'!G4/365),0)</f>
        <v>104.72029234868671</v>
      </c>
      <c r="H20" s="4">
        <f>IF('Profit &amp; Loss'!H4&gt;0,'Balance Sheet'!H17/('Profit &amp; Loss'!H4/365),0)</f>
        <v>98.734168523983726</v>
      </c>
      <c r="I20" s="4">
        <f>IF('Profit &amp; Loss'!I4&gt;0,'Balance Sheet'!I17/('Profit &amp; Loss'!I4/365),0)</f>
        <v>99.002091348249579</v>
      </c>
      <c r="J20" s="4">
        <f>IF('Profit &amp; Loss'!J4&gt;0,'Balance Sheet'!J17/('Profit &amp; Loss'!J4/365),0)</f>
        <v>95.134817325378123</v>
      </c>
      <c r="K20" s="4">
        <f>IF('Profit &amp; Loss'!K4&gt;0,'Balance Sheet'!K17/('Profit &amp; Loss'!K4/365),0)</f>
        <v>84.665706123181209</v>
      </c>
    </row>
    <row r="21" spans="1:11" x14ac:dyDescent="0.45">
      <c r="A21" t="s">
        <v>47</v>
      </c>
      <c r="B21" s="4">
        <f>IF('Balance Sheet'!B18&gt;0,'Profit &amp; Loss'!B4/'Balance Sheet'!B18,0)</f>
        <v>4.8327555270916145</v>
      </c>
      <c r="C21" s="4">
        <f>IF('Balance Sheet'!C18&gt;0,'Profit &amp; Loss'!C4/'Balance Sheet'!C18,0)</f>
        <v>4.4354772410915304</v>
      </c>
      <c r="D21" s="4">
        <f>IF('Balance Sheet'!D18&gt;0,'Profit &amp; Loss'!D4/'Balance Sheet'!D18,0)</f>
        <v>4.6215890680408203</v>
      </c>
      <c r="E21" s="4">
        <f>IF('Balance Sheet'!E18&gt;0,'Profit &amp; Loss'!E4/'Balance Sheet'!E18,0)</f>
        <v>3.8498261075560736</v>
      </c>
      <c r="F21" s="4">
        <f>IF('Balance Sheet'!F18&gt;0,'Profit &amp; Loss'!F4/'Balance Sheet'!F18,0)</f>
        <v>3.6857701896276684</v>
      </c>
      <c r="G21" s="4">
        <f>IF('Balance Sheet'!G18&gt;0,'Profit &amp; Loss'!G4/'Balance Sheet'!G18,0)</f>
        <v>4.1698465648845273</v>
      </c>
      <c r="H21" s="4">
        <f>IF('Balance Sheet'!H18&gt;0,'Profit &amp; Loss'!H4/'Balance Sheet'!H18,0)</f>
        <v>3.723248364458454</v>
      </c>
      <c r="I21" s="4">
        <f>IF('Balance Sheet'!I18&gt;0,'Profit &amp; Loss'!I4/'Balance Sheet'!I18,0)</f>
        <v>4.3309722099285954</v>
      </c>
      <c r="J21" s="4">
        <f>IF('Balance Sheet'!J18&gt;0,'Profit &amp; Loss'!J4/'Balance Sheet'!J18,0)</f>
        <v>4.1744003880890892</v>
      </c>
      <c r="K21" s="4">
        <f>IF('Balance Sheet'!K18&gt;0,'Profit &amp; Loss'!K4/'Balance Sheet'!K18,0)</f>
        <v>4.9144127300677214</v>
      </c>
    </row>
    <row r="23" spans="1:11" s="2" customFormat="1" x14ac:dyDescent="0.45">
      <c r="A23" s="2" t="s">
        <v>59</v>
      </c>
      <c r="B23" s="10">
        <f>IF(SUM('Balance Sheet'!B4:B5)&gt;0,'Profit &amp; Loss'!B12/SUM('Balance Sheet'!B4:B5),"")</f>
        <v>0.17705609115187598</v>
      </c>
      <c r="C23" s="10">
        <f>IF(SUM('Balance Sheet'!C4:C5)&gt;0,'Profit &amp; Loss'!C12/SUM('Balance Sheet'!C4:C5),"")</f>
        <v>0.13782195880964682</v>
      </c>
      <c r="D23" s="10">
        <f>IF(SUM('Balance Sheet'!D4:D5)&gt;0,'Profit &amp; Loss'!D12/SUM('Balance Sheet'!D4:D5),"")</f>
        <v>0.19007731237754052</v>
      </c>
      <c r="E23" s="10">
        <f>IF(SUM('Balance Sheet'!E4:E5)&gt;0,'Profit &amp; Loss'!E12/SUM('Balance Sheet'!E4:E5),"")</f>
        <v>5.4697864572607842E-2</v>
      </c>
      <c r="F23" s="10">
        <f>IF(SUM('Balance Sheet'!F4:F5)&gt;0,'Profit &amp; Loss'!F12/SUM('Balance Sheet'!F4:F5),"")</f>
        <v>6.4368039264837223E-2</v>
      </c>
      <c r="G23" s="10">
        <f>IF(SUM('Balance Sheet'!G4:G5)&gt;0,'Profit &amp; Loss'!G12/SUM('Balance Sheet'!G4:G5),"")</f>
        <v>8.3176311652963866E-2</v>
      </c>
      <c r="H23" s="10">
        <f>IF(SUM('Balance Sheet'!H4:H5)&gt;0,'Profit &amp; Loss'!H12/SUM('Balance Sheet'!H4:H5),"")</f>
        <v>6.2497767029867785E-2</v>
      </c>
      <c r="I23" s="10">
        <f>IF(SUM('Balance Sheet'!I4:I5)&gt;0,'Profit &amp; Loss'!I12/SUM('Balance Sheet'!I4:I5),"")</f>
        <v>6.8165941211241865E-2</v>
      </c>
      <c r="J23" s="10">
        <f>IF(SUM('Balance Sheet'!J4:J5)&gt;0,'Profit &amp; Loss'!J12/SUM('Balance Sheet'!J4:J5),"")</f>
        <v>0.15132641300050112</v>
      </c>
      <c r="K23" s="10">
        <f>IF(SUM('Balance Sheet'!K4:K5)&gt;0,'Profit &amp; Loss'!K12/SUM('Balance Sheet'!K4:K5),"")</f>
        <v>0.15041414867258027</v>
      </c>
    </row>
    <row r="24" spans="1:11" s="2" customFormat="1" x14ac:dyDescent="0.45">
      <c r="A24" s="2" t="s">
        <v>60</v>
      </c>
      <c r="B24" s="10"/>
      <c r="C24" s="10">
        <f>IF((B4+B5+B6+C4+C5+C6)&gt;0,('Profit &amp; Loss'!C10+'Profit &amp; Loss'!C9)*2/(B4+B5+B6+C4+C5+C6),"")</f>
        <v>0.18640255912753387</v>
      </c>
      <c r="D24" s="10">
        <f>IF((C4+C5+C6+D4+D5+D6)&gt;0,('Profit &amp; Loss'!D10+'Profit &amp; Loss'!D9)*2/(C4+C5+C6+D4+D5+D6),"")</f>
        <v>0.21484018088319498</v>
      </c>
      <c r="E24" s="10">
        <f>IF((D4+D5+D6+E4+E5+E6)&gt;0,('Profit &amp; Loss'!E10+'Profit &amp; Loss'!E9)*2/(D4+D5+D6+E4+E5+E6),"")</f>
        <v>8.3986877490390438E-2</v>
      </c>
      <c r="F24" s="10">
        <f>IF((E4+E5+E6+F4+F5+F6)&gt;0,('Profit &amp; Loss'!F10+'Profit &amp; Loss'!F9)*2/(E4+E5+E6+F4+F5+F6),"")</f>
        <v>8.6768605127267376E-2</v>
      </c>
      <c r="G24" s="10">
        <f>IF((F4+F5+F6+G4+G5+G6)&gt;0,('Profit &amp; Loss'!G10+'Profit &amp; Loss'!G9)*2/(F4+F5+F6+G4+G5+G6),"")</f>
        <v>0.10070486314337777</v>
      </c>
      <c r="H24" s="10">
        <f>IF((G4+G5+G6+H4+H5+H6)&gt;0,('Profit &amp; Loss'!H10+'Profit &amp; Loss'!H9)*2/(G4+G5+G6+H4+H5+H6),"")</f>
        <v>5.6602453510798553E-2</v>
      </c>
      <c r="I24" s="10">
        <f>IF((H4+H5+H6+I4+I5+I6)&gt;0,('Profit &amp; Loss'!I10+'Profit &amp; Loss'!I9)*2/(H4+H5+H6+I4+I5+I6),"")</f>
        <v>9.2513033849869641E-2</v>
      </c>
      <c r="J24" s="10">
        <f>IF((I4+I5+I6+J4+J5+J6)&gt;0,('Profit &amp; Loss'!J10+'Profit &amp; Loss'!J9)*2/(I4+I5+I6+J4+J5+J6),"")</f>
        <v>0.17080038226904187</v>
      </c>
      <c r="K24" s="10">
        <f>IF((J4+J5+J6+K4+K5+K6)&gt;0,('Profit &amp; Loss'!K10+'Profit &amp; Loss'!K9)*2/(J4+J5+J6+K4+K5+K6),"")</f>
        <v>0.1744910537662934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01" zoomScaleNormal="150" zoomScalePageLayoutView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96875" defaultRowHeight="14.25" x14ac:dyDescent="0.45"/>
  <cols>
    <col min="1" max="1" width="26.796875" bestFit="1" customWidth="1"/>
    <col min="2" max="6" width="13.46484375" customWidth="1"/>
    <col min="7" max="11" width="13.46484375" bestFit="1" customWidth="1"/>
  </cols>
  <sheetData>
    <row r="1" spans="1:11" s="2" customFormat="1" x14ac:dyDescent="0.45">
      <c r="A1" s="2" t="str">
        <f>'Balance Sheet'!A1</f>
        <v>SUN PHARMACEUTICALS INDUSTRIES LTD</v>
      </c>
      <c r="E1" t="str">
        <f>UPDATE</f>
        <v/>
      </c>
      <c r="F1"/>
      <c r="J1" s="2" t="s">
        <v>1</v>
      </c>
    </row>
    <row r="3" spans="1:11" s="2" customFormat="1" x14ac:dyDescent="0.4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45">
      <c r="A4" s="2" t="s">
        <v>32</v>
      </c>
      <c r="B4" s="1">
        <f>'Data Sheet'!B82</f>
        <v>5615.74</v>
      </c>
      <c r="C4" s="1">
        <f>'Data Sheet'!C82</f>
        <v>6685.86</v>
      </c>
      <c r="D4" s="1">
        <f>'Data Sheet'!D82</f>
        <v>7082.21</v>
      </c>
      <c r="E4" s="1">
        <f>'Data Sheet'!E82</f>
        <v>3907.15</v>
      </c>
      <c r="F4" s="1">
        <f>'Data Sheet'!F82</f>
        <v>2196.4499999999998</v>
      </c>
      <c r="G4" s="1">
        <f>'Data Sheet'!G82</f>
        <v>6554.77</v>
      </c>
      <c r="H4" s="1">
        <f>'Data Sheet'!H82</f>
        <v>6170.37</v>
      </c>
      <c r="I4" s="1">
        <f>'Data Sheet'!I82</f>
        <v>8984.5400000000009</v>
      </c>
      <c r="J4" s="1">
        <f>'Data Sheet'!J82</f>
        <v>4959.33</v>
      </c>
      <c r="K4" s="1">
        <f>'Data Sheet'!K82</f>
        <v>12134.98</v>
      </c>
    </row>
    <row r="5" spans="1:11" x14ac:dyDescent="0.45">
      <c r="A5" t="s">
        <v>33</v>
      </c>
      <c r="B5" s="6">
        <f>'Data Sheet'!B83</f>
        <v>-1502.35</v>
      </c>
      <c r="C5" s="6">
        <f>'Data Sheet'!C83</f>
        <v>-3949.13</v>
      </c>
      <c r="D5" s="6">
        <f>'Data Sheet'!D83</f>
        <v>-4186.1499999999996</v>
      </c>
      <c r="E5" s="6">
        <f>'Data Sheet'!E83</f>
        <v>-3103.8</v>
      </c>
      <c r="F5" s="6">
        <f>'Data Sheet'!F83</f>
        <v>-310.08</v>
      </c>
      <c r="G5" s="6">
        <f>'Data Sheet'!G83</f>
        <v>-2225.3200000000002</v>
      </c>
      <c r="H5" s="6">
        <f>'Data Sheet'!H83</f>
        <v>406.53</v>
      </c>
      <c r="I5" s="6">
        <f>'Data Sheet'!I83</f>
        <v>-5555.86</v>
      </c>
      <c r="J5" s="6">
        <f>'Data Sheet'!J83</f>
        <v>-7219.92</v>
      </c>
      <c r="K5" s="6">
        <f>'Data Sheet'!K83</f>
        <v>-762.9</v>
      </c>
    </row>
    <row r="6" spans="1:11" x14ac:dyDescent="0.45">
      <c r="A6" t="s">
        <v>34</v>
      </c>
      <c r="B6" s="6">
        <f>'Data Sheet'!B84</f>
        <v>-1186.53</v>
      </c>
      <c r="C6" s="6">
        <f>'Data Sheet'!C84</f>
        <v>-1888.53</v>
      </c>
      <c r="D6" s="6">
        <f>'Data Sheet'!D84</f>
        <v>-2285.39</v>
      </c>
      <c r="E6" s="6">
        <f>'Data Sheet'!E84</f>
        <v>-1539.26</v>
      </c>
      <c r="F6" s="6">
        <f>'Data Sheet'!F84</f>
        <v>-2730.52</v>
      </c>
      <c r="G6" s="6">
        <f>'Data Sheet'!G84</f>
        <v>-5715.14</v>
      </c>
      <c r="H6" s="6">
        <f>'Data Sheet'!H84</f>
        <v>-5980.48</v>
      </c>
      <c r="I6" s="6">
        <f>'Data Sheet'!I84</f>
        <v>-5193.46</v>
      </c>
      <c r="J6" s="6">
        <f>'Data Sheet'!J84</f>
        <v>2376.0700000000002</v>
      </c>
      <c r="K6" s="6">
        <f>'Data Sheet'!K84</f>
        <v>-6710.16</v>
      </c>
    </row>
    <row r="7" spans="1:11" s="2" customFormat="1" x14ac:dyDescent="0.45">
      <c r="A7" s="2" t="s">
        <v>35</v>
      </c>
      <c r="B7" s="1">
        <f>'Data Sheet'!B85</f>
        <v>2926.86</v>
      </c>
      <c r="C7" s="1">
        <f>'Data Sheet'!C85</f>
        <v>848.2</v>
      </c>
      <c r="D7" s="1">
        <f>'Data Sheet'!D85</f>
        <v>610.66999999999996</v>
      </c>
      <c r="E7" s="1">
        <f>'Data Sheet'!E85</f>
        <v>-735.91</v>
      </c>
      <c r="F7" s="1">
        <f>'Data Sheet'!F85</f>
        <v>-844.15</v>
      </c>
      <c r="G7" s="1">
        <f>'Data Sheet'!G85</f>
        <v>-1385.69</v>
      </c>
      <c r="H7" s="1">
        <f>'Data Sheet'!H85</f>
        <v>596.41999999999996</v>
      </c>
      <c r="I7" s="1">
        <f>'Data Sheet'!I85</f>
        <v>-1764.78</v>
      </c>
      <c r="J7" s="1">
        <f>'Data Sheet'!J85</f>
        <v>115.48</v>
      </c>
      <c r="K7" s="1">
        <f>'Data Sheet'!K85</f>
        <v>4661.92</v>
      </c>
    </row>
    <row r="8" spans="1:11" x14ac:dyDescent="0.4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4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81" zoomScaleNormal="150" zoomScalePageLayoutView="150" workbookViewId="0">
      <selection activeCell="B16" sqref="B16"/>
    </sheetView>
  </sheetViews>
  <sheetFormatPr defaultColWidth="8.796875" defaultRowHeight="14.25" x14ac:dyDescent="0.45"/>
  <cols>
    <col min="1" max="1" width="8.796875" style="2"/>
    <col min="2" max="2" width="10.46484375" customWidth="1"/>
    <col min="3" max="3" width="13.33203125" style="20" customWidth="1"/>
    <col min="6" max="6" width="6.796875" customWidth="1"/>
  </cols>
  <sheetData>
    <row r="1" spans="1:7" ht="21" x14ac:dyDescent="0.65">
      <c r="A1" s="19" t="s">
        <v>56</v>
      </c>
    </row>
    <row r="3" spans="1:7" x14ac:dyDescent="0.45">
      <c r="A3" s="2" t="s">
        <v>48</v>
      </c>
    </row>
    <row r="4" spans="1:7" x14ac:dyDescent="0.45">
      <c r="B4" t="s">
        <v>90</v>
      </c>
    </row>
    <row r="5" spans="1:7" x14ac:dyDescent="0.45">
      <c r="B5" t="s">
        <v>49</v>
      </c>
    </row>
    <row r="7" spans="1:7" x14ac:dyDescent="0.45">
      <c r="A7" s="2" t="s">
        <v>50</v>
      </c>
    </row>
    <row r="8" spans="1:7" x14ac:dyDescent="0.45">
      <c r="B8" t="s">
        <v>51</v>
      </c>
      <c r="C8" s="21" t="s">
        <v>91</v>
      </c>
    </row>
    <row r="10" spans="1:7" x14ac:dyDescent="0.45">
      <c r="A10" s="2" t="s">
        <v>52</v>
      </c>
    </row>
    <row r="11" spans="1:7" x14ac:dyDescent="0.45">
      <c r="B11" t="s">
        <v>53</v>
      </c>
    </row>
    <row r="14" spans="1:7" x14ac:dyDescent="0.45">
      <c r="A14" s="2" t="s">
        <v>54</v>
      </c>
    </row>
    <row r="15" spans="1:7" x14ac:dyDescent="0.45">
      <c r="B15" t="s">
        <v>55</v>
      </c>
    </row>
    <row r="16" spans="1:7" x14ac:dyDescent="0.4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01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17" sqref="B17:K17"/>
    </sheetView>
  </sheetViews>
  <sheetFormatPr defaultColWidth="8.796875" defaultRowHeight="14.25" x14ac:dyDescent="0.45"/>
  <cols>
    <col min="1" max="1" width="27.6640625" style="4" bestFit="1" customWidth="1"/>
    <col min="2" max="11" width="13.46484375" style="4" bestFit="1" customWidth="1"/>
    <col min="12" max="12" width="8.796875" style="4"/>
    <col min="13" max="13" width="9.59765625" style="4" bestFit="1" customWidth="1"/>
    <col min="14" max="16384" width="8.796875" style="4"/>
  </cols>
  <sheetData>
    <row r="1" spans="1:11" s="1" customFormat="1" x14ac:dyDescent="0.45">
      <c r="A1" s="1" t="s">
        <v>0</v>
      </c>
      <c r="B1" s="1" t="s">
        <v>63</v>
      </c>
      <c r="E1" s="59" t="str">
        <f>IF(B2&lt;&gt;B3, "A NEW VERSION OF THE WORKSHEET IS AVAILABLE", "")</f>
        <v/>
      </c>
      <c r="F1" s="59"/>
      <c r="G1" s="59"/>
      <c r="H1" s="59"/>
      <c r="I1" s="59"/>
      <c r="J1" s="59"/>
      <c r="K1" s="59"/>
    </row>
    <row r="2" spans="1:11" x14ac:dyDescent="0.45">
      <c r="A2" s="1" t="s">
        <v>61</v>
      </c>
      <c r="B2" s="4">
        <v>2.1</v>
      </c>
      <c r="E2" s="60" t="s">
        <v>36</v>
      </c>
      <c r="F2" s="60"/>
      <c r="G2" s="60"/>
      <c r="H2" s="60"/>
      <c r="I2" s="60"/>
      <c r="J2" s="60"/>
      <c r="K2" s="60"/>
    </row>
    <row r="3" spans="1:11" x14ac:dyDescent="0.45">
      <c r="A3" s="1" t="s">
        <v>62</v>
      </c>
      <c r="B3" s="4">
        <v>2.1</v>
      </c>
    </row>
    <row r="4" spans="1:11" x14ac:dyDescent="0.45">
      <c r="A4" s="1"/>
    </row>
    <row r="5" spans="1:11" x14ac:dyDescent="0.45">
      <c r="A5" s="1" t="s">
        <v>64</v>
      </c>
    </row>
    <row r="6" spans="1:11" x14ac:dyDescent="0.45">
      <c r="A6" s="4" t="s">
        <v>42</v>
      </c>
      <c r="B6" s="4">
        <f>IF(B9&gt;0, B9/B8, 0)</f>
        <v>239.93349695598124</v>
      </c>
    </row>
    <row r="7" spans="1:11" x14ac:dyDescent="0.45">
      <c r="A7" s="4" t="s">
        <v>31</v>
      </c>
      <c r="B7">
        <v>1</v>
      </c>
    </row>
    <row r="8" spans="1:11" x14ac:dyDescent="0.45">
      <c r="A8" s="4" t="s">
        <v>43</v>
      </c>
      <c r="B8">
        <v>1568.65</v>
      </c>
    </row>
    <row r="9" spans="1:11" x14ac:dyDescent="0.45">
      <c r="A9" s="4" t="s">
        <v>79</v>
      </c>
      <c r="B9">
        <v>376371.68</v>
      </c>
    </row>
    <row r="15" spans="1:11" x14ac:dyDescent="0.45">
      <c r="A15" s="1" t="s">
        <v>37</v>
      </c>
    </row>
    <row r="16" spans="1:11" s="18" customFormat="1" x14ac:dyDescent="0.4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45">
      <c r="A17" s="6" t="s">
        <v>6</v>
      </c>
      <c r="B17">
        <v>27392.01</v>
      </c>
      <c r="C17">
        <v>28487.03</v>
      </c>
      <c r="D17">
        <v>31578.44</v>
      </c>
      <c r="E17">
        <v>26489.46</v>
      </c>
      <c r="F17">
        <v>29065.91</v>
      </c>
      <c r="G17">
        <v>32837.5</v>
      </c>
      <c r="H17">
        <v>33498.14</v>
      </c>
      <c r="I17">
        <v>38654.49</v>
      </c>
      <c r="J17">
        <v>43885.68</v>
      </c>
      <c r="K17">
        <v>48496.85</v>
      </c>
    </row>
    <row r="18" spans="1:11" s="6" customFormat="1" x14ac:dyDescent="0.45">
      <c r="A18" s="4" t="s">
        <v>80</v>
      </c>
      <c r="B18">
        <v>6624.68</v>
      </c>
      <c r="C18">
        <v>6724.15</v>
      </c>
      <c r="D18">
        <v>8402.3700000000008</v>
      </c>
      <c r="E18">
        <v>7193.98</v>
      </c>
      <c r="F18">
        <v>8302.08</v>
      </c>
      <c r="G18">
        <v>8929.6</v>
      </c>
      <c r="H18">
        <v>9328.2999999999993</v>
      </c>
      <c r="I18">
        <v>10459.15</v>
      </c>
      <c r="J18">
        <v>11349.07</v>
      </c>
      <c r="K18">
        <v>10370.48</v>
      </c>
    </row>
    <row r="19" spans="1:11" s="6" customFormat="1" x14ac:dyDescent="0.45">
      <c r="A19" s="4" t="s">
        <v>81</v>
      </c>
      <c r="B19">
        <v>-114.49</v>
      </c>
      <c r="C19">
        <v>393.77</v>
      </c>
      <c r="D19">
        <v>271.63</v>
      </c>
      <c r="E19">
        <v>-230.7</v>
      </c>
      <c r="F19">
        <v>433.11</v>
      </c>
      <c r="G19">
        <v>-300.85000000000002</v>
      </c>
      <c r="H19">
        <v>638.22</v>
      </c>
      <c r="I19">
        <v>107.61</v>
      </c>
      <c r="J19">
        <v>686.91</v>
      </c>
      <c r="K19">
        <v>-292.13</v>
      </c>
    </row>
    <row r="20" spans="1:11" s="6" customFormat="1" x14ac:dyDescent="0.45">
      <c r="A20" s="4" t="s">
        <v>82</v>
      </c>
      <c r="B20">
        <v>560.77</v>
      </c>
      <c r="C20">
        <v>545.44000000000005</v>
      </c>
      <c r="D20">
        <v>525.09</v>
      </c>
      <c r="E20">
        <v>559.97</v>
      </c>
      <c r="F20">
        <v>613.6</v>
      </c>
      <c r="G20">
        <v>621.89</v>
      </c>
      <c r="H20">
        <v>627.09</v>
      </c>
      <c r="I20">
        <v>702.78</v>
      </c>
      <c r="J20">
        <v>830.05</v>
      </c>
      <c r="K20">
        <v>760.78</v>
      </c>
    </row>
    <row r="21" spans="1:11" s="6" customFormat="1" x14ac:dyDescent="0.45">
      <c r="A21" s="4" t="s">
        <v>83</v>
      </c>
      <c r="B21">
        <v>1427.56</v>
      </c>
      <c r="C21">
        <v>1808.55</v>
      </c>
      <c r="D21">
        <v>1973.46</v>
      </c>
      <c r="E21">
        <v>1828.35</v>
      </c>
      <c r="F21">
        <v>1884.71</v>
      </c>
      <c r="G21">
        <v>1690</v>
      </c>
      <c r="H21">
        <v>1723.78</v>
      </c>
      <c r="I21">
        <v>1880.71</v>
      </c>
      <c r="J21">
        <v>1936.77</v>
      </c>
      <c r="K21">
        <v>2186.62</v>
      </c>
    </row>
    <row r="22" spans="1:11" s="6" customFormat="1" x14ac:dyDescent="0.45">
      <c r="A22" s="4" t="s">
        <v>84</v>
      </c>
      <c r="B22">
        <v>4502.6400000000003</v>
      </c>
      <c r="C22">
        <v>4772.3100000000004</v>
      </c>
      <c r="D22">
        <v>4902.3</v>
      </c>
      <c r="E22">
        <v>5367.05</v>
      </c>
      <c r="F22">
        <v>5967.09</v>
      </c>
      <c r="G22">
        <v>6362.35</v>
      </c>
      <c r="H22">
        <v>6862.23</v>
      </c>
      <c r="I22">
        <v>7300.83</v>
      </c>
      <c r="J22">
        <v>8296.0300000000007</v>
      </c>
      <c r="K22">
        <v>9429.06</v>
      </c>
    </row>
    <row r="23" spans="1:11" s="6" customFormat="1" x14ac:dyDescent="0.45">
      <c r="A23" s="4" t="s">
        <v>85</v>
      </c>
      <c r="B23">
        <v>5131.37</v>
      </c>
      <c r="C23">
        <v>5219.2</v>
      </c>
      <c r="D23">
        <v>5224.6099999999997</v>
      </c>
      <c r="E23">
        <v>4727</v>
      </c>
      <c r="F23">
        <v>5350.33</v>
      </c>
      <c r="G23">
        <v>6995.37</v>
      </c>
      <c r="H23">
        <v>6283.41</v>
      </c>
      <c r="I23">
        <v>7366.88</v>
      </c>
      <c r="J23">
        <v>9482.36</v>
      </c>
      <c r="K23">
        <v>11033.19</v>
      </c>
    </row>
    <row r="24" spans="1:11" s="6" customFormat="1" x14ac:dyDescent="0.45">
      <c r="A24" s="4" t="s">
        <v>86</v>
      </c>
      <c r="B24">
        <v>1136.68</v>
      </c>
      <c r="C24">
        <v>1637.25</v>
      </c>
      <c r="D24">
        <v>720.22</v>
      </c>
      <c r="E24">
        <v>950.99</v>
      </c>
      <c r="F24">
        <v>1004.23</v>
      </c>
      <c r="G24">
        <v>954.6</v>
      </c>
      <c r="H24">
        <v>841.59</v>
      </c>
      <c r="I24">
        <v>794.18</v>
      </c>
      <c r="J24">
        <v>1027.8699999999999</v>
      </c>
      <c r="K24">
        <v>1406.82</v>
      </c>
    </row>
    <row r="25" spans="1:11" s="6" customFormat="1" x14ac:dyDescent="0.45">
      <c r="A25" s="6" t="s">
        <v>9</v>
      </c>
      <c r="B25">
        <v>282.79000000000002</v>
      </c>
      <c r="C25">
        <v>-42.5</v>
      </c>
      <c r="D25">
        <v>610.4</v>
      </c>
      <c r="E25">
        <v>-135.03</v>
      </c>
      <c r="F25">
        <v>-258.27999999999997</v>
      </c>
      <c r="G25">
        <v>382.26</v>
      </c>
      <c r="H25">
        <v>-3449.21</v>
      </c>
      <c r="I25">
        <v>-3505.16</v>
      </c>
      <c r="J25">
        <v>459.42</v>
      </c>
      <c r="K25">
        <v>865.23</v>
      </c>
    </row>
    <row r="26" spans="1:11" s="6" customFormat="1" x14ac:dyDescent="0.45">
      <c r="A26" s="6" t="s">
        <v>10</v>
      </c>
      <c r="B26">
        <v>1194.72</v>
      </c>
      <c r="C26">
        <v>1037.53</v>
      </c>
      <c r="D26">
        <v>1264.75</v>
      </c>
      <c r="E26">
        <v>1499.84</v>
      </c>
      <c r="F26">
        <v>1753.25</v>
      </c>
      <c r="G26">
        <v>2052.7800000000002</v>
      </c>
      <c r="H26">
        <v>2079.9499999999998</v>
      </c>
      <c r="I26">
        <v>2143.7399999999998</v>
      </c>
      <c r="J26">
        <v>2529.4299999999998</v>
      </c>
      <c r="K26">
        <v>2556.64</v>
      </c>
    </row>
    <row r="27" spans="1:11" s="6" customFormat="1" x14ac:dyDescent="0.45">
      <c r="A27" s="6" t="s">
        <v>11</v>
      </c>
      <c r="B27">
        <v>578.99</v>
      </c>
      <c r="C27">
        <v>523.24</v>
      </c>
      <c r="D27">
        <v>399.8</v>
      </c>
      <c r="E27">
        <v>517.57000000000005</v>
      </c>
      <c r="F27">
        <v>555.25</v>
      </c>
      <c r="G27">
        <v>302.73</v>
      </c>
      <c r="H27">
        <v>141.43</v>
      </c>
      <c r="I27">
        <v>127.35</v>
      </c>
      <c r="J27">
        <v>172</v>
      </c>
      <c r="K27">
        <v>238.47</v>
      </c>
    </row>
    <row r="28" spans="1:11" s="6" customFormat="1" x14ac:dyDescent="0.45">
      <c r="A28" s="6" t="s">
        <v>12</v>
      </c>
      <c r="B28">
        <v>6402.9</v>
      </c>
      <c r="C28">
        <v>6570.63</v>
      </c>
      <c r="D28">
        <v>9047.8700000000008</v>
      </c>
      <c r="E28">
        <v>3478.98</v>
      </c>
      <c r="F28">
        <v>3810.2</v>
      </c>
      <c r="G28">
        <v>5009.59</v>
      </c>
      <c r="H28">
        <v>2799.37</v>
      </c>
      <c r="I28">
        <v>4481.32</v>
      </c>
      <c r="J28">
        <v>9408.43</v>
      </c>
      <c r="K28">
        <v>11087.89</v>
      </c>
    </row>
    <row r="29" spans="1:11" s="6" customFormat="1" x14ac:dyDescent="0.45">
      <c r="A29" s="6" t="s">
        <v>13</v>
      </c>
      <c r="B29">
        <v>914.69</v>
      </c>
      <c r="C29">
        <v>913.77</v>
      </c>
      <c r="D29">
        <v>1211.57</v>
      </c>
      <c r="E29">
        <v>911.04</v>
      </c>
      <c r="F29">
        <v>600.88</v>
      </c>
      <c r="G29">
        <v>822.8</v>
      </c>
      <c r="H29">
        <v>514.69000000000005</v>
      </c>
      <c r="I29">
        <v>1075.5</v>
      </c>
      <c r="J29">
        <v>847.59</v>
      </c>
      <c r="K29">
        <v>1439.45</v>
      </c>
    </row>
    <row r="30" spans="1:11" s="6" customFormat="1" x14ac:dyDescent="0.45">
      <c r="A30" s="6" t="s">
        <v>14</v>
      </c>
      <c r="B30">
        <v>4539.38</v>
      </c>
      <c r="C30">
        <v>4545.71</v>
      </c>
      <c r="D30">
        <v>6964.37</v>
      </c>
      <c r="E30">
        <v>2095.6999999999998</v>
      </c>
      <c r="F30">
        <v>2665.42</v>
      </c>
      <c r="G30">
        <v>3764.93</v>
      </c>
      <c r="H30">
        <v>2903.82</v>
      </c>
      <c r="I30">
        <v>3272.73</v>
      </c>
      <c r="J30">
        <v>8473.58</v>
      </c>
      <c r="K30">
        <v>9576.3799999999992</v>
      </c>
    </row>
    <row r="31" spans="1:11" s="6" customFormat="1" x14ac:dyDescent="0.45">
      <c r="A31" s="6" t="s">
        <v>70</v>
      </c>
      <c r="B31">
        <v>621.36</v>
      </c>
      <c r="C31">
        <v>240.66</v>
      </c>
      <c r="D31">
        <v>839.76</v>
      </c>
      <c r="E31">
        <v>479.86</v>
      </c>
      <c r="F31">
        <v>659.81</v>
      </c>
      <c r="G31">
        <v>959.72</v>
      </c>
      <c r="H31">
        <v>1799.48</v>
      </c>
      <c r="I31">
        <v>2399.3000000000002</v>
      </c>
      <c r="J31">
        <v>2759.2</v>
      </c>
      <c r="K31">
        <v>3239.06</v>
      </c>
    </row>
    <row r="32" spans="1:11" s="6" customFormat="1" x14ac:dyDescent="0.45"/>
    <row r="33" spans="1:11" x14ac:dyDescent="0.45">
      <c r="A33" s="6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  <row r="40" spans="1:11" x14ac:dyDescent="0.45">
      <c r="A40" s="1" t="s">
        <v>39</v>
      </c>
    </row>
    <row r="41" spans="1:11" s="18" customFormat="1" x14ac:dyDescent="0.45">
      <c r="A41" s="17" t="s">
        <v>38</v>
      </c>
      <c r="B41" s="12">
        <v>44561</v>
      </c>
      <c r="C41" s="12">
        <v>44651</v>
      </c>
      <c r="D41" s="12">
        <v>44742</v>
      </c>
      <c r="E41" s="12">
        <v>44834</v>
      </c>
      <c r="F41" s="12">
        <v>44926</v>
      </c>
      <c r="G41" s="12">
        <v>45016</v>
      </c>
      <c r="H41" s="12">
        <v>45107</v>
      </c>
      <c r="I41" s="12">
        <v>45199</v>
      </c>
      <c r="J41" s="12">
        <v>45291</v>
      </c>
      <c r="K41" s="12">
        <v>45382</v>
      </c>
    </row>
    <row r="42" spans="1:11" s="6" customFormat="1" x14ac:dyDescent="0.45">
      <c r="A42" s="6" t="s">
        <v>6</v>
      </c>
      <c r="B42">
        <v>9863.06</v>
      </c>
      <c r="C42">
        <v>9446.76</v>
      </c>
      <c r="D42">
        <v>10761.76</v>
      </c>
      <c r="E42">
        <v>10952.28</v>
      </c>
      <c r="F42">
        <v>11240.97</v>
      </c>
      <c r="G42">
        <v>10930.67</v>
      </c>
      <c r="H42">
        <v>11940.84</v>
      </c>
      <c r="I42">
        <v>12192.41</v>
      </c>
      <c r="J42">
        <v>12380.7</v>
      </c>
      <c r="K42">
        <v>11982.9</v>
      </c>
    </row>
    <row r="43" spans="1:11" s="6" customFormat="1" x14ac:dyDescent="0.45">
      <c r="A43" s="6" t="s">
        <v>7</v>
      </c>
      <c r="B43">
        <v>7256.73</v>
      </c>
      <c r="C43">
        <v>7106.39</v>
      </c>
      <c r="D43">
        <v>7877.37</v>
      </c>
      <c r="E43">
        <v>7995.73</v>
      </c>
      <c r="F43">
        <v>8237.25</v>
      </c>
      <c r="G43">
        <v>8128.54</v>
      </c>
      <c r="H43">
        <v>8609.07</v>
      </c>
      <c r="I43">
        <v>9013.0300000000007</v>
      </c>
      <c r="J43">
        <v>8903.8700000000008</v>
      </c>
      <c r="K43">
        <v>8947.75</v>
      </c>
    </row>
    <row r="44" spans="1:11" s="6" customFormat="1" x14ac:dyDescent="0.45">
      <c r="A44" s="6" t="s">
        <v>9</v>
      </c>
      <c r="B44">
        <v>432.51</v>
      </c>
      <c r="C44">
        <v>-3822.16</v>
      </c>
      <c r="D44">
        <v>2.14</v>
      </c>
      <c r="E44">
        <v>85.22</v>
      </c>
      <c r="F44">
        <v>173.88</v>
      </c>
      <c r="G44">
        <v>201.83</v>
      </c>
      <c r="H44">
        <v>-118.43</v>
      </c>
      <c r="I44">
        <v>293.61</v>
      </c>
      <c r="J44">
        <v>180.39</v>
      </c>
      <c r="K44">
        <v>504.3</v>
      </c>
    </row>
    <row r="45" spans="1:11" s="6" customFormat="1" x14ac:dyDescent="0.45">
      <c r="A45" s="6" t="s">
        <v>10</v>
      </c>
      <c r="B45">
        <v>553.67999999999995</v>
      </c>
      <c r="C45">
        <v>556.47</v>
      </c>
      <c r="D45">
        <v>588</v>
      </c>
      <c r="E45">
        <v>609.95000000000005</v>
      </c>
      <c r="F45">
        <v>659.95</v>
      </c>
      <c r="G45">
        <v>671.53</v>
      </c>
      <c r="H45">
        <v>651.32000000000005</v>
      </c>
      <c r="I45">
        <v>632.82000000000005</v>
      </c>
      <c r="J45">
        <v>622.14</v>
      </c>
      <c r="K45">
        <v>650.36</v>
      </c>
    </row>
    <row r="46" spans="1:11" s="6" customFormat="1" x14ac:dyDescent="0.45">
      <c r="A46" s="6" t="s">
        <v>11</v>
      </c>
      <c r="B46">
        <v>18.97</v>
      </c>
      <c r="C46">
        <v>37.340000000000003</v>
      </c>
      <c r="D46">
        <v>13.69</v>
      </c>
      <c r="E46">
        <v>19.39</v>
      </c>
      <c r="F46">
        <v>46.18</v>
      </c>
      <c r="G46">
        <v>92.74</v>
      </c>
      <c r="H46">
        <v>80.88</v>
      </c>
      <c r="I46">
        <v>49.29</v>
      </c>
      <c r="J46">
        <v>34.729999999999997</v>
      </c>
      <c r="K46">
        <v>73.569999999999993</v>
      </c>
    </row>
    <row r="47" spans="1:11" s="6" customFormat="1" x14ac:dyDescent="0.45">
      <c r="A47" s="6" t="s">
        <v>12</v>
      </c>
      <c r="B47">
        <v>2466.19</v>
      </c>
      <c r="C47">
        <v>-2075.6</v>
      </c>
      <c r="D47">
        <v>2284.84</v>
      </c>
      <c r="E47">
        <v>2412.4299999999998</v>
      </c>
      <c r="F47">
        <v>2471.4699999999998</v>
      </c>
      <c r="G47">
        <v>2239.69</v>
      </c>
      <c r="H47">
        <v>2481.14</v>
      </c>
      <c r="I47">
        <v>2790.88</v>
      </c>
      <c r="J47">
        <v>3000.35</v>
      </c>
      <c r="K47">
        <v>2815.52</v>
      </c>
    </row>
    <row r="48" spans="1:11" s="6" customFormat="1" x14ac:dyDescent="0.45">
      <c r="A48" s="6" t="s">
        <v>13</v>
      </c>
      <c r="B48">
        <v>335.39</v>
      </c>
      <c r="C48">
        <v>146.76</v>
      </c>
      <c r="D48">
        <v>188.99</v>
      </c>
      <c r="E48">
        <v>152.26</v>
      </c>
      <c r="F48">
        <v>283.43</v>
      </c>
      <c r="G48">
        <v>222.91</v>
      </c>
      <c r="H48">
        <v>468.1</v>
      </c>
      <c r="I48">
        <v>390.1</v>
      </c>
      <c r="J48">
        <v>432.32</v>
      </c>
      <c r="K48">
        <v>148.93</v>
      </c>
    </row>
    <row r="49" spans="1:11" s="6" customFormat="1" x14ac:dyDescent="0.45">
      <c r="A49" s="6" t="s">
        <v>14</v>
      </c>
      <c r="B49">
        <v>2058.8000000000002</v>
      </c>
      <c r="C49">
        <v>-2277.25</v>
      </c>
      <c r="D49">
        <v>2060.88</v>
      </c>
      <c r="E49">
        <v>2262.2199999999998</v>
      </c>
      <c r="F49">
        <v>2166.0100000000002</v>
      </c>
      <c r="G49">
        <v>1984.47</v>
      </c>
      <c r="H49">
        <v>2022.54</v>
      </c>
      <c r="I49">
        <v>2375.5100000000002</v>
      </c>
      <c r="J49">
        <v>2523.75</v>
      </c>
      <c r="K49">
        <v>2654.58</v>
      </c>
    </row>
    <row r="50" spans="1:11" x14ac:dyDescent="0.45">
      <c r="A50" s="6" t="s">
        <v>8</v>
      </c>
      <c r="B50">
        <v>2606.33</v>
      </c>
      <c r="C50">
        <v>2340.37</v>
      </c>
      <c r="D50">
        <v>2884.39</v>
      </c>
      <c r="E50">
        <v>2956.55</v>
      </c>
      <c r="F50">
        <v>3003.72</v>
      </c>
      <c r="G50">
        <v>2802.13</v>
      </c>
      <c r="H50">
        <v>3331.77</v>
      </c>
      <c r="I50">
        <v>3179.38</v>
      </c>
      <c r="J50">
        <v>3476.83</v>
      </c>
      <c r="K50">
        <v>3035.15</v>
      </c>
    </row>
    <row r="51" spans="1:11" x14ac:dyDescent="0.45">
      <c r="A51" s="6"/>
    </row>
    <row r="52" spans="1:11" x14ac:dyDescent="0.45">
      <c r="A52" s="6"/>
    </row>
    <row r="53" spans="1:11" x14ac:dyDescent="0.45">
      <c r="A53" s="6"/>
    </row>
    <row r="54" spans="1:11" x14ac:dyDescent="0.45">
      <c r="A54" s="6"/>
    </row>
    <row r="55" spans="1:11" x14ac:dyDescent="0.45">
      <c r="A55" s="1" t="s">
        <v>40</v>
      </c>
    </row>
    <row r="56" spans="1:11" s="18" customFormat="1" x14ac:dyDescent="0.4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45">
      <c r="A57" s="6" t="s">
        <v>24</v>
      </c>
      <c r="B57">
        <v>207.12</v>
      </c>
      <c r="C57">
        <v>240.66</v>
      </c>
      <c r="D57">
        <v>239.93</v>
      </c>
      <c r="E57">
        <v>239.93</v>
      </c>
      <c r="F57">
        <v>239.93</v>
      </c>
      <c r="G57">
        <v>239.93</v>
      </c>
      <c r="H57">
        <v>239.93</v>
      </c>
      <c r="I57">
        <v>239.93</v>
      </c>
      <c r="J57">
        <v>239.93</v>
      </c>
      <c r="K57">
        <v>239.93</v>
      </c>
    </row>
    <row r="58" spans="1:11" x14ac:dyDescent="0.45">
      <c r="A58" s="6" t="s">
        <v>25</v>
      </c>
      <c r="B58">
        <v>25430.97</v>
      </c>
      <c r="C58">
        <v>32741.82</v>
      </c>
      <c r="D58">
        <v>36399.74</v>
      </c>
      <c r="E58">
        <v>38074.18</v>
      </c>
      <c r="F58">
        <v>41169.129999999997</v>
      </c>
      <c r="G58">
        <v>45024.52</v>
      </c>
      <c r="H58">
        <v>46222.85</v>
      </c>
      <c r="I58">
        <v>47771.29</v>
      </c>
      <c r="J58">
        <v>55755.45</v>
      </c>
      <c r="K58">
        <v>63426.82</v>
      </c>
    </row>
    <row r="59" spans="1:11" x14ac:dyDescent="0.45">
      <c r="A59" s="6" t="s">
        <v>71</v>
      </c>
      <c r="B59">
        <v>8996.11</v>
      </c>
      <c r="C59">
        <v>8496.76</v>
      </c>
      <c r="D59">
        <v>9831.77</v>
      </c>
      <c r="E59">
        <v>10385.27</v>
      </c>
      <c r="F59">
        <v>10514.36</v>
      </c>
      <c r="G59">
        <v>8314.8799999999992</v>
      </c>
      <c r="H59">
        <v>3868.58</v>
      </c>
      <c r="I59">
        <v>1290.3</v>
      </c>
      <c r="J59">
        <v>6885.87</v>
      </c>
      <c r="K59">
        <v>3273.67</v>
      </c>
    </row>
    <row r="60" spans="1:11" x14ac:dyDescent="0.45">
      <c r="A60" s="6" t="s">
        <v>72</v>
      </c>
      <c r="B60">
        <v>14088.99</v>
      </c>
      <c r="C60">
        <v>13948.26</v>
      </c>
      <c r="D60">
        <v>14624.01</v>
      </c>
      <c r="E60">
        <v>15598.01</v>
      </c>
      <c r="F60">
        <v>12666.11</v>
      </c>
      <c r="G60">
        <v>14614.99</v>
      </c>
      <c r="H60">
        <v>17290.86</v>
      </c>
      <c r="I60">
        <v>20474.39</v>
      </c>
      <c r="J60">
        <v>17830.650000000001</v>
      </c>
      <c r="K60">
        <v>18367.400000000001</v>
      </c>
    </row>
    <row r="61" spans="1:11" s="1" customFormat="1" x14ac:dyDescent="0.45">
      <c r="A61" s="1" t="s">
        <v>26</v>
      </c>
      <c r="B61">
        <v>48723.19</v>
      </c>
      <c r="C61">
        <v>55427.5</v>
      </c>
      <c r="D61">
        <v>61095.45</v>
      </c>
      <c r="E61">
        <v>64297.39</v>
      </c>
      <c r="F61">
        <v>64589.53</v>
      </c>
      <c r="G61">
        <v>68194.320000000007</v>
      </c>
      <c r="H61">
        <v>67622.22</v>
      </c>
      <c r="I61">
        <v>69775.91</v>
      </c>
      <c r="J61">
        <v>80711.899999999994</v>
      </c>
      <c r="K61">
        <v>85307.82</v>
      </c>
    </row>
    <row r="62" spans="1:11" x14ac:dyDescent="0.45">
      <c r="A62" s="6" t="s">
        <v>27</v>
      </c>
      <c r="B62">
        <v>12682.47</v>
      </c>
      <c r="C62">
        <v>15872.25</v>
      </c>
      <c r="D62">
        <v>17675.169999999998</v>
      </c>
      <c r="E62">
        <v>18852.650000000001</v>
      </c>
      <c r="F62">
        <v>21836.54</v>
      </c>
      <c r="G62">
        <v>22846.91</v>
      </c>
      <c r="H62">
        <v>21552.98</v>
      </c>
      <c r="I62">
        <v>22665.16</v>
      </c>
      <c r="J62">
        <v>24065.439999999999</v>
      </c>
      <c r="K62">
        <v>23211.38</v>
      </c>
    </row>
    <row r="63" spans="1:11" x14ac:dyDescent="0.45">
      <c r="A63" s="6" t="s">
        <v>28</v>
      </c>
      <c r="B63">
        <v>2038.61</v>
      </c>
      <c r="C63">
        <v>2175.4499999999998</v>
      </c>
      <c r="D63">
        <v>2801.38</v>
      </c>
      <c r="E63">
        <v>2465.16</v>
      </c>
      <c r="F63">
        <v>1411.15</v>
      </c>
      <c r="G63">
        <v>1220.3399999999999</v>
      </c>
      <c r="H63">
        <v>1566.83</v>
      </c>
      <c r="I63">
        <v>1286.8</v>
      </c>
      <c r="J63">
        <v>4973.16</v>
      </c>
      <c r="K63">
        <v>5353.88</v>
      </c>
    </row>
    <row r="64" spans="1:11" x14ac:dyDescent="0.45">
      <c r="A64" s="6" t="s">
        <v>29</v>
      </c>
      <c r="B64">
        <v>2716.3</v>
      </c>
      <c r="C64">
        <v>1829.88</v>
      </c>
      <c r="D64">
        <v>1191.8800000000001</v>
      </c>
      <c r="E64">
        <v>7142.87</v>
      </c>
      <c r="F64">
        <v>7902.53</v>
      </c>
      <c r="G64">
        <v>10143.11</v>
      </c>
      <c r="H64">
        <v>9612.4500000000007</v>
      </c>
      <c r="I64">
        <v>12848.59</v>
      </c>
      <c r="J64">
        <v>14824.34</v>
      </c>
      <c r="K64">
        <v>15025.77</v>
      </c>
    </row>
    <row r="65" spans="1:11" x14ac:dyDescent="0.45">
      <c r="A65" s="6" t="s">
        <v>73</v>
      </c>
      <c r="B65">
        <v>31285.81</v>
      </c>
      <c r="C65">
        <v>35549.919999999998</v>
      </c>
      <c r="D65">
        <v>39427.019999999997</v>
      </c>
      <c r="E65">
        <v>35836.71</v>
      </c>
      <c r="F65">
        <v>33439.31</v>
      </c>
      <c r="G65">
        <v>33983.96</v>
      </c>
      <c r="H65">
        <v>34889.96</v>
      </c>
      <c r="I65">
        <v>32975.360000000001</v>
      </c>
      <c r="J65">
        <v>36848.959999999999</v>
      </c>
      <c r="K65">
        <v>41716.79</v>
      </c>
    </row>
    <row r="66" spans="1:11" s="1" customFormat="1" x14ac:dyDescent="0.45">
      <c r="A66" s="1" t="s">
        <v>26</v>
      </c>
      <c r="B66">
        <v>48723.19</v>
      </c>
      <c r="C66">
        <v>55427.5</v>
      </c>
      <c r="D66">
        <v>61095.45</v>
      </c>
      <c r="E66">
        <v>64297.39</v>
      </c>
      <c r="F66">
        <v>64589.53</v>
      </c>
      <c r="G66">
        <v>68194.320000000007</v>
      </c>
      <c r="H66">
        <v>67622.22</v>
      </c>
      <c r="I66">
        <v>69775.91</v>
      </c>
      <c r="J66">
        <v>80711.899999999994</v>
      </c>
      <c r="K66">
        <v>85307.82</v>
      </c>
    </row>
    <row r="67" spans="1:11" s="6" customFormat="1" x14ac:dyDescent="0.45">
      <c r="A67" s="6" t="s">
        <v>78</v>
      </c>
      <c r="B67">
        <v>5106.13</v>
      </c>
      <c r="C67">
        <v>6775.66</v>
      </c>
      <c r="D67">
        <v>7202.61</v>
      </c>
      <c r="E67">
        <v>7815.28</v>
      </c>
      <c r="F67">
        <v>8884.2000000000007</v>
      </c>
      <c r="G67">
        <v>9421.24</v>
      </c>
      <c r="H67">
        <v>9061.4</v>
      </c>
      <c r="I67">
        <v>10484.59</v>
      </c>
      <c r="J67">
        <v>11438.51</v>
      </c>
      <c r="K67">
        <v>11249.37</v>
      </c>
    </row>
    <row r="68" spans="1:11" x14ac:dyDescent="0.45">
      <c r="A68" s="6" t="s">
        <v>45</v>
      </c>
      <c r="B68">
        <v>5667.99</v>
      </c>
      <c r="C68">
        <v>6422.54</v>
      </c>
      <c r="D68">
        <v>6832.81</v>
      </c>
      <c r="E68">
        <v>6880.69</v>
      </c>
      <c r="F68">
        <v>7885.98</v>
      </c>
      <c r="G68">
        <v>7874.99</v>
      </c>
      <c r="H68">
        <v>8997.02</v>
      </c>
      <c r="I68">
        <v>8925.1299999999992</v>
      </c>
      <c r="J68">
        <v>10513.05</v>
      </c>
      <c r="K68">
        <v>9868.2900000000009</v>
      </c>
    </row>
    <row r="69" spans="1:11" x14ac:dyDescent="0.45">
      <c r="A69" s="4" t="s">
        <v>87</v>
      </c>
      <c r="B69">
        <v>10998.04</v>
      </c>
      <c r="C69">
        <v>13181.65</v>
      </c>
      <c r="D69">
        <v>15140.84</v>
      </c>
      <c r="E69">
        <v>9929.3799999999992</v>
      </c>
      <c r="F69">
        <v>7275.6</v>
      </c>
      <c r="G69">
        <v>6487.55</v>
      </c>
      <c r="H69">
        <v>6445.51</v>
      </c>
      <c r="I69">
        <v>5033.3500000000004</v>
      </c>
      <c r="J69">
        <v>5770.29</v>
      </c>
      <c r="K69">
        <v>10520.68</v>
      </c>
    </row>
    <row r="70" spans="1:11" x14ac:dyDescent="0.45">
      <c r="A70" s="4" t="s">
        <v>74</v>
      </c>
      <c r="B70">
        <v>2071163910</v>
      </c>
      <c r="C70">
        <v>2406605118</v>
      </c>
      <c r="D70">
        <v>2399260815</v>
      </c>
      <c r="E70">
        <v>2399260815</v>
      </c>
      <c r="F70">
        <v>2399334970</v>
      </c>
      <c r="G70">
        <v>2399334970</v>
      </c>
      <c r="H70">
        <v>2399334970</v>
      </c>
      <c r="I70">
        <v>2399334970</v>
      </c>
      <c r="J70">
        <v>2399334970</v>
      </c>
      <c r="K70">
        <v>2399334970</v>
      </c>
    </row>
    <row r="71" spans="1:11" x14ac:dyDescent="0.45">
      <c r="A71" s="4" t="s">
        <v>75</v>
      </c>
    </row>
    <row r="72" spans="1:11" x14ac:dyDescent="0.4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45">
      <c r="A74" s="6"/>
    </row>
    <row r="75" spans="1:11" x14ac:dyDescent="0.45">
      <c r="A75" s="6"/>
    </row>
    <row r="76" spans="1:11" x14ac:dyDescent="0.45">
      <c r="A76" s="6"/>
    </row>
    <row r="77" spans="1:11" x14ac:dyDescent="0.45">
      <c r="A77" s="6"/>
    </row>
    <row r="78" spans="1:11" x14ac:dyDescent="0.45">
      <c r="A78" s="6"/>
    </row>
    <row r="79" spans="1:11" x14ac:dyDescent="0.45">
      <c r="A79" s="6"/>
    </row>
    <row r="80" spans="1:11" x14ac:dyDescent="0.45">
      <c r="A80" s="1" t="s">
        <v>41</v>
      </c>
    </row>
    <row r="81" spans="1:11" s="18" customFormat="1" x14ac:dyDescent="0.4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45">
      <c r="A82" s="6" t="s">
        <v>32</v>
      </c>
      <c r="B82">
        <v>5615.74</v>
      </c>
      <c r="C82">
        <v>6685.86</v>
      </c>
      <c r="D82">
        <v>7082.21</v>
      </c>
      <c r="E82">
        <v>3907.15</v>
      </c>
      <c r="F82">
        <v>2196.4499999999998</v>
      </c>
      <c r="G82">
        <v>6554.77</v>
      </c>
      <c r="H82">
        <v>6170.37</v>
      </c>
      <c r="I82">
        <v>8984.5400000000009</v>
      </c>
      <c r="J82">
        <v>4959.33</v>
      </c>
      <c r="K82">
        <v>12134.98</v>
      </c>
    </row>
    <row r="83" spans="1:11" s="6" customFormat="1" x14ac:dyDescent="0.45">
      <c r="A83" s="6" t="s">
        <v>33</v>
      </c>
      <c r="B83">
        <v>-1502.35</v>
      </c>
      <c r="C83">
        <v>-3949.13</v>
      </c>
      <c r="D83">
        <v>-4186.1499999999996</v>
      </c>
      <c r="E83">
        <v>-3103.8</v>
      </c>
      <c r="F83">
        <v>-310.08</v>
      </c>
      <c r="G83">
        <v>-2225.3200000000002</v>
      </c>
      <c r="H83">
        <v>406.53</v>
      </c>
      <c r="I83">
        <v>-5555.86</v>
      </c>
      <c r="J83">
        <v>-7219.92</v>
      </c>
      <c r="K83">
        <v>-762.9</v>
      </c>
    </row>
    <row r="84" spans="1:11" s="6" customFormat="1" x14ac:dyDescent="0.45">
      <c r="A84" s="6" t="s">
        <v>34</v>
      </c>
      <c r="B84">
        <v>-1186.53</v>
      </c>
      <c r="C84">
        <v>-1888.53</v>
      </c>
      <c r="D84">
        <v>-2285.39</v>
      </c>
      <c r="E84">
        <v>-1539.26</v>
      </c>
      <c r="F84">
        <v>-2730.52</v>
      </c>
      <c r="G84">
        <v>-5715.14</v>
      </c>
      <c r="H84">
        <v>-5980.48</v>
      </c>
      <c r="I84">
        <v>-5193.46</v>
      </c>
      <c r="J84">
        <v>2376.0700000000002</v>
      </c>
      <c r="K84">
        <v>-6710.16</v>
      </c>
    </row>
    <row r="85" spans="1:11" s="1" customFormat="1" x14ac:dyDescent="0.45">
      <c r="A85" s="6" t="s">
        <v>35</v>
      </c>
      <c r="B85">
        <v>2926.86</v>
      </c>
      <c r="C85">
        <v>848.2</v>
      </c>
      <c r="D85">
        <v>610.66999999999996</v>
      </c>
      <c r="E85">
        <v>-735.91</v>
      </c>
      <c r="F85">
        <v>-844.15</v>
      </c>
      <c r="G85">
        <v>-1385.69</v>
      </c>
      <c r="H85">
        <v>596.41999999999996</v>
      </c>
      <c r="I85">
        <v>-1764.78</v>
      </c>
      <c r="J85">
        <v>115.48</v>
      </c>
      <c r="K85">
        <v>4661.92</v>
      </c>
    </row>
    <row r="86" spans="1:11" x14ac:dyDescent="0.45">
      <c r="A86" s="6"/>
    </row>
    <row r="87" spans="1:11" x14ac:dyDescent="0.45">
      <c r="A87" s="6"/>
    </row>
    <row r="88" spans="1:11" x14ac:dyDescent="0.45">
      <c r="A88" s="6"/>
    </row>
    <row r="89" spans="1:11" x14ac:dyDescent="0.45">
      <c r="A89" s="6"/>
    </row>
    <row r="90" spans="1:11" s="1" customFormat="1" x14ac:dyDescent="0.45">
      <c r="A90" s="1" t="s">
        <v>77</v>
      </c>
      <c r="B90">
        <v>1023.9</v>
      </c>
      <c r="C90">
        <v>820</v>
      </c>
      <c r="D90">
        <v>688.15</v>
      </c>
      <c r="E90">
        <v>495.1</v>
      </c>
      <c r="F90">
        <v>478.85</v>
      </c>
      <c r="G90">
        <v>352.3</v>
      </c>
      <c r="H90">
        <v>597.79999999999995</v>
      </c>
      <c r="I90">
        <v>914.75</v>
      </c>
      <c r="J90">
        <v>983.1</v>
      </c>
      <c r="K90">
        <v>1620.55</v>
      </c>
    </row>
    <row r="92" spans="1:11" s="1" customFormat="1" x14ac:dyDescent="0.45">
      <c r="A92" s="1" t="s">
        <v>76</v>
      </c>
    </row>
    <row r="93" spans="1:11" x14ac:dyDescent="0.45">
      <c r="A93" s="4" t="s">
        <v>89</v>
      </c>
      <c r="B93" s="24">
        <v>207.12</v>
      </c>
      <c r="C93" s="24">
        <v>240.67</v>
      </c>
      <c r="D93" s="24">
        <v>239.93</v>
      </c>
      <c r="E93" s="24">
        <v>239.93</v>
      </c>
      <c r="F93" s="24">
        <v>239.93</v>
      </c>
      <c r="G93" s="24">
        <v>239.93</v>
      </c>
      <c r="H93" s="24">
        <v>239.93</v>
      </c>
      <c r="I93" s="24">
        <v>239.93</v>
      </c>
      <c r="J93" s="24">
        <v>239.93</v>
      </c>
      <c r="K93" s="24">
        <v>239.93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4520-8EAE-4B37-BCEE-D2DE229BDFD9}">
  <sheetPr>
    <pageSetUpPr fitToPage="1"/>
  </sheetPr>
  <dimension ref="B5:R76"/>
  <sheetViews>
    <sheetView showGridLines="0" topLeftCell="B1" zoomScale="65" zoomScaleNormal="65" workbookViewId="0">
      <pane ySplit="6" topLeftCell="A8" activePane="bottomLeft" state="frozen"/>
      <selection pane="bottomLeft" activeCell="M15" sqref="M15"/>
    </sheetView>
  </sheetViews>
  <sheetFormatPr defaultRowHeight="14.25" x14ac:dyDescent="0.45"/>
  <cols>
    <col min="1" max="1" width="2.1328125" customWidth="1"/>
    <col min="2" max="2" width="28.3984375" customWidth="1"/>
    <col min="3" max="12" width="13.3984375" customWidth="1"/>
  </cols>
  <sheetData>
    <row r="5" spans="2:12" x14ac:dyDescent="0.45">
      <c r="B5" s="61" t="s">
        <v>93</v>
      </c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2:12" x14ac:dyDescent="0.45">
      <c r="B6" s="25" t="s">
        <v>94</v>
      </c>
      <c r="C6" s="26">
        <v>42094</v>
      </c>
      <c r="D6" s="26">
        <v>42460</v>
      </c>
      <c r="E6" s="26">
        <v>42825</v>
      </c>
      <c r="F6" s="26">
        <v>43190</v>
      </c>
      <c r="G6" s="26">
        <v>43555</v>
      </c>
      <c r="H6" s="26">
        <v>43921</v>
      </c>
      <c r="I6" s="26">
        <v>44286</v>
      </c>
      <c r="J6" s="26">
        <v>44651</v>
      </c>
      <c r="K6" s="26">
        <v>45016</v>
      </c>
      <c r="L6" s="26">
        <v>45382</v>
      </c>
    </row>
    <row r="8" spans="2:12" x14ac:dyDescent="0.45">
      <c r="B8" s="62" t="s">
        <v>95</v>
      </c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2:12" x14ac:dyDescent="0.45">
      <c r="B9" t="s">
        <v>6</v>
      </c>
      <c r="C9" s="27">
        <f>IFERROR('Data Sheet'!B17,0)</f>
        <v>27392.01</v>
      </c>
      <c r="D9" s="27">
        <f>IFERROR('Data Sheet'!C17,0)</f>
        <v>28487.03</v>
      </c>
      <c r="E9" s="27">
        <f>IFERROR('Data Sheet'!D17,0)</f>
        <v>31578.44</v>
      </c>
      <c r="F9" s="27">
        <f>IFERROR('Data Sheet'!E17,0)</f>
        <v>26489.46</v>
      </c>
      <c r="G9" s="27">
        <f>IFERROR('Data Sheet'!F17,0)</f>
        <v>29065.91</v>
      </c>
      <c r="H9" s="27">
        <f>IFERROR('Data Sheet'!G17,0)</f>
        <v>32837.5</v>
      </c>
      <c r="I9" s="27">
        <f>IFERROR('Data Sheet'!H17,0)</f>
        <v>33498.14</v>
      </c>
      <c r="J9" s="27">
        <f>IFERROR('Data Sheet'!I17,0)</f>
        <v>38654.49</v>
      </c>
      <c r="K9" s="27">
        <f>IFERROR('Data Sheet'!J17,0)</f>
        <v>43885.68</v>
      </c>
      <c r="L9" s="27">
        <f>IFERROR('Data Sheet'!K17,0)</f>
        <v>48496.85</v>
      </c>
    </row>
    <row r="10" spans="2:12" x14ac:dyDescent="0.45">
      <c r="B10" s="29" t="s">
        <v>22</v>
      </c>
      <c r="C10" s="29"/>
      <c r="D10" s="30">
        <f>IFERROR(D9/C9-1,0)</f>
        <v>3.9975890779829548E-2</v>
      </c>
      <c r="E10" s="30">
        <f t="shared" ref="E10:L10" si="0">IFERROR(E9/D9-1,0)</f>
        <v>0.10851991239521985</v>
      </c>
      <c r="F10" s="30">
        <f t="shared" si="0"/>
        <v>-0.16115362253486876</v>
      </c>
      <c r="G10" s="30">
        <f t="shared" si="0"/>
        <v>9.7263213368637969E-2</v>
      </c>
      <c r="H10" s="30">
        <f t="shared" si="0"/>
        <v>0.12975991462163061</v>
      </c>
      <c r="I10" s="30">
        <f t="shared" si="0"/>
        <v>2.0118462124095959E-2</v>
      </c>
      <c r="J10" s="30">
        <f t="shared" si="0"/>
        <v>0.15392944205260339</v>
      </c>
      <c r="K10" s="30">
        <f t="shared" si="0"/>
        <v>0.1353320144697292</v>
      </c>
      <c r="L10" s="30">
        <f t="shared" si="0"/>
        <v>0.10507231516066295</v>
      </c>
    </row>
    <row r="11" spans="2:12" x14ac:dyDescent="0.45">
      <c r="B11" t="s">
        <v>96</v>
      </c>
      <c r="C11" t="s">
        <v>96</v>
      </c>
    </row>
    <row r="12" spans="2:12" x14ac:dyDescent="0.45">
      <c r="B12" t="s">
        <v>97</v>
      </c>
      <c r="C12" s="27">
        <f>IFERROR(SUM('Data Sheet'!B18,'Data Sheet'!B20:B22)-1*'Data Sheet'!B19,0)</f>
        <v>13230.140000000001</v>
      </c>
      <c r="D12" s="27">
        <f>IFERROR(SUM('Data Sheet'!C18,'Data Sheet'!C20:C22)-1*'Data Sheet'!C19,0)</f>
        <v>13456.68</v>
      </c>
      <c r="E12" s="27">
        <f>IFERROR(SUM('Data Sheet'!D18,'Data Sheet'!D20:D22)-1*'Data Sheet'!D19,0)</f>
        <v>15531.590000000002</v>
      </c>
      <c r="F12" s="27">
        <f>IFERROR(SUM('Data Sheet'!E18,'Data Sheet'!E20:E22)-1*'Data Sheet'!E19,0)</f>
        <v>15180.05</v>
      </c>
      <c r="G12" s="27">
        <f>IFERROR(SUM('Data Sheet'!F18,'Data Sheet'!F20:F22)-1*'Data Sheet'!F19,0)</f>
        <v>16334.369999999999</v>
      </c>
      <c r="H12" s="27">
        <f>IFERROR(SUM('Data Sheet'!G18,'Data Sheet'!G20:G22)-1*'Data Sheet'!G19,0)</f>
        <v>17904.689999999999</v>
      </c>
      <c r="I12" s="27">
        <f>IFERROR(SUM('Data Sheet'!H18,'Data Sheet'!H20:H22)-1*'Data Sheet'!H19,0)</f>
        <v>17903.18</v>
      </c>
      <c r="J12" s="27">
        <f>IFERROR(SUM('Data Sheet'!I18,'Data Sheet'!I20:I22)-1*'Data Sheet'!I19,0)</f>
        <v>20235.86</v>
      </c>
      <c r="K12" s="27">
        <f>IFERROR(SUM('Data Sheet'!J18,'Data Sheet'!J20:J22)-1*'Data Sheet'!J19,0)</f>
        <v>21725.01</v>
      </c>
      <c r="L12" s="27">
        <f>IFERROR(SUM('Data Sheet'!K18,'Data Sheet'!K20:K22)-1*'Data Sheet'!K19,0)</f>
        <v>23039.070000000003</v>
      </c>
    </row>
    <row r="13" spans="2:12" x14ac:dyDescent="0.45">
      <c r="B13" s="29" t="s">
        <v>108</v>
      </c>
      <c r="C13" s="30">
        <f>C12/C9</f>
        <v>0.48299266829998977</v>
      </c>
      <c r="D13" s="30">
        <f t="shared" ref="D13:L13" si="1">D12/D9</f>
        <v>0.47237918449203026</v>
      </c>
      <c r="E13" s="30">
        <f t="shared" si="1"/>
        <v>0.49184158558814184</v>
      </c>
      <c r="F13" s="30">
        <f t="shared" si="1"/>
        <v>0.57306000197814522</v>
      </c>
      <c r="G13" s="30">
        <f t="shared" si="1"/>
        <v>0.56197690008673384</v>
      </c>
      <c r="H13" s="30">
        <f t="shared" si="1"/>
        <v>0.54525131328511611</v>
      </c>
      <c r="I13" s="30">
        <f t="shared" si="1"/>
        <v>0.53445295768660595</v>
      </c>
      <c r="J13" s="30">
        <f t="shared" si="1"/>
        <v>0.52350606617756446</v>
      </c>
      <c r="K13" s="30">
        <f t="shared" si="1"/>
        <v>0.49503642190345459</v>
      </c>
      <c r="L13" s="30">
        <f t="shared" si="1"/>
        <v>0.47506322575589971</v>
      </c>
    </row>
    <row r="15" spans="2:12" x14ac:dyDescent="0.45">
      <c r="B15" s="37" t="s">
        <v>98</v>
      </c>
      <c r="C15" s="35">
        <f>C9-C12</f>
        <v>14161.869999999997</v>
      </c>
      <c r="D15" s="35">
        <f t="shared" ref="D15:L15" si="2">D9-D12</f>
        <v>15030.349999999999</v>
      </c>
      <c r="E15" s="35">
        <f t="shared" si="2"/>
        <v>16046.849999999997</v>
      </c>
      <c r="F15" s="35">
        <f t="shared" si="2"/>
        <v>11309.41</v>
      </c>
      <c r="G15" s="35">
        <f t="shared" si="2"/>
        <v>12731.54</v>
      </c>
      <c r="H15" s="35">
        <f t="shared" si="2"/>
        <v>14932.810000000001</v>
      </c>
      <c r="I15" s="35">
        <f t="shared" si="2"/>
        <v>15594.96</v>
      </c>
      <c r="J15" s="35">
        <f t="shared" si="2"/>
        <v>18418.629999999997</v>
      </c>
      <c r="K15" s="35">
        <f t="shared" si="2"/>
        <v>22160.670000000002</v>
      </c>
      <c r="L15" s="35">
        <f t="shared" si="2"/>
        <v>25457.779999999995</v>
      </c>
    </row>
    <row r="16" spans="2:12" x14ac:dyDescent="0.45">
      <c r="B16" s="29" t="s">
        <v>109</v>
      </c>
      <c r="C16" s="30">
        <f>C15/C9</f>
        <v>0.51700733170001023</v>
      </c>
      <c r="D16" s="30">
        <f t="shared" ref="D16:L16" si="3">D15/D9</f>
        <v>0.52762081550796969</v>
      </c>
      <c r="E16" s="30">
        <f t="shared" si="3"/>
        <v>0.50815841441185816</v>
      </c>
      <c r="F16" s="30">
        <f t="shared" si="3"/>
        <v>0.42693999802185473</v>
      </c>
      <c r="G16" s="30">
        <f t="shared" si="3"/>
        <v>0.4380230999132661</v>
      </c>
      <c r="H16" s="30">
        <f t="shared" si="3"/>
        <v>0.45474868671488394</v>
      </c>
      <c r="I16" s="30">
        <f t="shared" si="3"/>
        <v>0.46554704231339411</v>
      </c>
      <c r="J16" s="30">
        <f t="shared" si="3"/>
        <v>0.4764939338224356</v>
      </c>
      <c r="K16" s="30">
        <f t="shared" si="3"/>
        <v>0.50496357809654546</v>
      </c>
      <c r="L16" s="30">
        <f t="shared" si="3"/>
        <v>0.52493677424410035</v>
      </c>
    </row>
    <row r="18" spans="2:18" x14ac:dyDescent="0.45">
      <c r="B18" t="s">
        <v>99</v>
      </c>
      <c r="C18" s="27">
        <f>IFERROR(SUM('Data Sheet'!B23:B24),0)</f>
        <v>6268.05</v>
      </c>
      <c r="D18" s="27">
        <f>IFERROR(SUM('Data Sheet'!C23:C24),0)</f>
        <v>6856.45</v>
      </c>
      <c r="E18" s="27">
        <f>IFERROR(SUM('Data Sheet'!D23:D24),0)</f>
        <v>5944.83</v>
      </c>
      <c r="F18" s="27">
        <f>IFERROR(SUM('Data Sheet'!E23:E24),0)</f>
        <v>5677.99</v>
      </c>
      <c r="G18" s="27">
        <f>IFERROR(SUM('Data Sheet'!F23:F24),0)</f>
        <v>6354.5599999999995</v>
      </c>
      <c r="H18" s="27">
        <f>IFERROR(SUM('Data Sheet'!G23:G24),0)</f>
        <v>7949.97</v>
      </c>
      <c r="I18" s="27">
        <f>IFERROR(SUM('Data Sheet'!H23:H24),0)</f>
        <v>7125</v>
      </c>
      <c r="J18" s="27">
        <f>IFERROR(SUM('Data Sheet'!I23:I24),0)</f>
        <v>8161.06</v>
      </c>
      <c r="K18" s="27">
        <f>IFERROR(SUM('Data Sheet'!J23:J24),0)</f>
        <v>10510.23</v>
      </c>
      <c r="L18" s="27">
        <f>IFERROR(SUM('Data Sheet'!K23:K24),0)</f>
        <v>12440.01</v>
      </c>
    </row>
    <row r="19" spans="2:18" x14ac:dyDescent="0.45">
      <c r="B19" s="29" t="s">
        <v>110</v>
      </c>
      <c r="C19" s="30">
        <f>C18/C9</f>
        <v>0.22882767639176535</v>
      </c>
      <c r="D19" s="30">
        <f t="shared" ref="D19:L19" si="4">D18/D9</f>
        <v>0.24068672655590984</v>
      </c>
      <c r="E19" s="30">
        <f t="shared" si="4"/>
        <v>0.18825597464599264</v>
      </c>
      <c r="F19" s="30">
        <f t="shared" si="4"/>
        <v>0.21434902787750298</v>
      </c>
      <c r="G19" s="30">
        <f t="shared" si="4"/>
        <v>0.21862587477907966</v>
      </c>
      <c r="H19" s="30">
        <f t="shared" si="4"/>
        <v>0.24210034259611726</v>
      </c>
      <c r="I19" s="30">
        <f t="shared" si="4"/>
        <v>0.21269837668598915</v>
      </c>
      <c r="J19" s="30">
        <f t="shared" si="4"/>
        <v>0.21112838379189586</v>
      </c>
      <c r="K19" s="30">
        <f t="shared" si="4"/>
        <v>0.23949110507117582</v>
      </c>
      <c r="L19" s="30">
        <f t="shared" si="4"/>
        <v>0.25651171158539166</v>
      </c>
    </row>
    <row r="21" spans="2:18" x14ac:dyDescent="0.45">
      <c r="B21" s="37" t="s">
        <v>100</v>
      </c>
      <c r="C21" s="35">
        <f>C15-C18</f>
        <v>7893.819999999997</v>
      </c>
      <c r="D21" s="35">
        <f t="shared" ref="D21:L21" si="5">D15-D18</f>
        <v>8173.8999999999987</v>
      </c>
      <c r="E21" s="35">
        <f t="shared" si="5"/>
        <v>10102.019999999997</v>
      </c>
      <c r="F21" s="35">
        <f t="shared" si="5"/>
        <v>5631.42</v>
      </c>
      <c r="G21" s="35">
        <f t="shared" si="5"/>
        <v>6376.9800000000014</v>
      </c>
      <c r="H21" s="35">
        <f t="shared" si="5"/>
        <v>6982.8400000000011</v>
      </c>
      <c r="I21" s="35">
        <f t="shared" si="5"/>
        <v>8469.9599999999991</v>
      </c>
      <c r="J21" s="35">
        <f t="shared" si="5"/>
        <v>10257.569999999996</v>
      </c>
      <c r="K21" s="35">
        <f t="shared" si="5"/>
        <v>11650.440000000002</v>
      </c>
      <c r="L21" s="35">
        <f t="shared" si="5"/>
        <v>13017.769999999995</v>
      </c>
    </row>
    <row r="22" spans="2:18" x14ac:dyDescent="0.45">
      <c r="B22" s="29" t="s">
        <v>111</v>
      </c>
      <c r="C22" s="30">
        <f>C21/C9</f>
        <v>0.28817965530824491</v>
      </c>
      <c r="D22" s="30">
        <f t="shared" ref="D22:L22" si="6">D21/D9</f>
        <v>0.28693408895205991</v>
      </c>
      <c r="E22" s="30">
        <f t="shared" si="6"/>
        <v>0.31990243976586547</v>
      </c>
      <c r="F22" s="30">
        <f t="shared" si="6"/>
        <v>0.21259097014435177</v>
      </c>
      <c r="G22" s="30">
        <f t="shared" si="6"/>
        <v>0.21939722513418644</v>
      </c>
      <c r="H22" s="30">
        <f t="shared" si="6"/>
        <v>0.21264834411876668</v>
      </c>
      <c r="I22" s="30">
        <f t="shared" si="6"/>
        <v>0.25284866562740499</v>
      </c>
      <c r="J22" s="30">
        <f t="shared" si="6"/>
        <v>0.26536555003053969</v>
      </c>
      <c r="K22" s="30">
        <f t="shared" si="6"/>
        <v>0.26547247302536958</v>
      </c>
      <c r="L22" s="30">
        <f t="shared" si="6"/>
        <v>0.26842506265870869</v>
      </c>
    </row>
    <row r="23" spans="2:18" x14ac:dyDescent="0.45">
      <c r="R23" t="s">
        <v>126</v>
      </c>
    </row>
    <row r="24" spans="2:18" x14ac:dyDescent="0.45">
      <c r="B24" t="s">
        <v>11</v>
      </c>
      <c r="C24" s="27">
        <f>IFERROR('Data Sheet'!B27,0)</f>
        <v>578.99</v>
      </c>
      <c r="D24" s="27">
        <f>IFERROR('Data Sheet'!C27,0)</f>
        <v>523.24</v>
      </c>
      <c r="E24" s="27">
        <f>IFERROR('Data Sheet'!D27,0)</f>
        <v>399.8</v>
      </c>
      <c r="F24" s="27">
        <f>IFERROR('Data Sheet'!E27,0)</f>
        <v>517.57000000000005</v>
      </c>
      <c r="G24" s="27">
        <f>IFERROR('Data Sheet'!F27,0)</f>
        <v>555.25</v>
      </c>
      <c r="H24" s="27">
        <f>IFERROR('Data Sheet'!G27,0)</f>
        <v>302.73</v>
      </c>
      <c r="I24" s="27">
        <f>IFERROR('Data Sheet'!H27,0)</f>
        <v>141.43</v>
      </c>
      <c r="J24" s="27">
        <f>IFERROR('Data Sheet'!I27,0)</f>
        <v>127.35</v>
      </c>
      <c r="K24" s="27">
        <f>IFERROR('Data Sheet'!J27,0)</f>
        <v>172</v>
      </c>
      <c r="L24" s="27">
        <f>IFERROR('Data Sheet'!K27,0)</f>
        <v>238.47</v>
      </c>
    </row>
    <row r="25" spans="2:18" x14ac:dyDescent="0.45">
      <c r="B25" s="29" t="s">
        <v>116</v>
      </c>
      <c r="C25" s="30">
        <f>C24/C9</f>
        <v>2.1137185624567165E-2</v>
      </c>
      <c r="D25" s="30">
        <f t="shared" ref="D25:L25" si="7">D24/D9</f>
        <v>1.8367657140811101E-2</v>
      </c>
      <c r="E25" s="30">
        <f t="shared" si="7"/>
        <v>1.2660536745957053E-2</v>
      </c>
      <c r="F25" s="30">
        <f t="shared" si="7"/>
        <v>1.9538714643484618E-2</v>
      </c>
      <c r="G25" s="30">
        <f t="shared" si="7"/>
        <v>1.9103134909589963E-2</v>
      </c>
      <c r="H25" s="30">
        <f t="shared" si="7"/>
        <v>9.2190331176246667E-3</v>
      </c>
      <c r="I25" s="30">
        <f t="shared" si="7"/>
        <v>4.2220254617122031E-3</v>
      </c>
      <c r="J25" s="30">
        <f t="shared" si="7"/>
        <v>3.2945719889203042E-3</v>
      </c>
      <c r="K25" s="30">
        <f t="shared" si="7"/>
        <v>3.9192738952660636E-3</v>
      </c>
      <c r="L25" s="30">
        <f t="shared" si="7"/>
        <v>4.9172265827574372E-3</v>
      </c>
    </row>
    <row r="27" spans="2:18" x14ac:dyDescent="0.45">
      <c r="B27" s="6" t="s">
        <v>10</v>
      </c>
      <c r="C27" s="27">
        <f>IFERROR('Data Sheet'!B26,0)</f>
        <v>1194.72</v>
      </c>
      <c r="D27" s="27">
        <f>IFERROR('Data Sheet'!C26,0)</f>
        <v>1037.53</v>
      </c>
      <c r="E27" s="27">
        <f>IFERROR('Data Sheet'!D26,0)</f>
        <v>1264.75</v>
      </c>
      <c r="F27" s="27">
        <f>IFERROR('Data Sheet'!E26,0)</f>
        <v>1499.84</v>
      </c>
      <c r="G27" s="27">
        <f>IFERROR('Data Sheet'!F26,0)</f>
        <v>1753.25</v>
      </c>
      <c r="H27" s="27">
        <f>IFERROR('Data Sheet'!G26,0)</f>
        <v>2052.7800000000002</v>
      </c>
      <c r="I27" s="27">
        <f>IFERROR('Data Sheet'!H26,0)</f>
        <v>2079.9499999999998</v>
      </c>
      <c r="J27" s="27">
        <f>IFERROR('Data Sheet'!I26,0)</f>
        <v>2143.7399999999998</v>
      </c>
      <c r="K27" s="27">
        <f>IFERROR('Data Sheet'!J26,0)</f>
        <v>2529.4299999999998</v>
      </c>
      <c r="L27" s="27">
        <f>IFERROR('Data Sheet'!K26,0)</f>
        <v>2556.64</v>
      </c>
    </row>
    <row r="28" spans="2:18" x14ac:dyDescent="0.45">
      <c r="B28" s="29" t="s">
        <v>115</v>
      </c>
      <c r="C28" s="30">
        <f>C27/C9</f>
        <v>4.3615638282842338E-2</v>
      </c>
      <c r="D28" s="30">
        <f t="shared" ref="D28:L28" si="8">D27/D9</f>
        <v>3.6421136215323252E-2</v>
      </c>
      <c r="E28" s="30">
        <f t="shared" si="8"/>
        <v>4.0051060153699802E-2</v>
      </c>
      <c r="F28" s="30">
        <f t="shared" si="8"/>
        <v>5.6620255754552942E-2</v>
      </c>
      <c r="G28" s="30">
        <f t="shared" si="8"/>
        <v>6.0319804196737693E-2</v>
      </c>
      <c r="H28" s="30">
        <f t="shared" si="8"/>
        <v>6.2513285116102019E-2</v>
      </c>
      <c r="I28" s="30">
        <f t="shared" si="8"/>
        <v>6.2091507170248854E-2</v>
      </c>
      <c r="J28" s="30">
        <f t="shared" si="8"/>
        <v>5.5459016533396244E-2</v>
      </c>
      <c r="K28" s="30">
        <f t="shared" si="8"/>
        <v>5.7636796330830464E-2</v>
      </c>
      <c r="L28" s="30">
        <f t="shared" si="8"/>
        <v>5.2717650734016741E-2</v>
      </c>
    </row>
    <row r="29" spans="2:18" x14ac:dyDescent="0.45">
      <c r="B29" t="s">
        <v>127</v>
      </c>
      <c r="C29" s="27">
        <f>C21-C27</f>
        <v>6699.0999999999967</v>
      </c>
      <c r="D29" s="27">
        <f t="shared" ref="D29:L29" si="9">D21-D27</f>
        <v>7136.369999999999</v>
      </c>
      <c r="E29" s="27">
        <f t="shared" si="9"/>
        <v>8837.2699999999968</v>
      </c>
      <c r="F29" s="27">
        <f t="shared" si="9"/>
        <v>4131.58</v>
      </c>
      <c r="G29" s="27">
        <f t="shared" si="9"/>
        <v>4623.7300000000014</v>
      </c>
      <c r="H29" s="27">
        <f t="shared" si="9"/>
        <v>4930.0600000000013</v>
      </c>
      <c r="I29" s="27">
        <f t="shared" si="9"/>
        <v>6390.0099999999993</v>
      </c>
      <c r="J29" s="27">
        <f t="shared" si="9"/>
        <v>8113.8299999999963</v>
      </c>
      <c r="K29" s="27">
        <f t="shared" si="9"/>
        <v>9121.010000000002</v>
      </c>
      <c r="L29" s="27">
        <f t="shared" si="9"/>
        <v>10461.129999999996</v>
      </c>
    </row>
    <row r="30" spans="2:18" x14ac:dyDescent="0.45">
      <c r="B30" s="37" t="s">
        <v>101</v>
      </c>
      <c r="C30" s="35">
        <f>IFERROR(C21-SUM(C24,C27),0)</f>
        <v>6120.1099999999969</v>
      </c>
      <c r="D30" s="35">
        <f t="shared" ref="D30:L30" si="10">IFERROR(D21-SUM(D24,D27),0)</f>
        <v>6613.1299999999992</v>
      </c>
      <c r="E30" s="35">
        <f t="shared" si="10"/>
        <v>8437.4699999999975</v>
      </c>
      <c r="F30" s="35">
        <f t="shared" si="10"/>
        <v>3614.01</v>
      </c>
      <c r="G30" s="35">
        <f t="shared" si="10"/>
        <v>4068.4800000000014</v>
      </c>
      <c r="H30" s="35">
        <f t="shared" si="10"/>
        <v>4627.3300000000008</v>
      </c>
      <c r="I30" s="35">
        <f t="shared" si="10"/>
        <v>6248.58</v>
      </c>
      <c r="J30" s="35">
        <f t="shared" si="10"/>
        <v>7986.4799999999959</v>
      </c>
      <c r="K30" s="35">
        <f t="shared" si="10"/>
        <v>8949.010000000002</v>
      </c>
      <c r="L30" s="35">
        <f t="shared" si="10"/>
        <v>10222.659999999996</v>
      </c>
    </row>
    <row r="31" spans="2:18" x14ac:dyDescent="0.45">
      <c r="B31" s="29" t="s">
        <v>114</v>
      </c>
      <c r="C31" s="30">
        <f>C30/C9</f>
        <v>0.22342683140083541</v>
      </c>
      <c r="D31" s="30">
        <f t="shared" ref="D31:L31" si="11">D30/D9</f>
        <v>0.23214529559592556</v>
      </c>
      <c r="E31" s="30">
        <f t="shared" si="11"/>
        <v>0.26719084286620864</v>
      </c>
      <c r="F31" s="30">
        <f t="shared" si="11"/>
        <v>0.1364319997463142</v>
      </c>
      <c r="G31" s="30">
        <f t="shared" si="11"/>
        <v>0.1399742860278588</v>
      </c>
      <c r="H31" s="30">
        <f t="shared" si="11"/>
        <v>0.14091602588503999</v>
      </c>
      <c r="I31" s="30">
        <f t="shared" si="11"/>
        <v>0.18653513299544391</v>
      </c>
      <c r="J31" s="30">
        <f t="shared" si="11"/>
        <v>0.20661196150822314</v>
      </c>
      <c r="K31" s="30">
        <f t="shared" si="11"/>
        <v>0.20391640279927306</v>
      </c>
      <c r="L31" s="30">
        <f t="shared" si="11"/>
        <v>0.2107901853419345</v>
      </c>
    </row>
    <row r="33" spans="2:12" x14ac:dyDescent="0.45">
      <c r="B33" t="s">
        <v>13</v>
      </c>
      <c r="C33" s="27">
        <f>IFERROR('Data Sheet'!B29,0)</f>
        <v>914.69</v>
      </c>
      <c r="D33" s="27">
        <f>IFERROR('Data Sheet'!C29,0)</f>
        <v>913.77</v>
      </c>
      <c r="E33" s="27">
        <f>IFERROR('Data Sheet'!D29,0)</f>
        <v>1211.57</v>
      </c>
      <c r="F33" s="27">
        <f>IFERROR('Data Sheet'!E29,0)</f>
        <v>911.04</v>
      </c>
      <c r="G33" s="27">
        <f>IFERROR('Data Sheet'!F29,0)</f>
        <v>600.88</v>
      </c>
      <c r="H33" s="27">
        <f>IFERROR('Data Sheet'!G29,0)</f>
        <v>822.8</v>
      </c>
      <c r="I33" s="27">
        <f>IFERROR('Data Sheet'!H29,0)</f>
        <v>514.69000000000005</v>
      </c>
      <c r="J33" s="27">
        <f>IFERROR('Data Sheet'!I29,0)</f>
        <v>1075.5</v>
      </c>
      <c r="K33" s="27">
        <f>IFERROR('Data Sheet'!J29,0)</f>
        <v>847.59</v>
      </c>
      <c r="L33" s="27">
        <f>IFERROR('Data Sheet'!K29,0)</f>
        <v>1439.45</v>
      </c>
    </row>
    <row r="34" spans="2:12" x14ac:dyDescent="0.45">
      <c r="B34" s="29" t="s">
        <v>113</v>
      </c>
      <c r="C34" s="30">
        <f>C33/C30</f>
        <v>0.14945646401780369</v>
      </c>
      <c r="D34" s="30">
        <f t="shared" ref="D34:L34" si="12">D33/D30</f>
        <v>0.13817511526312051</v>
      </c>
      <c r="E34" s="30">
        <f t="shared" si="12"/>
        <v>0.14359399203789766</v>
      </c>
      <c r="F34" s="30">
        <f t="shared" si="12"/>
        <v>0.25208563340997947</v>
      </c>
      <c r="G34" s="30">
        <f t="shared" si="12"/>
        <v>0.14769152115777878</v>
      </c>
      <c r="H34" s="30">
        <f t="shared" si="12"/>
        <v>0.17781312333462274</v>
      </c>
      <c r="I34" s="30">
        <f t="shared" si="12"/>
        <v>8.2369114262760515E-2</v>
      </c>
      <c r="J34" s="30">
        <f t="shared" si="12"/>
        <v>0.13466508399194646</v>
      </c>
      <c r="K34" s="30">
        <f t="shared" si="12"/>
        <v>9.4713269959470353E-2</v>
      </c>
      <c r="L34" s="30">
        <f t="shared" si="12"/>
        <v>0.14080973053980086</v>
      </c>
    </row>
    <row r="36" spans="2:12" x14ac:dyDescent="0.45">
      <c r="B36" s="37" t="s">
        <v>102</v>
      </c>
      <c r="C36" s="35">
        <f>IFERROR(C30-C33,0)</f>
        <v>5205.4199999999964</v>
      </c>
      <c r="D36" s="35">
        <f t="shared" ref="D36:L36" si="13">IFERROR(D30-D33,0)</f>
        <v>5699.3599999999988</v>
      </c>
      <c r="E36" s="35">
        <f t="shared" si="13"/>
        <v>7225.8999999999978</v>
      </c>
      <c r="F36" s="35">
        <f t="shared" si="13"/>
        <v>2702.9700000000003</v>
      </c>
      <c r="G36" s="35">
        <f t="shared" si="13"/>
        <v>3467.6000000000013</v>
      </c>
      <c r="H36" s="35">
        <f t="shared" si="13"/>
        <v>3804.5300000000007</v>
      </c>
      <c r="I36" s="35">
        <f t="shared" si="13"/>
        <v>5733.8899999999994</v>
      </c>
      <c r="J36" s="35">
        <f t="shared" si="13"/>
        <v>6910.9799999999959</v>
      </c>
      <c r="K36" s="35">
        <f t="shared" si="13"/>
        <v>8101.4200000000019</v>
      </c>
      <c r="L36" s="35">
        <f t="shared" si="13"/>
        <v>8783.2099999999955</v>
      </c>
    </row>
    <row r="37" spans="2:12" x14ac:dyDescent="0.45">
      <c r="B37" s="29" t="s">
        <v>112</v>
      </c>
      <c r="C37" s="30">
        <f>C36/C9</f>
        <v>0.19003424721296452</v>
      </c>
      <c r="D37" s="30">
        <f t="shared" ref="D37:L37" si="14">D36/D9</f>
        <v>0.20006859261916735</v>
      </c>
      <c r="E37" s="30">
        <f t="shared" si="14"/>
        <v>0.22882384310307913</v>
      </c>
      <c r="F37" s="30">
        <f t="shared" si="14"/>
        <v>0.10203945267287443</v>
      </c>
      <c r="G37" s="30">
        <f t="shared" si="14"/>
        <v>0.11930127080143031</v>
      </c>
      <c r="H37" s="30">
        <f t="shared" si="14"/>
        <v>0.11585930719451848</v>
      </c>
      <c r="I37" s="30">
        <f t="shared" si="14"/>
        <v>0.17117039931172295</v>
      </c>
      <c r="J37" s="30">
        <f t="shared" si="14"/>
        <v>0.17878854435797747</v>
      </c>
      <c r="K37" s="30">
        <f t="shared" si="14"/>
        <v>0.18460281349178143</v>
      </c>
      <c r="L37" s="30">
        <f t="shared" si="14"/>
        <v>0.18110887614350202</v>
      </c>
    </row>
    <row r="38" spans="2:12" x14ac:dyDescent="0.45">
      <c r="C38" t="s">
        <v>96</v>
      </c>
    </row>
    <row r="39" spans="2:12" x14ac:dyDescent="0.45">
      <c r="B39" t="s">
        <v>103</v>
      </c>
      <c r="C39">
        <f>IFERROR('Data Sheet'!B93,0)</f>
        <v>207.12</v>
      </c>
      <c r="D39">
        <f>IFERROR('Data Sheet'!C93,0)</f>
        <v>240.67</v>
      </c>
      <c r="E39">
        <f>IFERROR('Data Sheet'!D93,0)</f>
        <v>239.93</v>
      </c>
      <c r="F39">
        <f>IFERROR('Data Sheet'!E93,0)</f>
        <v>239.93</v>
      </c>
      <c r="G39">
        <f>IFERROR('Data Sheet'!F93,0)</f>
        <v>239.93</v>
      </c>
      <c r="H39">
        <f>IFERROR('Data Sheet'!G93,0)</f>
        <v>239.93</v>
      </c>
      <c r="I39">
        <f>IFERROR('Data Sheet'!H93,0)</f>
        <v>239.93</v>
      </c>
      <c r="J39">
        <f>IFERROR('Data Sheet'!I93,0)</f>
        <v>239.93</v>
      </c>
      <c r="K39">
        <f>IFERROR('Data Sheet'!J93,0)</f>
        <v>239.93</v>
      </c>
      <c r="L39">
        <f>IFERROR('Data Sheet'!K93,0)</f>
        <v>239.93</v>
      </c>
    </row>
    <row r="41" spans="2:12" x14ac:dyDescent="0.45">
      <c r="B41" t="s">
        <v>104</v>
      </c>
      <c r="C41" s="27">
        <f>IFERROR(C36/C39,0)</f>
        <v>25.132387022016204</v>
      </c>
      <c r="D41" s="27">
        <f t="shared" ref="D41:L41" si="15">IFERROR(D36/D39,0)</f>
        <v>23.681223251755512</v>
      </c>
      <c r="E41" s="27">
        <f t="shared" si="15"/>
        <v>30.1167007043721</v>
      </c>
      <c r="F41" s="27">
        <f t="shared" si="15"/>
        <v>11.265660817738508</v>
      </c>
      <c r="G41" s="27">
        <f t="shared" si="15"/>
        <v>14.452548660025846</v>
      </c>
      <c r="H41" s="27">
        <f t="shared" si="15"/>
        <v>15.85683324302922</v>
      </c>
      <c r="I41" s="27">
        <f t="shared" si="15"/>
        <v>23.898178635435332</v>
      </c>
      <c r="J41" s="27">
        <f t="shared" si="15"/>
        <v>28.804151210769788</v>
      </c>
      <c r="K41" s="27">
        <f t="shared" si="15"/>
        <v>33.765765014795988</v>
      </c>
      <c r="L41" s="27">
        <f t="shared" si="15"/>
        <v>36.607385487433817</v>
      </c>
    </row>
    <row r="42" spans="2:12" x14ac:dyDescent="0.45">
      <c r="B42" s="29" t="s">
        <v>107</v>
      </c>
      <c r="C42" s="29"/>
      <c r="D42" s="30">
        <f>IFERROR(D41/C41-1,0)</f>
        <v>-5.7740785584332266E-2</v>
      </c>
      <c r="E42" s="30">
        <f t="shared" ref="E42:L42" si="16">IFERROR(E41/D41-1,0)</f>
        <v>0.2717544353262884</v>
      </c>
      <c r="F42" s="30">
        <f t="shared" si="16"/>
        <v>-0.62593310175895023</v>
      </c>
      <c r="G42" s="30">
        <f t="shared" si="16"/>
        <v>0.28288512266136911</v>
      </c>
      <c r="H42" s="30">
        <f t="shared" si="16"/>
        <v>9.7165186295997019E-2</v>
      </c>
      <c r="I42" s="30">
        <f t="shared" si="16"/>
        <v>0.50712177325451457</v>
      </c>
      <c r="J42" s="30">
        <f t="shared" si="16"/>
        <v>0.2052864634654652</v>
      </c>
      <c r="K42" s="30">
        <f t="shared" si="16"/>
        <v>0.17225342860202275</v>
      </c>
      <c r="L42" s="30">
        <f t="shared" si="16"/>
        <v>8.4156851514918918E-2</v>
      </c>
    </row>
    <row r="44" spans="2:12" x14ac:dyDescent="0.45">
      <c r="B44" t="s">
        <v>105</v>
      </c>
      <c r="C44" s="27">
        <f>IFERROR('Data Sheet'!B31/FS!C39,0)</f>
        <v>3</v>
      </c>
      <c r="D44" s="27">
        <f>IFERROR('Data Sheet'!C31/FS!D39,0)</f>
        <v>0.99995844932895672</v>
      </c>
      <c r="E44" s="27">
        <f>IFERROR('Data Sheet'!D31/FS!E39,0)</f>
        <v>3.5000208394114947</v>
      </c>
      <c r="F44" s="27">
        <f>IFERROR('Data Sheet'!E31/FS!F39,0)</f>
        <v>2</v>
      </c>
      <c r="G44" s="27">
        <f>IFERROR('Data Sheet'!F31/FS!G39,0)</f>
        <v>2.7500104197057471</v>
      </c>
      <c r="H44" s="27">
        <f>IFERROR('Data Sheet'!G31/FS!H39,0)</f>
        <v>4</v>
      </c>
      <c r="I44" s="27">
        <f>IFERROR('Data Sheet'!H31/FS!I39,0)</f>
        <v>7.5000208394114951</v>
      </c>
      <c r="J44" s="27">
        <f>IFERROR('Data Sheet'!I31/FS!J39,0)</f>
        <v>10</v>
      </c>
      <c r="K44" s="27">
        <f>IFERROR('Data Sheet'!J31/FS!K39,0)</f>
        <v>11.500020839411494</v>
      </c>
      <c r="L44" s="27">
        <f>IFERROR('Data Sheet'!K31/FS!L39,0)</f>
        <v>13.500020839411494</v>
      </c>
    </row>
    <row r="45" spans="2:12" x14ac:dyDescent="0.45">
      <c r="B45" s="29" t="s">
        <v>106</v>
      </c>
      <c r="C45" s="30">
        <f>IFERROR(C44/C41,0)</f>
        <v>0.11936788962273946</v>
      </c>
      <c r="D45" s="30">
        <f t="shared" ref="D45:L45" si="17">IFERROR(D44/D41,0)</f>
        <v>4.2225793773335962E-2</v>
      </c>
      <c r="E45" s="30">
        <f t="shared" si="17"/>
        <v>0.11621528114144952</v>
      </c>
      <c r="F45" s="30">
        <f t="shared" si="17"/>
        <v>0.17753064221948447</v>
      </c>
      <c r="G45" s="30">
        <f t="shared" si="17"/>
        <v>0.19027857884415725</v>
      </c>
      <c r="H45" s="30">
        <f t="shared" si="17"/>
        <v>0.25225717762772271</v>
      </c>
      <c r="I45" s="30">
        <f t="shared" si="17"/>
        <v>0.31383231976895271</v>
      </c>
      <c r="J45" s="30">
        <f t="shared" si="17"/>
        <v>0.34717218107996284</v>
      </c>
      <c r="K45" s="30">
        <f t="shared" si="17"/>
        <v>0.34058226829370647</v>
      </c>
      <c r="L45" s="30">
        <f t="shared" si="17"/>
        <v>0.36877861283061675</v>
      </c>
    </row>
    <row r="47" spans="2:12" x14ac:dyDescent="0.45">
      <c r="B47" t="s">
        <v>117</v>
      </c>
      <c r="C47" s="28">
        <f>IFERROR(1-C45,0)</f>
        <v>0.88063211037726052</v>
      </c>
      <c r="D47" s="28">
        <f t="shared" ref="D47:L47" si="18">IFERROR(1-D45,0)</f>
        <v>0.95777420622666409</v>
      </c>
      <c r="E47" s="28">
        <f t="shared" si="18"/>
        <v>0.88378471885855048</v>
      </c>
      <c r="F47" s="28">
        <f t="shared" si="18"/>
        <v>0.82246935778051555</v>
      </c>
      <c r="G47" s="28">
        <f t="shared" si="18"/>
        <v>0.80972142115584278</v>
      </c>
      <c r="H47" s="28">
        <f t="shared" si="18"/>
        <v>0.74774282237227729</v>
      </c>
      <c r="I47" s="28">
        <f t="shared" si="18"/>
        <v>0.68616768023104724</v>
      </c>
      <c r="J47" s="28">
        <f t="shared" si="18"/>
        <v>0.65282781892003716</v>
      </c>
      <c r="K47" s="28">
        <f t="shared" si="18"/>
        <v>0.65941773170629348</v>
      </c>
      <c r="L47" s="28">
        <f t="shared" si="18"/>
        <v>0.63122138716938325</v>
      </c>
    </row>
    <row r="49" spans="2:14" x14ac:dyDescent="0.45">
      <c r="B49" s="62" t="s">
        <v>118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</row>
    <row r="50" spans="2:14" x14ac:dyDescent="0.45">
      <c r="B50" s="6" t="s">
        <v>24</v>
      </c>
      <c r="C50" s="27">
        <f>IFERROR('Data Sheet'!B57,0)</f>
        <v>207.12</v>
      </c>
      <c r="D50" s="27">
        <f>IFERROR('Data Sheet'!C57,0)</f>
        <v>240.66</v>
      </c>
      <c r="E50" s="27">
        <f>IFERROR('Data Sheet'!D57,0)</f>
        <v>239.93</v>
      </c>
      <c r="F50" s="27">
        <f>IFERROR('Data Sheet'!E57,0)</f>
        <v>239.93</v>
      </c>
      <c r="G50" s="27">
        <f>IFERROR('Data Sheet'!F57,0)</f>
        <v>239.93</v>
      </c>
      <c r="H50" s="27">
        <f>IFERROR('Data Sheet'!G57,0)</f>
        <v>239.93</v>
      </c>
      <c r="I50" s="27">
        <f>IFERROR('Data Sheet'!H57,0)</f>
        <v>239.93</v>
      </c>
      <c r="J50" s="27">
        <f>IFERROR('Data Sheet'!I57,0)</f>
        <v>239.93</v>
      </c>
      <c r="K50" s="27">
        <f>IFERROR('Data Sheet'!J57,0)</f>
        <v>239.93</v>
      </c>
      <c r="L50" s="27">
        <f>IFERROR('Data Sheet'!K57,0)</f>
        <v>239.93</v>
      </c>
    </row>
    <row r="51" spans="2:14" x14ac:dyDescent="0.45">
      <c r="B51" s="6" t="s">
        <v>25</v>
      </c>
      <c r="C51" s="27">
        <f>IFERROR('Data Sheet'!B58,0)</f>
        <v>25430.97</v>
      </c>
      <c r="D51" s="27">
        <f>IFERROR('Data Sheet'!C58,0)</f>
        <v>32741.82</v>
      </c>
      <c r="E51" s="27">
        <f>IFERROR('Data Sheet'!D58,0)</f>
        <v>36399.74</v>
      </c>
      <c r="F51" s="27">
        <f>IFERROR('Data Sheet'!E58,0)</f>
        <v>38074.18</v>
      </c>
      <c r="G51" s="27">
        <f>IFERROR('Data Sheet'!F58,0)</f>
        <v>41169.129999999997</v>
      </c>
      <c r="H51" s="27">
        <f>IFERROR('Data Sheet'!G58,0)</f>
        <v>45024.52</v>
      </c>
      <c r="I51" s="27">
        <f>IFERROR('Data Sheet'!H58,0)</f>
        <v>46222.85</v>
      </c>
      <c r="J51" s="27">
        <f>IFERROR('Data Sheet'!I58,0)</f>
        <v>47771.29</v>
      </c>
      <c r="K51" s="27">
        <f>IFERROR('Data Sheet'!J58,0)</f>
        <v>55755.45</v>
      </c>
      <c r="L51" s="27">
        <f>IFERROR('Data Sheet'!K58,0)</f>
        <v>63426.82</v>
      </c>
    </row>
    <row r="52" spans="2:14" x14ac:dyDescent="0.45">
      <c r="B52" s="6" t="s">
        <v>71</v>
      </c>
      <c r="C52" s="27">
        <f>IFERROR('Data Sheet'!B59,0)</f>
        <v>8996.11</v>
      </c>
      <c r="D52" s="27">
        <f>IFERROR('Data Sheet'!C59,0)</f>
        <v>8496.76</v>
      </c>
      <c r="E52" s="27">
        <f>IFERROR('Data Sheet'!D59,0)</f>
        <v>9831.77</v>
      </c>
      <c r="F52" s="27">
        <f>IFERROR('Data Sheet'!E59,0)</f>
        <v>10385.27</v>
      </c>
      <c r="G52" s="27">
        <f>IFERROR('Data Sheet'!F59,0)</f>
        <v>10514.36</v>
      </c>
      <c r="H52" s="27">
        <f>IFERROR('Data Sheet'!G59,0)</f>
        <v>8314.8799999999992</v>
      </c>
      <c r="I52" s="27">
        <f>IFERROR('Data Sheet'!H59,0)</f>
        <v>3868.58</v>
      </c>
      <c r="J52" s="27">
        <f>IFERROR('Data Sheet'!I59,0)</f>
        <v>1290.3</v>
      </c>
      <c r="K52" s="27">
        <f>IFERROR('Data Sheet'!J59,0)</f>
        <v>6885.87</v>
      </c>
      <c r="L52" s="27">
        <f>IFERROR('Data Sheet'!K59,0)</f>
        <v>3273.67</v>
      </c>
    </row>
    <row r="53" spans="2:14" x14ac:dyDescent="0.45">
      <c r="B53" s="6" t="s">
        <v>72</v>
      </c>
      <c r="C53" s="27">
        <f>IFERROR('Data Sheet'!B60,0)</f>
        <v>14088.99</v>
      </c>
      <c r="D53" s="27">
        <f>IFERROR('Data Sheet'!C60,0)</f>
        <v>13948.26</v>
      </c>
      <c r="E53" s="27">
        <f>IFERROR('Data Sheet'!D60,0)</f>
        <v>14624.01</v>
      </c>
      <c r="F53" s="27">
        <f>IFERROR('Data Sheet'!E60,0)</f>
        <v>15598.01</v>
      </c>
      <c r="G53" s="27">
        <f>IFERROR('Data Sheet'!F60,0)</f>
        <v>12666.11</v>
      </c>
      <c r="H53" s="27">
        <f>IFERROR('Data Sheet'!G60,0)</f>
        <v>14614.99</v>
      </c>
      <c r="I53" s="27">
        <f>IFERROR('Data Sheet'!H60,0)</f>
        <v>17290.86</v>
      </c>
      <c r="J53" s="27">
        <f>IFERROR('Data Sheet'!I60,0)</f>
        <v>20474.39</v>
      </c>
      <c r="K53" s="27">
        <f>IFERROR('Data Sheet'!J60,0)</f>
        <v>17830.650000000001</v>
      </c>
      <c r="L53" s="27">
        <f>IFERROR('Data Sheet'!K60,0)</f>
        <v>18367.400000000001</v>
      </c>
    </row>
    <row r="54" spans="2:14" x14ac:dyDescent="0.45">
      <c r="B54" s="33" t="s">
        <v>119</v>
      </c>
      <c r="C54" s="35">
        <f>IFERROR('Data Sheet'!B61,0)</f>
        <v>48723.19</v>
      </c>
      <c r="D54" s="35">
        <f>IFERROR('Data Sheet'!C61,0)</f>
        <v>55427.5</v>
      </c>
      <c r="E54" s="35">
        <f>IFERROR('Data Sheet'!D61,0)</f>
        <v>61095.45</v>
      </c>
      <c r="F54" s="35">
        <f>IFERROR('Data Sheet'!E61,0)</f>
        <v>64297.39</v>
      </c>
      <c r="G54" s="35">
        <f>IFERROR('Data Sheet'!F61,0)</f>
        <v>64589.53</v>
      </c>
      <c r="H54" s="35">
        <f>IFERROR('Data Sheet'!G61,0)</f>
        <v>68194.320000000007</v>
      </c>
      <c r="I54" s="35">
        <f>IFERROR('Data Sheet'!H61,0)</f>
        <v>67622.22</v>
      </c>
      <c r="J54" s="35">
        <f>IFERROR('Data Sheet'!I61,0)</f>
        <v>69775.91</v>
      </c>
      <c r="K54" s="35">
        <f>IFERROR('Data Sheet'!J61,0)</f>
        <v>80711.899999999994</v>
      </c>
      <c r="L54" s="35">
        <f>IFERROR('Data Sheet'!K61,0)</f>
        <v>85307.82</v>
      </c>
      <c r="N54" t="s">
        <v>96</v>
      </c>
    </row>
    <row r="55" spans="2:14" x14ac:dyDescent="0.45">
      <c r="B55" s="1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spans="2:14" x14ac:dyDescent="0.45">
      <c r="B56" s="6" t="s">
        <v>27</v>
      </c>
      <c r="C56" s="27">
        <f>IFERROR('Data Sheet'!B62,0)</f>
        <v>12682.47</v>
      </c>
      <c r="D56" s="27">
        <f>IFERROR('Data Sheet'!C62,0)</f>
        <v>15872.25</v>
      </c>
      <c r="E56" s="27">
        <f>IFERROR('Data Sheet'!D62,0)</f>
        <v>17675.169999999998</v>
      </c>
      <c r="F56" s="27">
        <f>IFERROR('Data Sheet'!E62,0)</f>
        <v>18852.650000000001</v>
      </c>
      <c r="G56" s="27">
        <f>IFERROR('Data Sheet'!F62,0)</f>
        <v>21836.54</v>
      </c>
      <c r="H56" s="27">
        <f>IFERROR('Data Sheet'!G62,0)</f>
        <v>22846.91</v>
      </c>
      <c r="I56" s="27">
        <f>IFERROR('Data Sheet'!H62,0)</f>
        <v>21552.98</v>
      </c>
      <c r="J56" s="27">
        <f>IFERROR('Data Sheet'!I62,0)</f>
        <v>22665.16</v>
      </c>
      <c r="K56" s="27">
        <f>IFERROR('Data Sheet'!J62,0)</f>
        <v>24065.439999999999</v>
      </c>
      <c r="L56" s="27">
        <f>IFERROR('Data Sheet'!K62,0)</f>
        <v>23211.38</v>
      </c>
    </row>
    <row r="57" spans="2:14" x14ac:dyDescent="0.45">
      <c r="B57" s="6" t="s">
        <v>28</v>
      </c>
      <c r="C57" s="27">
        <f>IFERROR('Data Sheet'!B63,0)</f>
        <v>2038.61</v>
      </c>
      <c r="D57" s="27">
        <f>IFERROR('Data Sheet'!C63,0)</f>
        <v>2175.4499999999998</v>
      </c>
      <c r="E57" s="27">
        <f>IFERROR('Data Sheet'!D63,0)</f>
        <v>2801.38</v>
      </c>
      <c r="F57" s="27">
        <f>IFERROR('Data Sheet'!E63,0)</f>
        <v>2465.16</v>
      </c>
      <c r="G57" s="27">
        <f>IFERROR('Data Sheet'!F63,0)</f>
        <v>1411.15</v>
      </c>
      <c r="H57" s="27">
        <f>IFERROR('Data Sheet'!G63,0)</f>
        <v>1220.3399999999999</v>
      </c>
      <c r="I57" s="27">
        <f>IFERROR('Data Sheet'!H63,0)</f>
        <v>1566.83</v>
      </c>
      <c r="J57" s="27">
        <f>IFERROR('Data Sheet'!I63,0)</f>
        <v>1286.8</v>
      </c>
      <c r="K57" s="27">
        <f>IFERROR('Data Sheet'!J63,0)</f>
        <v>4973.16</v>
      </c>
      <c r="L57" s="27">
        <f>IFERROR('Data Sheet'!K63,0)</f>
        <v>5353.88</v>
      </c>
    </row>
    <row r="58" spans="2:14" x14ac:dyDescent="0.45">
      <c r="B58" s="6" t="s">
        <v>29</v>
      </c>
      <c r="C58" s="27">
        <f>IFERROR('Data Sheet'!B64,0)</f>
        <v>2716.3</v>
      </c>
      <c r="D58" s="27">
        <f>IFERROR('Data Sheet'!C64,0)</f>
        <v>1829.88</v>
      </c>
      <c r="E58" s="27">
        <f>IFERROR('Data Sheet'!D64,0)</f>
        <v>1191.8800000000001</v>
      </c>
      <c r="F58" s="27">
        <f>IFERROR('Data Sheet'!E64,0)</f>
        <v>7142.87</v>
      </c>
      <c r="G58" s="27">
        <f>IFERROR('Data Sheet'!F64,0)</f>
        <v>7902.53</v>
      </c>
      <c r="H58" s="27">
        <f>IFERROR('Data Sheet'!G64,0)</f>
        <v>10143.11</v>
      </c>
      <c r="I58" s="27">
        <f>IFERROR('Data Sheet'!H64,0)</f>
        <v>9612.4500000000007</v>
      </c>
      <c r="J58" s="27">
        <f>IFERROR('Data Sheet'!I64,0)</f>
        <v>12848.59</v>
      </c>
      <c r="K58" s="27">
        <f>IFERROR('Data Sheet'!J64,0)</f>
        <v>14824.34</v>
      </c>
      <c r="L58" s="27">
        <f>IFERROR('Data Sheet'!K64,0)</f>
        <v>15025.77</v>
      </c>
    </row>
    <row r="59" spans="2:14" x14ac:dyDescent="0.45">
      <c r="B59" s="6" t="s">
        <v>73</v>
      </c>
      <c r="C59" s="27">
        <f>IFERROR('Data Sheet'!B65-SUM('Data Sheet'!B67:B69),0)</f>
        <v>9513.6500000000015</v>
      </c>
      <c r="D59" s="27">
        <f>IFERROR('Data Sheet'!C65-SUM('Data Sheet'!C67:C69),0)</f>
        <v>9170.07</v>
      </c>
      <c r="E59" s="27">
        <f>IFERROR('Data Sheet'!D65-SUM('Data Sheet'!D67:D69),0)</f>
        <v>10250.759999999995</v>
      </c>
      <c r="F59" s="27">
        <f>IFERROR('Data Sheet'!E65-SUM('Data Sheet'!E67:E69),0)</f>
        <v>11211.36</v>
      </c>
      <c r="G59" s="27">
        <f>IFERROR('Data Sheet'!F65-SUM('Data Sheet'!F67:F69),0)</f>
        <v>9393.5299999999988</v>
      </c>
      <c r="H59" s="27">
        <f>IFERROR('Data Sheet'!G65-SUM('Data Sheet'!G67:G69),0)</f>
        <v>10200.18</v>
      </c>
      <c r="I59" s="27">
        <f>IFERROR('Data Sheet'!H65-SUM('Data Sheet'!H67:H69),0)</f>
        <v>10386.029999999999</v>
      </c>
      <c r="J59" s="27">
        <f>IFERROR('Data Sheet'!I65-SUM('Data Sheet'!I67:I69),0)</f>
        <v>8532.2900000000009</v>
      </c>
      <c r="K59" s="27">
        <f>IFERROR('Data Sheet'!J65-SUM('Data Sheet'!J67:J69),0)</f>
        <v>9127.11</v>
      </c>
      <c r="L59" s="27">
        <f>IFERROR('Data Sheet'!K65-SUM('Data Sheet'!K67:K69),0)</f>
        <v>10078.449999999997</v>
      </c>
    </row>
    <row r="60" spans="2:14" x14ac:dyDescent="0.45">
      <c r="B60" s="1" t="s">
        <v>120</v>
      </c>
      <c r="C60" s="31">
        <f>IFERROR(SUM(C56:C59),0)</f>
        <v>26951.030000000002</v>
      </c>
      <c r="D60" s="31">
        <f t="shared" ref="D60:L60" si="19">IFERROR(SUM(D56:D59),0)</f>
        <v>29047.65</v>
      </c>
      <c r="E60" s="31">
        <f t="shared" si="19"/>
        <v>31919.189999999995</v>
      </c>
      <c r="F60" s="31">
        <f t="shared" si="19"/>
        <v>39672.04</v>
      </c>
      <c r="G60" s="31">
        <f t="shared" si="19"/>
        <v>40543.75</v>
      </c>
      <c r="H60" s="31">
        <f t="shared" si="19"/>
        <v>44410.54</v>
      </c>
      <c r="I60" s="31">
        <f t="shared" si="19"/>
        <v>43118.289999999994</v>
      </c>
      <c r="J60" s="31">
        <f t="shared" si="19"/>
        <v>45332.840000000004</v>
      </c>
      <c r="K60" s="31">
        <f t="shared" si="19"/>
        <v>52990.05</v>
      </c>
      <c r="L60" s="31">
        <f t="shared" si="19"/>
        <v>53669.479999999996</v>
      </c>
    </row>
    <row r="61" spans="2:14" x14ac:dyDescent="0.45">
      <c r="B61" s="1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2:14" x14ac:dyDescent="0.45">
      <c r="B62" s="6" t="s">
        <v>78</v>
      </c>
      <c r="C62" s="27">
        <f>IFERROR('Data Sheet'!B67,0)</f>
        <v>5106.13</v>
      </c>
      <c r="D62" s="27">
        <f>IFERROR('Data Sheet'!C67,0)</f>
        <v>6775.66</v>
      </c>
      <c r="E62" s="27">
        <f>IFERROR('Data Sheet'!D67,0)</f>
        <v>7202.61</v>
      </c>
      <c r="F62" s="27">
        <f>IFERROR('Data Sheet'!E67,0)</f>
        <v>7815.28</v>
      </c>
      <c r="G62" s="27">
        <f>IFERROR('Data Sheet'!F67,0)</f>
        <v>8884.2000000000007</v>
      </c>
      <c r="H62" s="27">
        <f>IFERROR('Data Sheet'!G67,0)</f>
        <v>9421.24</v>
      </c>
      <c r="I62" s="27">
        <f>IFERROR('Data Sheet'!H67,0)</f>
        <v>9061.4</v>
      </c>
      <c r="J62" s="27">
        <f>IFERROR('Data Sheet'!I67,0)</f>
        <v>10484.59</v>
      </c>
      <c r="K62" s="27">
        <f>IFERROR('Data Sheet'!J67,0)</f>
        <v>11438.51</v>
      </c>
      <c r="L62" s="27">
        <f>IFERROR('Data Sheet'!K67,0)</f>
        <v>11249.37</v>
      </c>
    </row>
    <row r="63" spans="2:14" x14ac:dyDescent="0.45">
      <c r="B63" s="6" t="s">
        <v>45</v>
      </c>
      <c r="C63" s="27">
        <f>IFERROR('Data Sheet'!B68,0)</f>
        <v>5667.99</v>
      </c>
      <c r="D63" s="27">
        <f>IFERROR('Data Sheet'!C68,0)</f>
        <v>6422.54</v>
      </c>
      <c r="E63" s="27">
        <f>IFERROR('Data Sheet'!D68,0)</f>
        <v>6832.81</v>
      </c>
      <c r="F63" s="27">
        <f>IFERROR('Data Sheet'!E68,0)</f>
        <v>6880.69</v>
      </c>
      <c r="G63" s="27">
        <f>IFERROR('Data Sheet'!F68,0)</f>
        <v>7885.98</v>
      </c>
      <c r="H63" s="27">
        <f>IFERROR('Data Sheet'!G68,0)</f>
        <v>7874.99</v>
      </c>
      <c r="I63" s="27">
        <f>IFERROR('Data Sheet'!H68,0)</f>
        <v>8997.02</v>
      </c>
      <c r="J63" s="27">
        <f>IFERROR('Data Sheet'!I68,0)</f>
        <v>8925.1299999999992</v>
      </c>
      <c r="K63" s="27">
        <f>IFERROR('Data Sheet'!J68,0)</f>
        <v>10513.05</v>
      </c>
      <c r="L63" s="27">
        <f>IFERROR('Data Sheet'!K68,0)</f>
        <v>9868.2900000000009</v>
      </c>
    </row>
    <row r="64" spans="2:14" x14ac:dyDescent="0.45">
      <c r="B64" s="4" t="s">
        <v>87</v>
      </c>
      <c r="C64" s="27">
        <f>IFERROR('Data Sheet'!B69,0)</f>
        <v>10998.04</v>
      </c>
      <c r="D64" s="27">
        <f>IFERROR('Data Sheet'!C69,0)</f>
        <v>13181.65</v>
      </c>
      <c r="E64" s="27">
        <f>IFERROR('Data Sheet'!D69,0)</f>
        <v>15140.84</v>
      </c>
      <c r="F64" s="27">
        <f>IFERROR('Data Sheet'!E69,0)</f>
        <v>9929.3799999999992</v>
      </c>
      <c r="G64" s="27">
        <f>IFERROR('Data Sheet'!F69,0)</f>
        <v>7275.6</v>
      </c>
      <c r="H64" s="27">
        <f>IFERROR('Data Sheet'!G69,0)</f>
        <v>6487.55</v>
      </c>
      <c r="I64" s="27">
        <f>IFERROR('Data Sheet'!H69,0)</f>
        <v>6445.51</v>
      </c>
      <c r="J64" s="27">
        <f>IFERROR('Data Sheet'!I69,0)</f>
        <v>5033.3500000000004</v>
      </c>
      <c r="K64" s="27">
        <f>IFERROR('Data Sheet'!J69,0)</f>
        <v>5770.29</v>
      </c>
      <c r="L64" s="27">
        <f>IFERROR('Data Sheet'!K69,0)</f>
        <v>10520.68</v>
      </c>
    </row>
    <row r="65" spans="2:14" x14ac:dyDescent="0.45">
      <c r="B65" s="36" t="s">
        <v>121</v>
      </c>
      <c r="C65" s="35">
        <f>IFERROR(SUM(C62:C64),0)</f>
        <v>21772.16</v>
      </c>
      <c r="D65" s="35">
        <f t="shared" ref="D65:L65" si="20">IFERROR(SUM(D62:D64),0)</f>
        <v>26379.85</v>
      </c>
      <c r="E65" s="35">
        <f t="shared" si="20"/>
        <v>29176.260000000002</v>
      </c>
      <c r="F65" s="35">
        <f t="shared" si="20"/>
        <v>24625.35</v>
      </c>
      <c r="G65" s="35">
        <f t="shared" si="20"/>
        <v>24045.78</v>
      </c>
      <c r="H65" s="35">
        <f t="shared" si="20"/>
        <v>23783.78</v>
      </c>
      <c r="I65" s="35">
        <f t="shared" si="20"/>
        <v>24503.93</v>
      </c>
      <c r="J65" s="35">
        <f t="shared" si="20"/>
        <v>24443.07</v>
      </c>
      <c r="K65" s="35">
        <f t="shared" si="20"/>
        <v>27721.85</v>
      </c>
      <c r="L65" s="35">
        <f t="shared" si="20"/>
        <v>31638.340000000004</v>
      </c>
    </row>
    <row r="66" spans="2:14" x14ac:dyDescent="0.45">
      <c r="C66" s="27"/>
      <c r="D66" s="27"/>
      <c r="E66" s="27"/>
      <c r="F66" s="27"/>
      <c r="G66" s="27"/>
      <c r="H66" s="27"/>
      <c r="I66" s="27"/>
      <c r="J66" s="27"/>
      <c r="K66" s="27"/>
      <c r="L66" s="27"/>
      <c r="N66" t="s">
        <v>124</v>
      </c>
    </row>
    <row r="67" spans="2:14" x14ac:dyDescent="0.45">
      <c r="B67" s="36" t="s">
        <v>122</v>
      </c>
      <c r="C67" s="35">
        <f>SUM(C65,C60)</f>
        <v>48723.19</v>
      </c>
      <c r="D67" s="35">
        <f t="shared" ref="D67:L67" si="21">SUM(D65,D60)</f>
        <v>55427.5</v>
      </c>
      <c r="E67" s="35">
        <f t="shared" si="21"/>
        <v>61095.45</v>
      </c>
      <c r="F67" s="35">
        <f t="shared" si="21"/>
        <v>64297.39</v>
      </c>
      <c r="G67" s="35">
        <f t="shared" si="21"/>
        <v>64589.53</v>
      </c>
      <c r="H67" s="35">
        <f t="shared" si="21"/>
        <v>68194.320000000007</v>
      </c>
      <c r="I67" s="35">
        <f t="shared" si="21"/>
        <v>67622.22</v>
      </c>
      <c r="J67" s="35">
        <f t="shared" si="21"/>
        <v>69775.91</v>
      </c>
      <c r="K67" s="35">
        <f t="shared" si="21"/>
        <v>80711.899999999994</v>
      </c>
      <c r="L67" s="35">
        <f t="shared" si="21"/>
        <v>85307.82</v>
      </c>
    </row>
    <row r="69" spans="2:14" x14ac:dyDescent="0.45">
      <c r="B69" s="29" t="s">
        <v>123</v>
      </c>
      <c r="C69" s="29" t="b">
        <f>C67=C54</f>
        <v>1</v>
      </c>
      <c r="D69" s="29" t="b">
        <f t="shared" ref="D69:L69" si="22">D67=D54</f>
        <v>1</v>
      </c>
      <c r="E69" s="29" t="b">
        <f t="shared" si="22"/>
        <v>1</v>
      </c>
      <c r="F69" s="29" t="b">
        <f t="shared" si="22"/>
        <v>1</v>
      </c>
      <c r="G69" s="29" t="b">
        <f t="shared" si="22"/>
        <v>1</v>
      </c>
      <c r="H69" s="29" t="b">
        <f t="shared" si="22"/>
        <v>1</v>
      </c>
      <c r="I69" s="29" t="b">
        <f t="shared" si="22"/>
        <v>1</v>
      </c>
      <c r="J69" s="29" t="b">
        <f t="shared" si="22"/>
        <v>1</v>
      </c>
      <c r="K69" s="29" t="b">
        <f t="shared" si="22"/>
        <v>1</v>
      </c>
      <c r="L69" s="29" t="b">
        <f t="shared" si="22"/>
        <v>1</v>
      </c>
    </row>
    <row r="71" spans="2:14" x14ac:dyDescent="0.45">
      <c r="B71" s="62" t="s">
        <v>125</v>
      </c>
      <c r="C71" s="62"/>
      <c r="D71" s="62"/>
      <c r="E71" s="62"/>
      <c r="F71" s="62"/>
      <c r="G71" s="62"/>
      <c r="H71" s="62"/>
      <c r="I71" s="62"/>
      <c r="J71" s="62"/>
      <c r="K71" s="62"/>
      <c r="L71" s="62"/>
    </row>
    <row r="72" spans="2:14" x14ac:dyDescent="0.45">
      <c r="B72" s="6" t="s">
        <v>32</v>
      </c>
      <c r="C72" s="32">
        <f>IFERROR('Data Sheet'!B82,0)</f>
        <v>5615.74</v>
      </c>
      <c r="D72" s="32">
        <f>IFERROR('Data Sheet'!C82,0)</f>
        <v>6685.86</v>
      </c>
      <c r="E72" s="32">
        <f>IFERROR('Data Sheet'!D82,0)</f>
        <v>7082.21</v>
      </c>
      <c r="F72" s="32">
        <f>IFERROR('Data Sheet'!E82,0)</f>
        <v>3907.15</v>
      </c>
      <c r="G72" s="32">
        <f>IFERROR('Data Sheet'!F82,0)</f>
        <v>2196.4499999999998</v>
      </c>
      <c r="H72" s="32">
        <f>IFERROR('Data Sheet'!G82,0)</f>
        <v>6554.77</v>
      </c>
      <c r="I72" s="32">
        <f>IFERROR('Data Sheet'!H82,0)</f>
        <v>6170.37</v>
      </c>
      <c r="J72" s="32">
        <f>IFERROR('Data Sheet'!I82,0)</f>
        <v>8984.5400000000009</v>
      </c>
      <c r="K72" s="32">
        <f>IFERROR('Data Sheet'!J82,0)</f>
        <v>4959.33</v>
      </c>
      <c r="L72" s="32">
        <f>IFERROR('Data Sheet'!K82,0)</f>
        <v>12134.98</v>
      </c>
    </row>
    <row r="73" spans="2:14" x14ac:dyDescent="0.45">
      <c r="B73" s="6" t="s">
        <v>33</v>
      </c>
      <c r="C73" s="32">
        <f>IFERROR('Data Sheet'!B83,0)</f>
        <v>-1502.35</v>
      </c>
      <c r="D73" s="32">
        <f>IFERROR('Data Sheet'!C83,0)</f>
        <v>-3949.13</v>
      </c>
      <c r="E73" s="32">
        <f>IFERROR('Data Sheet'!D83,0)</f>
        <v>-4186.1499999999996</v>
      </c>
      <c r="F73" s="32">
        <f>IFERROR('Data Sheet'!E83,0)</f>
        <v>-3103.8</v>
      </c>
      <c r="G73" s="32">
        <f>IFERROR('Data Sheet'!F83,0)</f>
        <v>-310.08</v>
      </c>
      <c r="H73" s="32">
        <f>IFERROR('Data Sheet'!G83,0)</f>
        <v>-2225.3200000000002</v>
      </c>
      <c r="I73" s="32">
        <f>IFERROR('Data Sheet'!H83,0)</f>
        <v>406.53</v>
      </c>
      <c r="J73" s="32">
        <f>IFERROR('Data Sheet'!I83,0)</f>
        <v>-5555.86</v>
      </c>
      <c r="K73" s="32">
        <f>IFERROR('Data Sheet'!J83,0)</f>
        <v>-7219.92</v>
      </c>
      <c r="L73" s="32">
        <f>IFERROR('Data Sheet'!K83,0)</f>
        <v>-762.9</v>
      </c>
    </row>
    <row r="74" spans="2:14" x14ac:dyDescent="0.45">
      <c r="B74" s="6" t="s">
        <v>34</v>
      </c>
      <c r="C74" s="32">
        <f>IFERROR('Data Sheet'!B84,0)</f>
        <v>-1186.53</v>
      </c>
      <c r="D74" s="32">
        <f>IFERROR('Data Sheet'!C84,0)</f>
        <v>-1888.53</v>
      </c>
      <c r="E74" s="32">
        <f>IFERROR('Data Sheet'!D84,0)</f>
        <v>-2285.39</v>
      </c>
      <c r="F74" s="32">
        <f>IFERROR('Data Sheet'!E84,0)</f>
        <v>-1539.26</v>
      </c>
      <c r="G74" s="32">
        <f>IFERROR('Data Sheet'!F84,0)</f>
        <v>-2730.52</v>
      </c>
      <c r="H74" s="32">
        <f>IFERROR('Data Sheet'!G84,0)</f>
        <v>-5715.14</v>
      </c>
      <c r="I74" s="32">
        <f>IFERROR('Data Sheet'!H84,0)</f>
        <v>-5980.48</v>
      </c>
      <c r="J74" s="32">
        <f>IFERROR('Data Sheet'!I84,0)</f>
        <v>-5193.46</v>
      </c>
      <c r="K74" s="32">
        <f>IFERROR('Data Sheet'!J84,0)</f>
        <v>2376.0700000000002</v>
      </c>
      <c r="L74" s="32">
        <f>IFERROR('Data Sheet'!K84,0)</f>
        <v>-6710.16</v>
      </c>
    </row>
    <row r="75" spans="2:14" x14ac:dyDescent="0.45">
      <c r="B75" s="6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spans="2:14" x14ac:dyDescent="0.45">
      <c r="B76" s="33" t="s">
        <v>35</v>
      </c>
      <c r="C76" s="34">
        <f>IFERROR('Data Sheet'!B85,0)</f>
        <v>2926.86</v>
      </c>
      <c r="D76" s="34">
        <f>IFERROR('Data Sheet'!C85,0)</f>
        <v>848.2</v>
      </c>
      <c r="E76" s="34">
        <f>IFERROR('Data Sheet'!D85,0)</f>
        <v>610.66999999999996</v>
      </c>
      <c r="F76" s="34">
        <f>IFERROR('Data Sheet'!E85,0)</f>
        <v>-735.91</v>
      </c>
      <c r="G76" s="34">
        <f>IFERROR('Data Sheet'!F85,0)</f>
        <v>-844.15</v>
      </c>
      <c r="H76" s="34">
        <f>IFERROR('Data Sheet'!G85,0)</f>
        <v>-1385.69</v>
      </c>
      <c r="I76" s="34">
        <f>IFERROR('Data Sheet'!H85,0)</f>
        <v>596.41999999999996</v>
      </c>
      <c r="J76" s="34">
        <f>IFERROR('Data Sheet'!I85,0)</f>
        <v>-1764.78</v>
      </c>
      <c r="K76" s="34">
        <f>IFERROR('Data Sheet'!J85,0)</f>
        <v>115.48</v>
      </c>
      <c r="L76" s="34">
        <f>IFERROR('Data Sheet'!K85,0)</f>
        <v>4661.92</v>
      </c>
    </row>
  </sheetData>
  <mergeCells count="4">
    <mergeCell ref="B5:L5"/>
    <mergeCell ref="B8:L8"/>
    <mergeCell ref="B49:L49"/>
    <mergeCell ref="B71:L71"/>
  </mergeCells>
  <pageMargins left="0.25" right="0.25" top="0.75" bottom="0.75" header="0.3" footer="0.3"/>
  <pageSetup paperSize="3" scale="96" fitToHeight="0" orientation="landscape" r:id="rId1"/>
  <ignoredErrors>
    <ignoredError sqref="L18 J18:K18 H18:I18 F18:G18 C18:E18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F0C0-852D-4F56-B2B0-6D8725E0E064}">
  <dimension ref="B4:S40"/>
  <sheetViews>
    <sheetView showGridLines="0" zoomScale="106" workbookViewId="0">
      <selection activeCell="E2" sqref="E2"/>
    </sheetView>
  </sheetViews>
  <sheetFormatPr defaultRowHeight="14.25" x14ac:dyDescent="0.45"/>
  <cols>
    <col min="1" max="1" width="2.1328125" customWidth="1"/>
    <col min="2" max="2" width="28.3984375" customWidth="1"/>
    <col min="3" max="12" width="12.3984375" customWidth="1"/>
    <col min="13" max="13" width="16.3984375" customWidth="1"/>
    <col min="14" max="15" width="12.3984375" customWidth="1"/>
  </cols>
  <sheetData>
    <row r="4" spans="2:19" x14ac:dyDescent="0.45">
      <c r="M4" t="s">
        <v>96</v>
      </c>
    </row>
    <row r="5" spans="2:19" x14ac:dyDescent="0.45">
      <c r="B5" s="61" t="s">
        <v>155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</row>
    <row r="6" spans="2:19" x14ac:dyDescent="0.45">
      <c r="B6" s="25" t="s">
        <v>94</v>
      </c>
      <c r="C6" s="26">
        <v>42094</v>
      </c>
      <c r="D6" s="26">
        <v>42460</v>
      </c>
      <c r="E6" s="26">
        <v>42825</v>
      </c>
      <c r="F6" s="26">
        <v>43190</v>
      </c>
      <c r="G6" s="26">
        <v>43555</v>
      </c>
      <c r="H6" s="26">
        <v>43921</v>
      </c>
      <c r="I6" s="26">
        <v>44286</v>
      </c>
      <c r="J6" s="26">
        <v>44651</v>
      </c>
      <c r="K6" s="26">
        <v>45016</v>
      </c>
      <c r="L6" s="26">
        <v>45382</v>
      </c>
      <c r="M6" s="46" t="s">
        <v>153</v>
      </c>
      <c r="N6" s="46" t="s">
        <v>151</v>
      </c>
      <c r="O6" s="46" t="s">
        <v>152</v>
      </c>
    </row>
    <row r="8" spans="2:19" x14ac:dyDescent="0.45">
      <c r="B8" s="38" t="s">
        <v>128</v>
      </c>
      <c r="C8" s="38"/>
      <c r="D8" s="39">
        <f>IFERROR(FS!D10,0)</f>
        <v>3.9975890779829548E-2</v>
      </c>
      <c r="E8" s="39">
        <f>IFERROR(FS!E10,0)</f>
        <v>0.10851991239521985</v>
      </c>
      <c r="F8" s="40">
        <f>IFERROR(FS!F10,0)</f>
        <v>-0.16115362253486876</v>
      </c>
      <c r="G8" s="39">
        <f>IFERROR(FS!G10,0)</f>
        <v>9.7263213368637969E-2</v>
      </c>
      <c r="H8" s="39">
        <f>IFERROR(FS!H10,0)</f>
        <v>0.12975991462163061</v>
      </c>
      <c r="I8" s="39">
        <f>IFERROR(FS!I10,0)</f>
        <v>2.0118462124095959E-2</v>
      </c>
      <c r="J8" s="39">
        <f>IFERROR(FS!J10,0)</f>
        <v>0.15392944205260339</v>
      </c>
      <c r="K8" s="39">
        <f>IFERROR(FS!K10,0)</f>
        <v>0.1353320144697292</v>
      </c>
      <c r="L8" s="39">
        <f>IFERROR(FS!L10,0)</f>
        <v>0.10507231516066295</v>
      </c>
      <c r="N8" s="5">
        <f>AVERAGE(D8:L8)</f>
        <v>6.9868615826393421E-2</v>
      </c>
      <c r="O8" s="5">
        <f>MEDIAN(D8:L8)</f>
        <v>0.10507231516066295</v>
      </c>
    </row>
    <row r="9" spans="2:19" x14ac:dyDescent="0.45">
      <c r="B9" t="s">
        <v>129</v>
      </c>
      <c r="D9" s="41">
        <f>IFERROR(FS!D21/FS!C21-1,0)</f>
        <v>3.5480920517569681E-2</v>
      </c>
      <c r="E9" s="41">
        <f>IFERROR(FS!E21/FS!D21-1,0)</f>
        <v>0.23588739769265565</v>
      </c>
      <c r="F9" s="42">
        <f>IFERROR(FS!F21/FS!E21-1,0)</f>
        <v>-0.44254515433546937</v>
      </c>
      <c r="G9" s="41">
        <f>IFERROR(FS!G21/FS!F21-1,0)</f>
        <v>0.13239289557518386</v>
      </c>
      <c r="H9" s="41">
        <f>IFERROR(FS!H21/FS!G21-1,0)</f>
        <v>9.5007354578499514E-2</v>
      </c>
      <c r="I9" s="41">
        <f>IFERROR(FS!I21/FS!H21-1,0)</f>
        <v>0.21296778960995777</v>
      </c>
      <c r="J9" s="41">
        <f>IFERROR(FS!J21/FS!I21-1,0)</f>
        <v>0.21105294476006931</v>
      </c>
      <c r="K9" s="41">
        <f>IFERROR(FS!K21/FS!J21-1,0)</f>
        <v>0.13578947060561197</v>
      </c>
      <c r="L9" s="41">
        <f>IFERROR(FS!L21/FS!K21-1,0)</f>
        <v>0.11736294938216862</v>
      </c>
      <c r="N9" s="5">
        <f t="shared" ref="N9:N12" si="0">AVERAGE(D9:L9)</f>
        <v>8.1488507598471885E-2</v>
      </c>
      <c r="O9" s="5">
        <f t="shared" ref="O9:O12" si="1">MEDIAN(D9:L9)</f>
        <v>0.13239289557518386</v>
      </c>
    </row>
    <row r="10" spans="2:19" x14ac:dyDescent="0.45">
      <c r="B10" t="s">
        <v>130</v>
      </c>
      <c r="D10" s="41">
        <f>IFERROR(FS!D29/FS!C29-1,0)</f>
        <v>6.5272947112299029E-2</v>
      </c>
      <c r="E10" s="41">
        <f>IFERROR(FS!E29/FS!D29-1,0)</f>
        <v>0.23834246262455538</v>
      </c>
      <c r="F10" s="42">
        <f>IFERROR(FS!F29/FS!E29-1,0)</f>
        <v>-0.53248231637145849</v>
      </c>
      <c r="G10" s="41">
        <f>IFERROR(FS!G29/FS!F29-1,0)</f>
        <v>0.11911907793144549</v>
      </c>
      <c r="H10" s="41">
        <f>IFERROR(FS!H29/FS!G29-1,0)</f>
        <v>6.6251705873829003E-2</v>
      </c>
      <c r="I10" s="41">
        <f>IFERROR(FS!I29/FS!H29-1,0)</f>
        <v>0.29613229859271439</v>
      </c>
      <c r="J10" s="41">
        <f>IFERROR(FS!J29/FS!I29-1,0)</f>
        <v>0.26976796593432506</v>
      </c>
      <c r="K10" s="41">
        <f>IFERROR(FS!K29/FS!J29-1,0)</f>
        <v>0.12413126723138235</v>
      </c>
      <c r="L10" s="41">
        <f>IFERROR(FS!L29/FS!K29-1,0)</f>
        <v>0.14692671096731535</v>
      </c>
      <c r="N10" s="5">
        <f t="shared" si="0"/>
        <v>8.8162457766267507E-2</v>
      </c>
      <c r="O10" s="5">
        <f t="shared" si="1"/>
        <v>0.12413126723138235</v>
      </c>
    </row>
    <row r="11" spans="2:19" x14ac:dyDescent="0.45">
      <c r="B11" t="s">
        <v>131</v>
      </c>
      <c r="D11" s="41">
        <f>IFERROR(FS!D36/FS!C36-1,0)</f>
        <v>9.4889557422840554E-2</v>
      </c>
      <c r="E11" s="41">
        <f>IFERROR(FS!E36/FS!D36-1,0)</f>
        <v>0.26784410881221743</v>
      </c>
      <c r="F11" s="42">
        <f>IFERROR(FS!F36/FS!E36-1,0)</f>
        <v>-0.62593310175895023</v>
      </c>
      <c r="G11" s="41">
        <f>IFERROR(FS!G36/FS!F36-1,0)</f>
        <v>0.28288512266136911</v>
      </c>
      <c r="H11" s="41">
        <f>IFERROR(FS!H36/FS!G36-1,0)</f>
        <v>9.7165186295997019E-2</v>
      </c>
      <c r="I11" s="41">
        <f>IFERROR(FS!I36/FS!H36-1,0)</f>
        <v>0.50712177325451457</v>
      </c>
      <c r="J11" s="41">
        <f>IFERROR(FS!J36/FS!I36-1,0)</f>
        <v>0.2052864634654652</v>
      </c>
      <c r="K11" s="41">
        <f>IFERROR(FS!K36/FS!J36-1,0)</f>
        <v>0.17225342860202275</v>
      </c>
      <c r="L11" s="41">
        <f>IFERROR(FS!L36/FS!K36-1,0)</f>
        <v>8.4156851514918696E-2</v>
      </c>
      <c r="N11" s="5">
        <f t="shared" si="0"/>
        <v>0.12062993225226612</v>
      </c>
      <c r="O11" s="5">
        <f t="shared" si="1"/>
        <v>0.17225342860202275</v>
      </c>
    </row>
    <row r="12" spans="2:19" x14ac:dyDescent="0.45">
      <c r="B12" s="43" t="s">
        <v>132</v>
      </c>
      <c r="C12" s="43"/>
      <c r="D12" s="44">
        <f>IFERROR(FS!D44/FS!C44-1,0)</f>
        <v>-0.6666805168903478</v>
      </c>
      <c r="E12" s="45">
        <f>IFERROR(FS!E44/FS!D44-1,0)</f>
        <v>2.5001662736689285</v>
      </c>
      <c r="F12" s="44">
        <f>IFERROR(FS!F44/FS!E44-1,0)</f>
        <v>-0.42857483090406778</v>
      </c>
      <c r="G12" s="45">
        <f>IFERROR(FS!G44/FS!F44-1,0)</f>
        <v>0.37500520985287356</v>
      </c>
      <c r="H12" s="45">
        <f>IFERROR(FS!H44/FS!G44-1,0)</f>
        <v>0.45453994331701564</v>
      </c>
      <c r="I12" s="45">
        <f>IFERROR(FS!I44/FS!H44-1,0)</f>
        <v>0.87500520985287378</v>
      </c>
      <c r="J12" s="45">
        <f>IFERROR(FS!J44/FS!I44-1,0)</f>
        <v>0.33332962855936166</v>
      </c>
      <c r="K12" s="45">
        <f>IFERROR(FS!K44/FS!J44-1,0)</f>
        <v>0.15000208394114933</v>
      </c>
      <c r="L12" s="45">
        <f>IFERROR(FS!L44/FS!K44-1,0)</f>
        <v>0.1739127283270514</v>
      </c>
      <c r="N12" s="5">
        <f t="shared" si="0"/>
        <v>0.41852285885831531</v>
      </c>
      <c r="O12" s="5">
        <f t="shared" si="1"/>
        <v>0.33332962855936166</v>
      </c>
    </row>
    <row r="14" spans="2:19" x14ac:dyDescent="0.45">
      <c r="B14" s="38" t="s">
        <v>109</v>
      </c>
      <c r="C14" s="39">
        <f>IFERROR(FS!C16,0)</f>
        <v>0.51700733170001023</v>
      </c>
      <c r="D14" s="39">
        <f>IFERROR(FS!D16,0)</f>
        <v>0.52762081550796969</v>
      </c>
      <c r="E14" s="39">
        <f>IFERROR(FS!E16,0)</f>
        <v>0.50815841441185816</v>
      </c>
      <c r="F14" s="39">
        <f>IFERROR(FS!F16,0)</f>
        <v>0.42693999802185473</v>
      </c>
      <c r="G14" s="39">
        <f>IFERROR(FS!G16,0)</f>
        <v>0.4380230999132661</v>
      </c>
      <c r="H14" s="39">
        <f>IFERROR(FS!H16,0)</f>
        <v>0.45474868671488394</v>
      </c>
      <c r="I14" s="39">
        <f>IFERROR(FS!I16,0)</f>
        <v>0.46554704231339411</v>
      </c>
      <c r="J14" s="39">
        <f>IFERROR(FS!J16,0)</f>
        <v>0.4764939338224356</v>
      </c>
      <c r="K14" s="39">
        <f>IFERROR(FS!K16,0)</f>
        <v>0.50496357809654546</v>
      </c>
      <c r="L14" s="39">
        <f>IFERROR(FS!L16,0)</f>
        <v>0.52493677424410035</v>
      </c>
      <c r="N14" s="5">
        <f>AVERAGE(C14:L14)</f>
        <v>0.48444396747463181</v>
      </c>
      <c r="O14" s="5">
        <f>MEDIAN(C14:L14)</f>
        <v>0.4907287559594905</v>
      </c>
    </row>
    <row r="15" spans="2:19" x14ac:dyDescent="0.45">
      <c r="B15" t="s">
        <v>111</v>
      </c>
      <c r="C15" s="41">
        <f>IFERROR(FS!C22,0)</f>
        <v>0.28817965530824491</v>
      </c>
      <c r="D15" s="41">
        <f>IFERROR(FS!D22,0)</f>
        <v>0.28693408895205991</v>
      </c>
      <c r="E15" s="41">
        <f>IFERROR(FS!E22,0)</f>
        <v>0.31990243976586547</v>
      </c>
      <c r="F15" s="41">
        <f>IFERROR(FS!F22,0)</f>
        <v>0.21259097014435177</v>
      </c>
      <c r="G15" s="41">
        <f>IFERROR(FS!G22,0)</f>
        <v>0.21939722513418644</v>
      </c>
      <c r="H15" s="41">
        <f>IFERROR(FS!H22,0)</f>
        <v>0.21264834411876668</v>
      </c>
      <c r="I15" s="41">
        <f>IFERROR(FS!I22,0)</f>
        <v>0.25284866562740499</v>
      </c>
      <c r="J15" s="41">
        <f>IFERROR(FS!J22,0)</f>
        <v>0.26536555003053969</v>
      </c>
      <c r="K15" s="41">
        <f>IFERROR(FS!K22,0)</f>
        <v>0.26547247302536958</v>
      </c>
      <c r="L15" s="41">
        <f>IFERROR(FS!L22,0)</f>
        <v>0.26842506265870869</v>
      </c>
      <c r="N15" s="5">
        <f>AVERAGE(C15:L15)</f>
        <v>0.25917644747654978</v>
      </c>
      <c r="O15" s="5">
        <f>MEDIAN(C15:L15)</f>
        <v>0.26541901152795466</v>
      </c>
      <c r="S15" t="s">
        <v>96</v>
      </c>
    </row>
    <row r="16" spans="2:19" x14ac:dyDescent="0.45">
      <c r="B16" t="s">
        <v>133</v>
      </c>
      <c r="C16" s="41">
        <f>IFERROR(FS!C29/FS!C9,0)</f>
        <v>0.24456401702540256</v>
      </c>
      <c r="D16" s="41">
        <f>IFERROR(FS!D29/FS!D9,0)</f>
        <v>0.25051295273673668</v>
      </c>
      <c r="E16" s="41">
        <f>IFERROR(FS!E29/FS!E9,0)</f>
        <v>0.27985137961216566</v>
      </c>
      <c r="F16" s="41">
        <f>IFERROR(FS!F29/FS!F9,0)</f>
        <v>0.15597071438979881</v>
      </c>
      <c r="G16" s="41">
        <f>IFERROR(FS!G29/FS!G9,0)</f>
        <v>0.15907742093744875</v>
      </c>
      <c r="H16" s="41">
        <f>IFERROR(FS!H29/FS!H9,0)</f>
        <v>0.15013505900266469</v>
      </c>
      <c r="I16" s="41">
        <f>IFERROR(FS!I29/FS!I9,0)</f>
        <v>0.1907571584571561</v>
      </c>
      <c r="J16" s="41">
        <f>IFERROR(FS!J29/FS!J9,0)</f>
        <v>0.20990653349714344</v>
      </c>
      <c r="K16" s="41">
        <f>IFERROR(FS!K29/FS!K9,0)</f>
        <v>0.20783567669453912</v>
      </c>
      <c r="L16" s="41">
        <f>IFERROR(FS!L29/FS!L9,0)</f>
        <v>0.21570741192469192</v>
      </c>
      <c r="N16" s="5">
        <f>AVERAGE(C16:L16)</f>
        <v>0.2064318324277748</v>
      </c>
      <c r="O16" s="5">
        <f>MEDIAN(C16:L16)</f>
        <v>0.20887110509584128</v>
      </c>
    </row>
    <row r="17" spans="2:15" x14ac:dyDescent="0.45">
      <c r="B17" t="s">
        <v>134</v>
      </c>
      <c r="C17" s="41">
        <f>IFERROR(FS!C31,0)</f>
        <v>0.22342683140083541</v>
      </c>
      <c r="D17" s="41">
        <f>IFERROR(FS!D31,0)</f>
        <v>0.23214529559592556</v>
      </c>
      <c r="E17" s="41">
        <f>IFERROR(FS!E31,0)</f>
        <v>0.26719084286620864</v>
      </c>
      <c r="F17" s="41">
        <f>IFERROR(FS!F31,0)</f>
        <v>0.1364319997463142</v>
      </c>
      <c r="G17" s="41">
        <f>IFERROR(FS!G31,0)</f>
        <v>0.1399742860278588</v>
      </c>
      <c r="H17" s="41">
        <f>IFERROR(FS!H31,0)</f>
        <v>0.14091602588503999</v>
      </c>
      <c r="I17" s="41">
        <f>IFERROR(FS!I31,0)</f>
        <v>0.18653513299544391</v>
      </c>
      <c r="J17" s="41">
        <f>IFERROR(FS!J31,0)</f>
        <v>0.20661196150822314</v>
      </c>
      <c r="K17" s="41">
        <f>IFERROR(FS!K31,0)</f>
        <v>0.20391640279927306</v>
      </c>
      <c r="L17" s="41">
        <f>IFERROR(FS!L31,0)</f>
        <v>0.2107901853419345</v>
      </c>
      <c r="N17" s="5">
        <f>AVERAGE(C17:L17)</f>
        <v>0.19479389641670569</v>
      </c>
      <c r="O17" s="5">
        <f>MEDIAN(C17:L17)</f>
        <v>0.20526418215374809</v>
      </c>
    </row>
    <row r="18" spans="2:15" x14ac:dyDescent="0.45">
      <c r="B18" s="43" t="s">
        <v>135</v>
      </c>
      <c r="C18" s="45">
        <f>IFERROR(FS!C37,0)</f>
        <v>0.19003424721296452</v>
      </c>
      <c r="D18" s="45">
        <f>IFERROR(FS!D37,0)</f>
        <v>0.20006859261916735</v>
      </c>
      <c r="E18" s="45">
        <f>IFERROR(FS!E37,0)</f>
        <v>0.22882384310307913</v>
      </c>
      <c r="F18" s="45">
        <f>IFERROR(FS!F37,0)</f>
        <v>0.10203945267287443</v>
      </c>
      <c r="G18" s="45">
        <f>IFERROR(FS!G37,0)</f>
        <v>0.11930127080143031</v>
      </c>
      <c r="H18" s="45">
        <f>IFERROR(FS!H37,0)</f>
        <v>0.11585930719451848</v>
      </c>
      <c r="I18" s="45">
        <f>IFERROR(FS!I37,0)</f>
        <v>0.17117039931172295</v>
      </c>
      <c r="J18" s="45">
        <f>IFERROR(FS!J37,0)</f>
        <v>0.17878854435797747</v>
      </c>
      <c r="K18" s="45">
        <f>IFERROR(FS!K37,0)</f>
        <v>0.18460281349178143</v>
      </c>
      <c r="L18" s="45">
        <f>IFERROR(FS!L37,0)</f>
        <v>0.18110887614350202</v>
      </c>
      <c r="N18" s="5">
        <f>AVERAGE(C18:L18)</f>
        <v>0.1671797346909018</v>
      </c>
      <c r="O18" s="5">
        <f>MEDIAN(C18:L18)</f>
        <v>0.17994871025073975</v>
      </c>
    </row>
    <row r="19" spans="2:15" x14ac:dyDescent="0.45">
      <c r="N19" s="5"/>
      <c r="O19" s="5"/>
    </row>
    <row r="20" spans="2:15" x14ac:dyDescent="0.45">
      <c r="B20" s="38" t="s">
        <v>136</v>
      </c>
      <c r="C20" s="39">
        <f>IFERROR(FS!C19,0)</f>
        <v>0.22882767639176535</v>
      </c>
      <c r="D20" s="39">
        <f>IFERROR(FS!D19,0)</f>
        <v>0.24068672655590984</v>
      </c>
      <c r="E20" s="39">
        <f>IFERROR(FS!E19,0)</f>
        <v>0.18825597464599264</v>
      </c>
      <c r="F20" s="39">
        <f>IFERROR(FS!F19,0)</f>
        <v>0.21434902787750298</v>
      </c>
      <c r="G20" s="39">
        <f>IFERROR(FS!G19,0)</f>
        <v>0.21862587477907966</v>
      </c>
      <c r="H20" s="39">
        <f>IFERROR(FS!H19,0)</f>
        <v>0.24210034259611726</v>
      </c>
      <c r="I20" s="39">
        <f>IFERROR(FS!I19,0)</f>
        <v>0.21269837668598915</v>
      </c>
      <c r="J20" s="39">
        <f>IFERROR(FS!J19,0)</f>
        <v>0.21112838379189586</v>
      </c>
      <c r="K20" s="39">
        <f>IFERROR(FS!K19,0)</f>
        <v>0.23949110507117582</v>
      </c>
      <c r="L20" s="39">
        <f>IFERROR(FS!L19,0)</f>
        <v>0.25651171158539166</v>
      </c>
      <c r="M20" s="38"/>
      <c r="N20" s="57">
        <f>AVERAGE(C20:L20)</f>
        <v>0.22526751999808203</v>
      </c>
      <c r="O20" s="57">
        <f>MEDIAN(C20:L20)</f>
        <v>0.2237267755854225</v>
      </c>
    </row>
    <row r="21" spans="2:15" x14ac:dyDescent="0.45">
      <c r="B21" t="s">
        <v>137</v>
      </c>
      <c r="C21" s="41">
        <f>IFERROR(FS!C28,0)</f>
        <v>4.3615638282842338E-2</v>
      </c>
      <c r="D21" s="41">
        <f>IFERROR(FS!D28,0)</f>
        <v>3.6421136215323252E-2</v>
      </c>
      <c r="E21" s="41">
        <f>IFERROR(FS!E28,0)</f>
        <v>4.0051060153699802E-2</v>
      </c>
      <c r="F21" s="41">
        <f>IFERROR(FS!F28,0)</f>
        <v>5.6620255754552942E-2</v>
      </c>
      <c r="G21" s="41">
        <f>IFERROR(FS!G28,0)</f>
        <v>6.0319804196737693E-2</v>
      </c>
      <c r="H21" s="41">
        <f>IFERROR(FS!H28,0)</f>
        <v>6.2513285116102019E-2</v>
      </c>
      <c r="I21" s="41">
        <f>IFERROR(FS!I28,0)</f>
        <v>6.2091507170248854E-2</v>
      </c>
      <c r="J21" s="41">
        <f>IFERROR(FS!J28,0)</f>
        <v>5.5459016533396244E-2</v>
      </c>
      <c r="K21" s="41">
        <f>IFERROR(FS!K28,0)</f>
        <v>5.7636796330830464E-2</v>
      </c>
      <c r="L21" s="41">
        <f>IFERROR(FS!L28,0)</f>
        <v>5.2717650734016741E-2</v>
      </c>
      <c r="N21" s="5">
        <f>AVERAGE(C21:L21)</f>
        <v>5.2744615048775034E-2</v>
      </c>
      <c r="O21" s="5">
        <f>MEDIAN(C21:L21)</f>
        <v>5.6039636143974593E-2</v>
      </c>
    </row>
    <row r="22" spans="2:15" x14ac:dyDescent="0.45">
      <c r="B22" s="43" t="s">
        <v>138</v>
      </c>
      <c r="C22" s="45">
        <f>IFERROR(C16,0)</f>
        <v>0.24456401702540256</v>
      </c>
      <c r="D22" s="45">
        <f t="shared" ref="D22:L22" si="2">IFERROR(D16,0)</f>
        <v>0.25051295273673668</v>
      </c>
      <c r="E22" s="45">
        <f t="shared" si="2"/>
        <v>0.27985137961216566</v>
      </c>
      <c r="F22" s="45">
        <f t="shared" si="2"/>
        <v>0.15597071438979881</v>
      </c>
      <c r="G22" s="45">
        <f t="shared" si="2"/>
        <v>0.15907742093744875</v>
      </c>
      <c r="H22" s="45">
        <f t="shared" si="2"/>
        <v>0.15013505900266469</v>
      </c>
      <c r="I22" s="45">
        <f t="shared" si="2"/>
        <v>0.1907571584571561</v>
      </c>
      <c r="J22" s="45">
        <f t="shared" si="2"/>
        <v>0.20990653349714344</v>
      </c>
      <c r="K22" s="45">
        <f t="shared" si="2"/>
        <v>0.20783567669453912</v>
      </c>
      <c r="L22" s="45">
        <f t="shared" si="2"/>
        <v>0.21570741192469192</v>
      </c>
      <c r="M22" s="43"/>
      <c r="N22" s="58">
        <f>AVERAGE(C22:L22)</f>
        <v>0.2064318324277748</v>
      </c>
      <c r="O22" s="58">
        <f>MEDIAN(C22:L22)</f>
        <v>0.20887110509584128</v>
      </c>
    </row>
    <row r="23" spans="2:15" x14ac:dyDescent="0.45">
      <c r="N23" s="5"/>
      <c r="O23" s="5"/>
    </row>
    <row r="24" spans="2:15" x14ac:dyDescent="0.45">
      <c r="B24" s="38" t="s">
        <v>139</v>
      </c>
      <c r="C24" s="39">
        <f>IFERROR(FS!C29/SUM(FS!C50:C52),0)</f>
        <v>0.19342441863822457</v>
      </c>
      <c r="D24" s="39">
        <f>IFERROR(FS!D29/SUM(FS!D50:D52),0)</f>
        <v>0.17204678774249477</v>
      </c>
      <c r="E24" s="39">
        <f>IFERROR(FS!E29/SUM(FS!E50:E52),0)</f>
        <v>0.19016561569858814</v>
      </c>
      <c r="F24" s="39">
        <f>IFERROR(FS!F29/SUM(FS!F50:F52),0)</f>
        <v>8.4838451742096088E-2</v>
      </c>
      <c r="G24" s="39">
        <f>IFERROR(FS!G29/SUM(FS!G50:G52),0)</f>
        <v>8.9049026431617981E-2</v>
      </c>
      <c r="H24" s="39">
        <f>IFERROR(FS!H29/SUM(FS!H50:H52),0)</f>
        <v>9.2014215183355258E-2</v>
      </c>
      <c r="I24" s="39">
        <f>IFERROR(FS!I29/SUM(FS!I50:I52),0)</f>
        <v>0.12695881851791804</v>
      </c>
      <c r="J24" s="39">
        <f>IFERROR(FS!J29/SUM(FS!J50:J52),0)</f>
        <v>0.16457565608524841</v>
      </c>
      <c r="K24" s="39">
        <f>IFERROR(FS!K29/SUM(FS!K50:K52),0)</f>
        <v>0.1450513467846139</v>
      </c>
      <c r="L24" s="39">
        <f>IFERROR(FS!L29/SUM(FS!L50:L52),0)</f>
        <v>0.15627523699433013</v>
      </c>
      <c r="M24" s="38"/>
      <c r="N24" s="57">
        <f>AVERAGE(C24:L24)</f>
        <v>0.14143995738184872</v>
      </c>
      <c r="O24" s="57">
        <f>MEDIAN(C24:L24)</f>
        <v>0.15066329188947203</v>
      </c>
    </row>
    <row r="25" spans="2:15" x14ac:dyDescent="0.45">
      <c r="B25" t="s">
        <v>140</v>
      </c>
      <c r="C25" s="41">
        <f>IFERROR(FS!C47,0)</f>
        <v>0.88063211037726052</v>
      </c>
      <c r="D25" s="41">
        <f>IFERROR(FS!D47,0)</f>
        <v>0.95777420622666409</v>
      </c>
      <c r="E25" s="41">
        <f>IFERROR(FS!E47,0)</f>
        <v>0.88378471885855048</v>
      </c>
      <c r="F25" s="41">
        <f>IFERROR(FS!F47,0)</f>
        <v>0.82246935778051555</v>
      </c>
      <c r="G25" s="41">
        <f>IFERROR(FS!G47,0)</f>
        <v>0.80972142115584278</v>
      </c>
      <c r="H25" s="41">
        <f>IFERROR(FS!H47,0)</f>
        <v>0.74774282237227729</v>
      </c>
      <c r="I25" s="41">
        <f>IFERROR(FS!I47,0)</f>
        <v>0.68616768023104724</v>
      </c>
      <c r="J25" s="41">
        <f>IFERROR(FS!J47,0)</f>
        <v>0.65282781892003716</v>
      </c>
      <c r="K25" s="41">
        <f>IFERROR(FS!K47,0)</f>
        <v>0.65941773170629348</v>
      </c>
      <c r="L25" s="41">
        <f>IFERROR(FS!L47,0)</f>
        <v>0.63122138716938325</v>
      </c>
      <c r="N25" s="5">
        <f>AVERAGE(C25:L25)</f>
        <v>0.7731759254797872</v>
      </c>
      <c r="O25" s="5">
        <f>MEDIAN(C25:L25)</f>
        <v>0.77873212176406004</v>
      </c>
    </row>
    <row r="26" spans="2:15" x14ac:dyDescent="0.45">
      <c r="B26" t="s">
        <v>141</v>
      </c>
      <c r="C26" s="41">
        <f>IFERROR(FS!C36/SUM(FS!C50:C51),0)</f>
        <v>0.20303462543426584</v>
      </c>
      <c r="D26" s="41">
        <f>IFERROR(FS!D36/SUM(FS!D50:D51),0)</f>
        <v>0.17279961967687082</v>
      </c>
      <c r="E26" s="41">
        <f>IFERROR(FS!E36/SUM(FS!E50:E51),0)</f>
        <v>0.19721520417623845</v>
      </c>
      <c r="F26" s="41">
        <f>IFERROR(FS!F36/SUM(FS!F50:F51),0)</f>
        <v>7.0547638976867791E-2</v>
      </c>
      <c r="G26" s="41">
        <f>IFERROR(FS!G36/SUM(FS!G50:G51),0)</f>
        <v>8.3740128368043162E-2</v>
      </c>
      <c r="H26" s="41">
        <f>IFERROR(FS!H36/SUM(FS!H50:H51),0)</f>
        <v>8.4051170399728731E-2</v>
      </c>
      <c r="I26" s="41">
        <f>IFERROR(FS!I36/SUM(FS!I50:I51),0)</f>
        <v>0.12340824203803559</v>
      </c>
      <c r="J26" s="41">
        <f>IFERROR(FS!J36/SUM(FS!J50:J51),0)</f>
        <v>0.14394510283221287</v>
      </c>
      <c r="K26" s="41">
        <f>IFERROR(FS!K36/SUM(FS!K50:K51),0)</f>
        <v>0.14468015039812218</v>
      </c>
      <c r="L26" s="41">
        <f>IFERROR(FS!L36/SUM(FS!L50:L51),0)</f>
        <v>0.13795599743979386</v>
      </c>
      <c r="N26" s="5">
        <f>AVERAGE(C26:L26)</f>
        <v>0.13613778797401793</v>
      </c>
      <c r="O26" s="5">
        <f>MEDIAN(C26:L26)</f>
        <v>0.14095055013600338</v>
      </c>
    </row>
    <row r="27" spans="2:15" x14ac:dyDescent="0.45">
      <c r="B27" t="s">
        <v>142</v>
      </c>
      <c r="C27" s="5">
        <f>C25*C26</f>
        <v>0.17879881067583414</v>
      </c>
      <c r="D27" s="5">
        <f t="shared" ref="D27:L27" si="3">D25*D26</f>
        <v>0.16550301857228439</v>
      </c>
      <c r="E27" s="5">
        <f t="shared" si="3"/>
        <v>0.17429578377752852</v>
      </c>
      <c r="F27" s="5">
        <f t="shared" si="3"/>
        <v>5.8023271322236121E-2</v>
      </c>
      <c r="G27" s="5">
        <f t="shared" si="3"/>
        <v>6.7806175749944617E-2</v>
      </c>
      <c r="H27" s="5">
        <f t="shared" si="3"/>
        <v>6.2848659378386365E-2</v>
      </c>
      <c r="I27" s="5">
        <f t="shared" si="3"/>
        <v>8.467874716063048E-2</v>
      </c>
      <c r="J27" s="5">
        <f t="shared" si="3"/>
        <v>9.3971367526173993E-2</v>
      </c>
      <c r="K27" s="5">
        <f t="shared" si="3"/>
        <v>9.5404656598455123E-2</v>
      </c>
      <c r="L27" s="5">
        <f t="shared" si="3"/>
        <v>8.7080776072282567E-2</v>
      </c>
      <c r="N27" s="5">
        <f>AVERAGE(C27:L27)</f>
        <v>0.10684112668337564</v>
      </c>
      <c r="O27" s="5">
        <f>MEDIAN(C27:L27)</f>
        <v>9.052607179922828E-2</v>
      </c>
    </row>
    <row r="28" spans="2:15" x14ac:dyDescent="0.45">
      <c r="B28" s="43" t="s">
        <v>143</v>
      </c>
      <c r="C28" s="55">
        <f>IFERROR(FS!C29/FS!C24,0)</f>
        <v>11.570320730927989</v>
      </c>
      <c r="D28" s="55">
        <f>IFERROR(FS!D29/FS!D24,0)</f>
        <v>13.638808195092116</v>
      </c>
      <c r="E28" s="55">
        <f>IFERROR(FS!E29/FS!E24,0)</f>
        <v>22.104227113556771</v>
      </c>
      <c r="F28" s="55">
        <f>IFERROR(FS!F29/FS!F24,0)</f>
        <v>7.9826496898970181</v>
      </c>
      <c r="G28" s="55">
        <f>IFERROR(FS!G29/FS!G24,0)</f>
        <v>8.3272940117064405</v>
      </c>
      <c r="H28" s="55">
        <f>IFERROR(FS!H29/FS!H24,0)</f>
        <v>16.285336768737821</v>
      </c>
      <c r="I28" s="55">
        <f>IFERROR(FS!I29/FS!I24,0)</f>
        <v>45.181432510782713</v>
      </c>
      <c r="J28" s="55">
        <f>IFERROR(FS!J29/FS!J24,0)</f>
        <v>63.712838633686665</v>
      </c>
      <c r="K28" s="55">
        <f>IFERROR(FS!K29/FS!K24,0)</f>
        <v>53.029127906976754</v>
      </c>
      <c r="L28" s="55">
        <f>IFERROR(FS!L29/FS!L24,0)</f>
        <v>43.867698242965552</v>
      </c>
      <c r="M28" s="43"/>
      <c r="N28" s="56">
        <f>AVERAGE(C28:L28)</f>
        <v>28.56997338043298</v>
      </c>
      <c r="O28" s="56">
        <f>MEDIAN(C28:L28)</f>
        <v>19.194781941147298</v>
      </c>
    </row>
    <row r="29" spans="2:15" x14ac:dyDescent="0.45">
      <c r="N29" s="5"/>
      <c r="O29" s="5"/>
    </row>
    <row r="30" spans="2:15" x14ac:dyDescent="0.45">
      <c r="B30" s="38" t="s">
        <v>144</v>
      </c>
      <c r="C30" s="51">
        <f>IFERROR(FS!C9/FS!C62,0)</f>
        <v>5.3645343929747185</v>
      </c>
      <c r="D30" s="51">
        <f>IFERROR(FS!D9/FS!D62,0)</f>
        <v>4.2043181033286796</v>
      </c>
      <c r="E30" s="51">
        <f>IFERROR(FS!E9/FS!E62,0)</f>
        <v>4.38430513383343</v>
      </c>
      <c r="F30" s="51">
        <f>IFERROR(FS!F9/FS!F62,0)</f>
        <v>3.3894447799694958</v>
      </c>
      <c r="G30" s="51">
        <f>IFERROR(FS!G9/FS!G62,0)</f>
        <v>3.2716406654510251</v>
      </c>
      <c r="H30" s="51">
        <f>IFERROR(FS!H9/FS!H62,0)</f>
        <v>3.4854753726685659</v>
      </c>
      <c r="I30" s="51">
        <f>IFERROR(FS!I9/FS!I62,0)</f>
        <v>3.696795197210144</v>
      </c>
      <c r="J30" s="51">
        <f>IFERROR(FS!J9/FS!J62,0)</f>
        <v>3.6867908044091373</v>
      </c>
      <c r="K30" s="51">
        <f>IFERROR(FS!K9/FS!K62,0)</f>
        <v>3.8366605440743591</v>
      </c>
      <c r="L30" s="51">
        <f>IFERROR(FS!L9/FS!L62,0)</f>
        <v>4.3110725311728562</v>
      </c>
      <c r="M30" s="38"/>
      <c r="N30" s="52">
        <f>AVERAGE(C30:L30)</f>
        <v>3.963103752509241</v>
      </c>
      <c r="O30" s="52">
        <f>MEDIAN(C30:L30)</f>
        <v>3.7667278706422516</v>
      </c>
    </row>
    <row r="31" spans="2:15" x14ac:dyDescent="0.45">
      <c r="B31" t="s">
        <v>145</v>
      </c>
      <c r="C31" s="53">
        <f>IFERROR(FS!C9/FS!C53,0)</f>
        <v>1.9442138861621734</v>
      </c>
      <c r="D31" s="53">
        <f>IFERROR(FS!D9/FS!D53,0)</f>
        <v>2.0423357465375607</v>
      </c>
      <c r="E31" s="53">
        <f>IFERROR(FS!E9/FS!E53,0)</f>
        <v>2.1593557444230411</v>
      </c>
      <c r="F31" s="53">
        <f>IFERROR(FS!F9/FS!F53,0)</f>
        <v>1.6982589445704932</v>
      </c>
      <c r="G31" s="53">
        <f>IFERROR(FS!G9/FS!G53,0)</f>
        <v>2.2947779547153782</v>
      </c>
      <c r="H31" s="53">
        <f>IFERROR(FS!H9/FS!H53,0)</f>
        <v>2.2468369803879442</v>
      </c>
      <c r="I31" s="53">
        <f>IFERROR(FS!I9/FS!I53,0)</f>
        <v>1.9373322090399203</v>
      </c>
      <c r="J31" s="53">
        <f>IFERROR(FS!J9/FS!J53,0)</f>
        <v>1.8879434259091479</v>
      </c>
      <c r="K31" s="53">
        <f>IFERROR(FS!K9/FS!K53,0)</f>
        <v>2.4612495898915627</v>
      </c>
      <c r="L31" s="53">
        <f>IFERROR(FS!L9/FS!L53,0)</f>
        <v>2.6403764278014306</v>
      </c>
      <c r="N31" s="54">
        <f>AVERAGE(C31:L31)</f>
        <v>2.1312680909438653</v>
      </c>
      <c r="O31" s="54">
        <f>MEDIAN(C31:L31)</f>
        <v>2.1008457454803011</v>
      </c>
    </row>
    <row r="32" spans="2:15" x14ac:dyDescent="0.45">
      <c r="B32" t="s">
        <v>47</v>
      </c>
      <c r="C32" s="53">
        <f>IFERROR(FS!C9/FS!C63,0)</f>
        <v>4.8327555270916145</v>
      </c>
      <c r="D32" s="53">
        <f>IFERROR(FS!D9/FS!D63,0)</f>
        <v>4.4354772410915304</v>
      </c>
      <c r="E32" s="53">
        <f>IFERROR(FS!E9/FS!E63,0)</f>
        <v>4.6215890680408203</v>
      </c>
      <c r="F32" s="53">
        <f>IFERROR(FS!F9/FS!F63,0)</f>
        <v>3.8498261075560736</v>
      </c>
      <c r="G32" s="53">
        <f>IFERROR(FS!G9/FS!G63,0)</f>
        <v>3.6857701896276684</v>
      </c>
      <c r="H32" s="53">
        <f>IFERROR(FS!H9/FS!H63,0)</f>
        <v>4.1698465648845273</v>
      </c>
      <c r="I32" s="53">
        <f>IFERROR(FS!I9/FS!I63,0)</f>
        <v>3.723248364458454</v>
      </c>
      <c r="J32" s="53">
        <f>IFERROR(FS!J9/FS!J63,0)</f>
        <v>4.3309722099285954</v>
      </c>
      <c r="K32" s="53">
        <f>IFERROR(FS!K9/FS!K63,0)</f>
        <v>4.1744003880890892</v>
      </c>
      <c r="L32" s="53">
        <f>IFERROR(FS!L9/FS!L63,0)</f>
        <v>4.9144127300677214</v>
      </c>
      <c r="N32" s="54">
        <f>AVERAGE(C32:L32)</f>
        <v>4.2738298390836089</v>
      </c>
      <c r="O32" s="54">
        <f>MEDIAN(C32:L32)</f>
        <v>4.2526862990088423</v>
      </c>
    </row>
    <row r="33" spans="2:15" x14ac:dyDescent="0.45">
      <c r="B33" t="s">
        <v>146</v>
      </c>
      <c r="C33" s="53">
        <f>IFERROR(FS!C9/FS!C56,0)</f>
        <v>2.159832430118108</v>
      </c>
      <c r="D33" s="53">
        <f>IFERROR(FS!D9/FS!D56,0)</f>
        <v>1.794769487627778</v>
      </c>
      <c r="E33" s="53">
        <f>IFERROR(FS!E9/FS!E56,0)</f>
        <v>1.7865989407739784</v>
      </c>
      <c r="F33" s="53">
        <f>IFERROR(FS!F9/FS!F56,0)</f>
        <v>1.4050788615924019</v>
      </c>
      <c r="G33" s="53">
        <f>IFERROR(FS!G9/FS!G56,0)</f>
        <v>1.3310675592378645</v>
      </c>
      <c r="H33" s="53">
        <f>IFERROR(FS!H9/FS!H56,0)</f>
        <v>1.4372840791161694</v>
      </c>
      <c r="I33" s="53">
        <f>IFERROR(FS!I9/FS!I56,0)</f>
        <v>1.5542231283098671</v>
      </c>
      <c r="J33" s="53">
        <f>IFERROR(FS!J9/FS!J56,0)</f>
        <v>1.7054585098891866</v>
      </c>
      <c r="K33" s="53">
        <f>IFERROR(FS!K9/FS!K56,0)</f>
        <v>1.8235976570550965</v>
      </c>
      <c r="L33" s="53">
        <f>IFERROR(FS!L9/FS!L56,0)</f>
        <v>2.0893566000815116</v>
      </c>
      <c r="N33" s="54">
        <f>AVERAGE(C33:L33)</f>
        <v>1.7087267253801961</v>
      </c>
      <c r="O33" s="54">
        <f>MEDIAN(C33:L33)</f>
        <v>1.7460287253315825</v>
      </c>
    </row>
    <row r="34" spans="2:15" x14ac:dyDescent="0.45">
      <c r="B34" s="43" t="s">
        <v>147</v>
      </c>
      <c r="C34" s="55">
        <f>IFERROR(FS!C9/SUM(FS!C50:C51),0)</f>
        <v>1.068410712342456</v>
      </c>
      <c r="D34" s="55">
        <f>IFERROR(FS!D9/SUM(FS!D50:D51),0)</f>
        <v>0.86370188051353314</v>
      </c>
      <c r="E34" s="55">
        <f>IFERROR(FS!E9/SUM(FS!E50:E51),0)</f>
        <v>0.86186474932770951</v>
      </c>
      <c r="F34" s="55">
        <f>IFERROR(FS!F9/SUM(FS!F50:F51),0)</f>
        <v>0.6913761013892793</v>
      </c>
      <c r="G34" s="55">
        <f>IFERROR(FS!G9/SUM(FS!G50:G51),0)</f>
        <v>0.70192151186237994</v>
      </c>
      <c r="H34" s="55">
        <f>IFERROR(FS!H9/SUM(FS!H50:H51),0)</f>
        <v>0.72545894184067194</v>
      </c>
      <c r="I34" s="55">
        <f>IFERROR(FS!I9/SUM(FS!I50:I51),0)</f>
        <v>0.72096719137339604</v>
      </c>
      <c r="J34" s="55">
        <f>IFERROR(FS!J9/SUM(FS!J50:J51),0)</f>
        <v>0.80511367967737535</v>
      </c>
      <c r="K34" s="55">
        <f>IFERROR(FS!K9/SUM(FS!K50:K51),0)</f>
        <v>0.78373751548788495</v>
      </c>
      <c r="L34" s="55">
        <f>IFERROR(FS!L9/SUM(FS!L50:L51),0)</f>
        <v>0.76172963124393811</v>
      </c>
      <c r="M34" s="43"/>
      <c r="N34" s="56">
        <f>AVERAGE(C34:L34)</f>
        <v>0.79842819150586242</v>
      </c>
      <c r="O34" s="56">
        <f>MEDIAN(C34:L34)</f>
        <v>0.77273357336591153</v>
      </c>
    </row>
    <row r="35" spans="2:15" x14ac:dyDescent="0.45">
      <c r="N35" s="5"/>
      <c r="O35" s="5"/>
    </row>
    <row r="36" spans="2:15" x14ac:dyDescent="0.45">
      <c r="B36" s="38" t="s">
        <v>46</v>
      </c>
      <c r="C36" s="47">
        <f>365/C30</f>
        <v>68.039455666086567</v>
      </c>
      <c r="D36" s="47">
        <f t="shared" ref="D36:L36" si="4">365/D30</f>
        <v>86.815505161471719</v>
      </c>
      <c r="E36" s="47">
        <f t="shared" si="4"/>
        <v>83.251504824177502</v>
      </c>
      <c r="F36" s="47">
        <f t="shared" si="4"/>
        <v>107.68725372280144</v>
      </c>
      <c r="G36" s="47">
        <f t="shared" si="4"/>
        <v>111.56481940527581</v>
      </c>
      <c r="H36" s="47">
        <f t="shared" si="4"/>
        <v>104.72029234868671</v>
      </c>
      <c r="I36" s="47">
        <f t="shared" si="4"/>
        <v>98.734168523983726</v>
      </c>
      <c r="J36" s="47">
        <f t="shared" si="4"/>
        <v>99.002091348249593</v>
      </c>
      <c r="K36" s="47">
        <f t="shared" si="4"/>
        <v>95.134817325378123</v>
      </c>
      <c r="L36" s="47">
        <f t="shared" si="4"/>
        <v>84.665706123181209</v>
      </c>
      <c r="M36" s="38"/>
      <c r="N36" s="47">
        <f>AVERAGE(C36:L36)</f>
        <v>93.961561444929231</v>
      </c>
      <c r="O36" s="47">
        <f>MEDIAN(C36:L36)</f>
        <v>96.934492924680924</v>
      </c>
    </row>
    <row r="37" spans="2:15" x14ac:dyDescent="0.45">
      <c r="B37" t="s">
        <v>148</v>
      </c>
      <c r="C37" s="48">
        <f>365/C31</f>
        <v>187.73654616802492</v>
      </c>
      <c r="D37" s="48">
        <f t="shared" ref="D37:L37" si="5">365/D31</f>
        <v>178.71694241203807</v>
      </c>
      <c r="E37" s="48">
        <f t="shared" si="5"/>
        <v>169.03189802916168</v>
      </c>
      <c r="F37" s="48">
        <f t="shared" si="5"/>
        <v>214.92599886898412</v>
      </c>
      <c r="G37" s="48">
        <f t="shared" si="5"/>
        <v>159.0567833589246</v>
      </c>
      <c r="H37" s="48">
        <f t="shared" si="5"/>
        <v>162.45059307194518</v>
      </c>
      <c r="I37" s="48">
        <f t="shared" si="5"/>
        <v>188.40341284620581</v>
      </c>
      <c r="J37" s="48">
        <f t="shared" si="5"/>
        <v>193.33206439924572</v>
      </c>
      <c r="K37" s="48">
        <f t="shared" si="5"/>
        <v>148.29865345597929</v>
      </c>
      <c r="L37" s="48">
        <f t="shared" si="5"/>
        <v>138.2378649334957</v>
      </c>
      <c r="N37" s="48">
        <f>AVERAGE(C37:L37)</f>
        <v>174.01907575440049</v>
      </c>
      <c r="O37" s="48">
        <f>MEDIAN(C37:L37)</f>
        <v>173.87442022059986</v>
      </c>
    </row>
    <row r="38" spans="2:15" x14ac:dyDescent="0.45">
      <c r="B38" t="s">
        <v>149</v>
      </c>
      <c r="C38" s="48">
        <f>365/C32</f>
        <v>75.526270251799701</v>
      </c>
      <c r="D38" s="48">
        <f t="shared" ref="D38:L38" si="6">365/D32</f>
        <v>82.291032094254831</v>
      </c>
      <c r="E38" s="48">
        <f t="shared" si="6"/>
        <v>78.977164483109362</v>
      </c>
      <c r="F38" s="48">
        <f t="shared" si="6"/>
        <v>94.809477052382348</v>
      </c>
      <c r="G38" s="48">
        <f t="shared" si="6"/>
        <v>99.029505699288265</v>
      </c>
      <c r="H38" s="48">
        <f t="shared" si="6"/>
        <v>87.533196802436223</v>
      </c>
      <c r="I38" s="48">
        <f t="shared" si="6"/>
        <v>98.032675844091642</v>
      </c>
      <c r="J38" s="48">
        <f t="shared" si="6"/>
        <v>84.276689460913843</v>
      </c>
      <c r="K38" s="48">
        <f t="shared" si="6"/>
        <v>87.43770747086522</v>
      </c>
      <c r="L38" s="48">
        <f t="shared" si="6"/>
        <v>74.271336179566305</v>
      </c>
      <c r="N38" s="48">
        <f>AVERAGE(C38:L38)</f>
        <v>86.218505533870783</v>
      </c>
      <c r="O38" s="48">
        <f>MEDIAN(C38:L38)</f>
        <v>85.857198465889525</v>
      </c>
    </row>
    <row r="39" spans="2:15" x14ac:dyDescent="0.45">
      <c r="B39" s="43" t="s">
        <v>150</v>
      </c>
      <c r="C39" s="49">
        <f>SUM(C38,C36)-C37</f>
        <v>-44.170820250138661</v>
      </c>
      <c r="D39" s="49">
        <f t="shared" ref="D39:L39" si="7">SUM(D38,D36)-D37</f>
        <v>-9.6104051563115149</v>
      </c>
      <c r="E39" s="49">
        <f t="shared" si="7"/>
        <v>-6.8032287218748309</v>
      </c>
      <c r="F39" s="49">
        <f t="shared" si="7"/>
        <v>-12.429268093800346</v>
      </c>
      <c r="G39" s="50">
        <f t="shared" si="7"/>
        <v>51.537541745639459</v>
      </c>
      <c r="H39" s="50">
        <f t="shared" si="7"/>
        <v>29.802896079177771</v>
      </c>
      <c r="I39" s="50">
        <f t="shared" si="7"/>
        <v>8.3634315218695576</v>
      </c>
      <c r="J39" s="49">
        <f t="shared" si="7"/>
        <v>-10.053283590082287</v>
      </c>
      <c r="K39" s="50">
        <f t="shared" si="7"/>
        <v>34.273871340264037</v>
      </c>
      <c r="L39" s="50">
        <f t="shared" si="7"/>
        <v>20.6991773692518</v>
      </c>
      <c r="M39" s="43"/>
      <c r="N39" s="50">
        <f>AVERAGE(C39:L39)</f>
        <v>6.1609912243994982</v>
      </c>
      <c r="O39" s="50">
        <f>MEDIAN(C39:L39)</f>
        <v>0.78010139999736339</v>
      </c>
    </row>
    <row r="40" spans="2:15" x14ac:dyDescent="0.45">
      <c r="C40" t="s">
        <v>96</v>
      </c>
    </row>
  </sheetData>
  <mergeCells count="1">
    <mergeCell ref="B5:O5"/>
  </mergeCells>
  <printOptions horizontalCentered="1"/>
  <pageMargins left="0.19685039370078741" right="0.19685039370078741" top="0.39370078740157483" bottom="0" header="0" footer="0"/>
  <pageSetup paperSize="6" scale="50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51D82F08-13B1-4F91-9526-1685675A019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Ratio!C8:L8</xm:f>
              <xm:sqref>M8</xm:sqref>
            </x14:sparkline>
            <x14:sparkline>
              <xm:f>Ratio!C9:L9</xm:f>
              <xm:sqref>M9</xm:sqref>
            </x14:sparkline>
            <x14:sparkline>
              <xm:f>Ratio!C10:L10</xm:f>
              <xm:sqref>M10</xm:sqref>
            </x14:sparkline>
            <x14:sparkline>
              <xm:f>Ratio!C11:L11</xm:f>
              <xm:sqref>M11</xm:sqref>
            </x14:sparkline>
            <x14:sparkline>
              <xm:f>Ratio!C12:L12</xm:f>
              <xm:sqref>M12</xm:sqref>
            </x14:sparkline>
          </x14:sparklines>
        </x14:sparklineGroup>
        <x14:sparklineGroup displayEmptyCellsAs="gap" markers="1" xr2:uid="{B4485AD5-850A-4A12-870B-0BC57E24C1EB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Ratio!C14:L14</xm:f>
              <xm:sqref>M14</xm:sqref>
            </x14:sparkline>
            <x14:sparkline>
              <xm:f>Ratio!C15:L15</xm:f>
              <xm:sqref>M15</xm:sqref>
            </x14:sparkline>
            <x14:sparkline>
              <xm:f>Ratio!C16:L16</xm:f>
              <xm:sqref>M16</xm:sqref>
            </x14:sparkline>
            <x14:sparkline>
              <xm:f>Ratio!C17:L17</xm:f>
              <xm:sqref>M17</xm:sqref>
            </x14:sparkline>
            <x14:sparkline>
              <xm:f>Ratio!C18:L18</xm:f>
              <xm:sqref>M18</xm:sqref>
            </x14:sparkline>
            <x14:sparkline>
              <xm:f>Ratio!C19:L19</xm:f>
              <xm:sqref>M19</xm:sqref>
            </x14:sparkline>
            <x14:sparkline>
              <xm:f>Ratio!C20:L20</xm:f>
              <xm:sqref>M20</xm:sqref>
            </x14:sparkline>
            <x14:sparkline>
              <xm:f>Ratio!C21:L21</xm:f>
              <xm:sqref>M21</xm:sqref>
            </x14:sparkline>
            <x14:sparkline>
              <xm:f>Ratio!C22:L22</xm:f>
              <xm:sqref>M22</xm:sqref>
            </x14:sparkline>
            <x14:sparkline>
              <xm:f>Ratio!C23:L23</xm:f>
              <xm:sqref>M23</xm:sqref>
            </x14:sparkline>
            <x14:sparkline>
              <xm:f>Ratio!C24:L24</xm:f>
              <xm:sqref>M24</xm:sqref>
            </x14:sparkline>
            <x14:sparkline>
              <xm:f>Ratio!C25:L25</xm:f>
              <xm:sqref>M25</xm:sqref>
            </x14:sparkline>
            <x14:sparkline>
              <xm:f>Ratio!C26:L26</xm:f>
              <xm:sqref>M26</xm:sqref>
            </x14:sparkline>
            <x14:sparkline>
              <xm:f>Ratio!C27:L27</xm:f>
              <xm:sqref>M27</xm:sqref>
            </x14:sparkline>
            <x14:sparkline>
              <xm:f>Ratio!C28:L28</xm:f>
              <xm:sqref>M28</xm:sqref>
            </x14:sparkline>
            <x14:sparkline>
              <xm:f>Ratio!C29:L29</xm:f>
              <xm:sqref>M29</xm:sqref>
            </x14:sparkline>
            <x14:sparkline>
              <xm:f>Ratio!C30:L30</xm:f>
              <xm:sqref>M30</xm:sqref>
            </x14:sparkline>
            <x14:sparkline>
              <xm:f>Ratio!C31:L31</xm:f>
              <xm:sqref>M31</xm:sqref>
            </x14:sparkline>
            <x14:sparkline>
              <xm:f>Ratio!C32:L32</xm:f>
              <xm:sqref>M32</xm:sqref>
            </x14:sparkline>
            <x14:sparkline>
              <xm:f>Ratio!C33:L33</xm:f>
              <xm:sqref>M33</xm:sqref>
            </x14:sparkline>
            <x14:sparkline>
              <xm:f>Ratio!C34:L34</xm:f>
              <xm:sqref>M34</xm:sqref>
            </x14:sparkline>
            <x14:sparkline>
              <xm:f>Ratio!C35:L35</xm:f>
              <xm:sqref>M35</xm:sqref>
            </x14:sparkline>
            <x14:sparkline>
              <xm:f>Ratio!C36:L36</xm:f>
              <xm:sqref>M36</xm:sqref>
            </x14:sparkline>
            <x14:sparkline>
              <xm:f>Ratio!C37:L37</xm:f>
              <xm:sqref>M37</xm:sqref>
            </x14:sparkline>
            <x14:sparkline>
              <xm:f>Ratio!C38:L38</xm:f>
              <xm:sqref>M38</xm:sqref>
            </x14:sparkline>
            <x14:sparkline>
              <xm:f>Ratio!C39:L39</xm:f>
              <xm:sqref>M39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CCE1-097D-4E1F-9D31-F09EBEF6FAD3}">
  <dimension ref="B5:O22"/>
  <sheetViews>
    <sheetView showGridLines="0" tabSelected="1" zoomScale="68" workbookViewId="0">
      <selection activeCell="P38" sqref="A1:P38"/>
    </sheetView>
  </sheetViews>
  <sheetFormatPr defaultRowHeight="14.25" x14ac:dyDescent="0.45"/>
  <cols>
    <col min="1" max="1" width="2.1328125" customWidth="1"/>
    <col min="2" max="2" width="11.3984375" customWidth="1"/>
    <col min="3" max="3" width="9.3984375" customWidth="1"/>
    <col min="4" max="4" width="11.3984375" customWidth="1"/>
    <col min="5" max="5" width="12.3984375" customWidth="1"/>
    <col min="7" max="7" width="11.3984375" customWidth="1"/>
    <col min="8" max="8" width="9.3984375" customWidth="1"/>
    <col min="9" max="9" width="11.3984375" customWidth="1"/>
    <col min="10" max="10" width="13.3984375" customWidth="1"/>
    <col min="12" max="12" width="11.3984375" customWidth="1"/>
    <col min="14" max="14" width="7.265625" customWidth="1"/>
    <col min="15" max="15" width="12.3984375" customWidth="1"/>
  </cols>
  <sheetData>
    <row r="5" spans="2:15" x14ac:dyDescent="0.45">
      <c r="B5" s="61" t="s">
        <v>154</v>
      </c>
      <c r="C5" s="61"/>
      <c r="D5" s="61"/>
      <c r="E5" s="61"/>
      <c r="G5" s="61" t="s">
        <v>158</v>
      </c>
      <c r="H5" s="61"/>
      <c r="I5" s="61"/>
      <c r="J5" s="61"/>
      <c r="L5" s="61" t="s">
        <v>159</v>
      </c>
      <c r="M5" s="61"/>
      <c r="N5" s="61"/>
      <c r="O5" s="61"/>
    </row>
    <row r="6" spans="2:15" x14ac:dyDescent="0.45">
      <c r="B6" s="25" t="s">
        <v>156</v>
      </c>
      <c r="C6" s="65" t="s">
        <v>157</v>
      </c>
      <c r="D6" s="65" t="s">
        <v>6</v>
      </c>
      <c r="E6" s="65" t="s">
        <v>22</v>
      </c>
      <c r="G6" s="25" t="s">
        <v>156</v>
      </c>
      <c r="H6" s="65" t="s">
        <v>157</v>
      </c>
      <c r="I6" s="65" t="s">
        <v>100</v>
      </c>
      <c r="J6" s="65" t="s">
        <v>129</v>
      </c>
      <c r="L6" s="25" t="s">
        <v>156</v>
      </c>
      <c r="M6" s="65" t="s">
        <v>157</v>
      </c>
      <c r="N6" s="65" t="s">
        <v>57</v>
      </c>
      <c r="O6" s="65" t="s">
        <v>160</v>
      </c>
    </row>
    <row r="7" spans="2:15" x14ac:dyDescent="0.45">
      <c r="B7" s="20">
        <v>1</v>
      </c>
      <c r="C7" s="63">
        <v>2015</v>
      </c>
      <c r="D7" s="64" cm="1">
        <f t="array" ref="D7:D16">TRANSPOSE('Data Sheet'!B17:K17)</f>
        <v>27392.01</v>
      </c>
      <c r="E7" s="28"/>
      <c r="G7" s="20">
        <v>1</v>
      </c>
      <c r="H7" s="63">
        <v>2015</v>
      </c>
      <c r="I7" s="64" cm="1">
        <f t="array" ref="I7:I16">TRANSPOSE(FS!C21:L21)</f>
        <v>7893.819999999997</v>
      </c>
      <c r="L7" s="20">
        <v>1</v>
      </c>
      <c r="M7" s="63">
        <v>2015</v>
      </c>
      <c r="N7" s="64" cm="1">
        <f t="array" ref="N7:N16">TRANSPOSE(FS!C41:L41)</f>
        <v>25.132387022016204</v>
      </c>
    </row>
    <row r="8" spans="2:15" x14ac:dyDescent="0.45">
      <c r="B8" s="20">
        <f>B7+1</f>
        <v>2</v>
      </c>
      <c r="C8" s="63">
        <f>C7+1</f>
        <v>2016</v>
      </c>
      <c r="D8" s="64">
        <v>28487.03</v>
      </c>
      <c r="E8" s="28" cm="1">
        <f t="array" ref="E8:E16">TRANSPOSE(FS!D10:L10)</f>
        <v>3.9975890779829548E-2</v>
      </c>
      <c r="G8" s="20">
        <f>G7+1</f>
        <v>2</v>
      </c>
      <c r="H8" s="63">
        <f>H7+1</f>
        <v>2016</v>
      </c>
      <c r="I8" s="64">
        <v>8173.8999999999987</v>
      </c>
      <c r="J8" s="28" cm="1">
        <f t="array" ref="J8:J16">TRANSPOSE(Ratio!D9:L9)</f>
        <v>3.5480920517569681E-2</v>
      </c>
      <c r="L8" s="20">
        <f>L7+1</f>
        <v>2</v>
      </c>
      <c r="M8" s="63">
        <f>M7+1</f>
        <v>2016</v>
      </c>
      <c r="N8" s="64">
        <v>23.681223251755512</v>
      </c>
      <c r="O8" s="28" cm="1">
        <f t="array" ref="O8:O16">TRANSPOSE(FS!D42:L42)</f>
        <v>-5.7740785584332266E-2</v>
      </c>
    </row>
    <row r="9" spans="2:15" x14ac:dyDescent="0.45">
      <c r="B9" s="20">
        <f t="shared" ref="B9:B21" si="0">B8+1</f>
        <v>3</v>
      </c>
      <c r="C9" s="63">
        <f t="shared" ref="C9:C21" si="1">C8+1</f>
        <v>2017</v>
      </c>
      <c r="D9" s="64">
        <v>31578.44</v>
      </c>
      <c r="E9" s="28">
        <v>0.10851991239521985</v>
      </c>
      <c r="G9" s="20">
        <f t="shared" ref="G9:H21" si="2">G8+1</f>
        <v>3</v>
      </c>
      <c r="H9" s="63">
        <f t="shared" si="2"/>
        <v>2017</v>
      </c>
      <c r="I9" s="64">
        <v>10102.019999999997</v>
      </c>
      <c r="J9" s="28">
        <v>0.23588739769265565</v>
      </c>
      <c r="L9" s="20">
        <f t="shared" ref="L9:L21" si="3">L8+1</f>
        <v>3</v>
      </c>
      <c r="M9" s="63">
        <f t="shared" ref="M9:M21" si="4">M8+1</f>
        <v>2017</v>
      </c>
      <c r="N9" s="64">
        <v>30.1167007043721</v>
      </c>
      <c r="O9" s="28">
        <v>0.2717544353262884</v>
      </c>
    </row>
    <row r="10" spans="2:15" x14ac:dyDescent="0.45">
      <c r="B10" s="20">
        <f t="shared" si="0"/>
        <v>4</v>
      </c>
      <c r="C10" s="63">
        <f t="shared" si="1"/>
        <v>2018</v>
      </c>
      <c r="D10" s="64">
        <v>26489.46</v>
      </c>
      <c r="E10" s="28">
        <v>-0.16115362253486876</v>
      </c>
      <c r="G10" s="20">
        <f t="shared" si="2"/>
        <v>4</v>
      </c>
      <c r="H10" s="63">
        <f t="shared" si="2"/>
        <v>2018</v>
      </c>
      <c r="I10" s="64">
        <v>5631.42</v>
      </c>
      <c r="J10" s="28">
        <v>-0.44254515433546937</v>
      </c>
      <c r="L10" s="20">
        <f t="shared" si="3"/>
        <v>4</v>
      </c>
      <c r="M10" s="63">
        <f t="shared" si="4"/>
        <v>2018</v>
      </c>
      <c r="N10" s="64">
        <v>11.265660817738508</v>
      </c>
      <c r="O10" s="28">
        <v>-0.62593310175895023</v>
      </c>
    </row>
    <row r="11" spans="2:15" x14ac:dyDescent="0.45">
      <c r="B11" s="20">
        <f t="shared" si="0"/>
        <v>5</v>
      </c>
      <c r="C11" s="63">
        <f t="shared" si="1"/>
        <v>2019</v>
      </c>
      <c r="D11" s="64">
        <v>29065.91</v>
      </c>
      <c r="E11" s="28">
        <v>9.7263213368637969E-2</v>
      </c>
      <c r="G11" s="20">
        <f t="shared" si="2"/>
        <v>5</v>
      </c>
      <c r="H11" s="63">
        <f t="shared" si="2"/>
        <v>2019</v>
      </c>
      <c r="I11" s="64">
        <v>6376.9800000000014</v>
      </c>
      <c r="J11" s="28">
        <v>0.13239289557518386</v>
      </c>
      <c r="L11" s="20">
        <f t="shared" si="3"/>
        <v>5</v>
      </c>
      <c r="M11" s="63">
        <f t="shared" si="4"/>
        <v>2019</v>
      </c>
      <c r="N11" s="64">
        <v>14.452548660025846</v>
      </c>
      <c r="O11" s="28">
        <v>0.28288512266136911</v>
      </c>
    </row>
    <row r="12" spans="2:15" x14ac:dyDescent="0.45">
      <c r="B12" s="20">
        <f t="shared" si="0"/>
        <v>6</v>
      </c>
      <c r="C12" s="63">
        <f t="shared" si="1"/>
        <v>2020</v>
      </c>
      <c r="D12" s="64">
        <v>32837.5</v>
      </c>
      <c r="E12" s="28">
        <v>0.12975991462163061</v>
      </c>
      <c r="G12" s="20">
        <f t="shared" si="2"/>
        <v>6</v>
      </c>
      <c r="H12" s="63">
        <f t="shared" si="2"/>
        <v>2020</v>
      </c>
      <c r="I12" s="64">
        <v>6982.8400000000011</v>
      </c>
      <c r="J12" s="28">
        <v>9.5007354578499514E-2</v>
      </c>
      <c r="L12" s="20">
        <f t="shared" si="3"/>
        <v>6</v>
      </c>
      <c r="M12" s="63">
        <f t="shared" si="4"/>
        <v>2020</v>
      </c>
      <c r="N12" s="64">
        <v>15.85683324302922</v>
      </c>
      <c r="O12" s="28">
        <v>9.7165186295997019E-2</v>
      </c>
    </row>
    <row r="13" spans="2:15" x14ac:dyDescent="0.45">
      <c r="B13" s="20">
        <f t="shared" si="0"/>
        <v>7</v>
      </c>
      <c r="C13" s="63">
        <f t="shared" si="1"/>
        <v>2021</v>
      </c>
      <c r="D13" s="64">
        <v>33498.14</v>
      </c>
      <c r="E13" s="28">
        <v>2.0118462124095959E-2</v>
      </c>
      <c r="G13" s="20">
        <f t="shared" si="2"/>
        <v>7</v>
      </c>
      <c r="H13" s="63">
        <f t="shared" si="2"/>
        <v>2021</v>
      </c>
      <c r="I13" s="64">
        <v>8469.9599999999991</v>
      </c>
      <c r="J13" s="28">
        <v>0.21296778960995777</v>
      </c>
      <c r="L13" s="20">
        <f t="shared" si="3"/>
        <v>7</v>
      </c>
      <c r="M13" s="63">
        <f t="shared" si="4"/>
        <v>2021</v>
      </c>
      <c r="N13" s="64">
        <v>23.898178635435332</v>
      </c>
      <c r="O13" s="28">
        <v>0.50712177325451457</v>
      </c>
    </row>
    <row r="14" spans="2:15" x14ac:dyDescent="0.45">
      <c r="B14" s="20">
        <f t="shared" si="0"/>
        <v>8</v>
      </c>
      <c r="C14" s="63">
        <f t="shared" si="1"/>
        <v>2022</v>
      </c>
      <c r="D14" s="64">
        <v>38654.49</v>
      </c>
      <c r="E14" s="28">
        <v>0.15392944205260339</v>
      </c>
      <c r="G14" s="20">
        <f t="shared" si="2"/>
        <v>8</v>
      </c>
      <c r="H14" s="63">
        <f t="shared" si="2"/>
        <v>2022</v>
      </c>
      <c r="I14" s="64">
        <v>10257.569999999996</v>
      </c>
      <c r="J14" s="28">
        <v>0.21105294476006931</v>
      </c>
      <c r="L14" s="20">
        <f t="shared" si="3"/>
        <v>8</v>
      </c>
      <c r="M14" s="63">
        <f t="shared" si="4"/>
        <v>2022</v>
      </c>
      <c r="N14" s="64">
        <v>28.804151210769788</v>
      </c>
      <c r="O14" s="28">
        <v>0.2052864634654652</v>
      </c>
    </row>
    <row r="15" spans="2:15" x14ac:dyDescent="0.45">
      <c r="B15" s="20">
        <f t="shared" si="0"/>
        <v>9</v>
      </c>
      <c r="C15" s="63">
        <f t="shared" si="1"/>
        <v>2023</v>
      </c>
      <c r="D15" s="64">
        <v>43885.68</v>
      </c>
      <c r="E15" s="28">
        <v>0.1353320144697292</v>
      </c>
      <c r="G15" s="20">
        <f t="shared" si="2"/>
        <v>9</v>
      </c>
      <c r="H15" s="63">
        <f t="shared" si="2"/>
        <v>2023</v>
      </c>
      <c r="I15" s="64">
        <v>11650.440000000002</v>
      </c>
      <c r="J15" s="28">
        <v>0.13578947060561197</v>
      </c>
      <c r="L15" s="20">
        <f t="shared" si="3"/>
        <v>9</v>
      </c>
      <c r="M15" s="63">
        <f t="shared" si="4"/>
        <v>2023</v>
      </c>
      <c r="N15" s="64">
        <v>33.765765014795988</v>
      </c>
      <c r="O15" s="28">
        <v>0.17225342860202275</v>
      </c>
    </row>
    <row r="16" spans="2:15" x14ac:dyDescent="0.45">
      <c r="B16" s="20">
        <f t="shared" si="0"/>
        <v>10</v>
      </c>
      <c r="C16" s="63">
        <f t="shared" si="1"/>
        <v>2024</v>
      </c>
      <c r="D16" s="64">
        <v>48496.85</v>
      </c>
      <c r="E16" s="28">
        <v>0.10507231516066295</v>
      </c>
      <c r="G16" s="20">
        <f t="shared" si="2"/>
        <v>10</v>
      </c>
      <c r="H16" s="63">
        <f t="shared" si="2"/>
        <v>2024</v>
      </c>
      <c r="I16" s="64">
        <v>13017.769999999995</v>
      </c>
      <c r="J16" s="28">
        <v>0.11736294938216862</v>
      </c>
      <c r="L16" s="20">
        <f t="shared" si="3"/>
        <v>10</v>
      </c>
      <c r="M16" s="63">
        <f t="shared" si="4"/>
        <v>2024</v>
      </c>
      <c r="N16" s="64">
        <v>36.607385487433817</v>
      </c>
      <c r="O16" s="28">
        <v>8.4156851514918918E-2</v>
      </c>
    </row>
    <row r="17" spans="2:15" x14ac:dyDescent="0.45">
      <c r="B17" s="66">
        <f>B16+1</f>
        <v>11</v>
      </c>
      <c r="C17" s="67">
        <f>C16+1</f>
        <v>2025</v>
      </c>
      <c r="D17" s="68">
        <f>FORECAST(B17,$D$7:$D$16,$B$7:$B$16)</f>
        <v>45968.950666666657</v>
      </c>
      <c r="E17" s="69">
        <f>D17/D16-1</f>
        <v>-5.2125021178351605E-2</v>
      </c>
      <c r="G17" s="66">
        <f>G16+1</f>
        <v>11</v>
      </c>
      <c r="H17" s="67">
        <f>H16+1</f>
        <v>2025</v>
      </c>
      <c r="I17" s="68">
        <f>FORECAST(G17,$I$7:$I$16,$G$7:$G$16)</f>
        <v>11534.023999999998</v>
      </c>
      <c r="J17" s="69">
        <f>I17/I16-1</f>
        <v>-0.11397850783966823</v>
      </c>
      <c r="L17" s="66">
        <f>L16+1</f>
        <v>11</v>
      </c>
      <c r="M17" s="67">
        <f>M16+1</f>
        <v>2025</v>
      </c>
      <c r="N17" s="68">
        <f>FORECAST(L17,$N$7:$N$16,$L$7:$L$16)</f>
        <v>31.244945708008032</v>
      </c>
      <c r="O17" s="69">
        <f>N17/N16-1</f>
        <v>-0.14648518893179474</v>
      </c>
    </row>
    <row r="18" spans="2:15" x14ac:dyDescent="0.45">
      <c r="B18" s="66">
        <f t="shared" si="0"/>
        <v>12</v>
      </c>
      <c r="C18" s="67">
        <f t="shared" si="1"/>
        <v>2026</v>
      </c>
      <c r="D18" s="68">
        <f t="shared" ref="D18:D21" si="5">FORECAST(B18,$D$7:$D$16,$B$7:$B$16)</f>
        <v>48138.114242424235</v>
      </c>
      <c r="E18" s="69">
        <f t="shared" ref="E18:E21" si="6">D18/D17-1</f>
        <v>4.7187580840963195E-2</v>
      </c>
      <c r="G18" s="66">
        <f t="shared" si="2"/>
        <v>12</v>
      </c>
      <c r="H18" s="67">
        <f t="shared" si="2"/>
        <v>2026</v>
      </c>
      <c r="I18" s="68">
        <f t="shared" ref="I18:I21" si="7">FORECAST(G18,$I$7:$I$16,$G$7:$G$16)</f>
        <v>12020.99709090909</v>
      </c>
      <c r="J18" s="69">
        <f t="shared" ref="J18:J21" si="8">I18/I17-1</f>
        <v>4.2220572014510571E-2</v>
      </c>
      <c r="L18" s="66">
        <f t="shared" ref="L18:L21" si="9">L17+1</f>
        <v>12</v>
      </c>
      <c r="M18" s="67">
        <f t="shared" ref="M18:M21" si="10">M17+1</f>
        <v>2026</v>
      </c>
      <c r="N18" s="68">
        <f t="shared" ref="N18:N21" si="11">FORECAST(L18,$N$7:$N$16,$L$7:$L$16)</f>
        <v>32.497102490420907</v>
      </c>
      <c r="O18" s="69">
        <f t="shared" ref="O18:O21" si="12">N18/N17-1</f>
        <v>4.0075498741927618E-2</v>
      </c>
    </row>
    <row r="19" spans="2:15" x14ac:dyDescent="0.45">
      <c r="B19" s="66">
        <f t="shared" si="0"/>
        <v>13</v>
      </c>
      <c r="C19" s="67">
        <f t="shared" si="1"/>
        <v>2027</v>
      </c>
      <c r="D19" s="68">
        <f t="shared" si="5"/>
        <v>50307.277818181814</v>
      </c>
      <c r="E19" s="69">
        <f t="shared" si="6"/>
        <v>4.5061249487955424E-2</v>
      </c>
      <c r="G19" s="66">
        <f t="shared" si="2"/>
        <v>13</v>
      </c>
      <c r="H19" s="67">
        <f t="shared" si="2"/>
        <v>2027</v>
      </c>
      <c r="I19" s="68">
        <f t="shared" si="7"/>
        <v>12507.97018181818</v>
      </c>
      <c r="J19" s="69">
        <f t="shared" si="8"/>
        <v>4.0510207865981807E-2</v>
      </c>
      <c r="L19" s="66">
        <f t="shared" si="9"/>
        <v>13</v>
      </c>
      <c r="M19" s="67">
        <f t="shared" si="10"/>
        <v>2027</v>
      </c>
      <c r="N19" s="68">
        <f t="shared" si="11"/>
        <v>33.749259272833783</v>
      </c>
      <c r="O19" s="69">
        <f t="shared" si="12"/>
        <v>3.8531336225497981E-2</v>
      </c>
    </row>
    <row r="20" spans="2:15" x14ac:dyDescent="0.45">
      <c r="B20" s="66">
        <f t="shared" si="0"/>
        <v>14</v>
      </c>
      <c r="C20" s="67">
        <f t="shared" si="1"/>
        <v>2028</v>
      </c>
      <c r="D20" s="68">
        <f t="shared" si="5"/>
        <v>52476.441393939385</v>
      </c>
      <c r="E20" s="69">
        <f t="shared" si="6"/>
        <v>4.3118285660322497E-2</v>
      </c>
      <c r="G20" s="66">
        <f t="shared" si="2"/>
        <v>14</v>
      </c>
      <c r="H20" s="67">
        <f t="shared" si="2"/>
        <v>2028</v>
      </c>
      <c r="I20" s="68">
        <f t="shared" si="7"/>
        <v>12994.943272727272</v>
      </c>
      <c r="J20" s="69">
        <f t="shared" si="8"/>
        <v>3.8933023010957024E-2</v>
      </c>
      <c r="L20" s="66">
        <f t="shared" si="9"/>
        <v>14</v>
      </c>
      <c r="M20" s="67">
        <f t="shared" si="10"/>
        <v>2028</v>
      </c>
      <c r="N20" s="68">
        <f t="shared" si="11"/>
        <v>35.001416055246651</v>
      </c>
      <c r="O20" s="69">
        <f t="shared" si="12"/>
        <v>3.7101755990857521E-2</v>
      </c>
    </row>
    <row r="21" spans="2:15" x14ac:dyDescent="0.45">
      <c r="B21" s="66">
        <f t="shared" si="0"/>
        <v>15</v>
      </c>
      <c r="C21" s="67">
        <f t="shared" si="1"/>
        <v>2029</v>
      </c>
      <c r="D21" s="68">
        <f t="shared" si="5"/>
        <v>54645.604969696964</v>
      </c>
      <c r="E21" s="69">
        <f t="shared" si="6"/>
        <v>4.1335950345293471E-2</v>
      </c>
      <c r="G21" s="66">
        <f t="shared" si="2"/>
        <v>15</v>
      </c>
      <c r="H21" s="67">
        <f t="shared" si="2"/>
        <v>2029</v>
      </c>
      <c r="I21" s="68">
        <f t="shared" si="7"/>
        <v>13481.916363636363</v>
      </c>
      <c r="J21" s="69">
        <f t="shared" si="8"/>
        <v>3.7474045148862656E-2</v>
      </c>
      <c r="L21" s="66">
        <f t="shared" si="9"/>
        <v>15</v>
      </c>
      <c r="M21" s="67">
        <f t="shared" si="10"/>
        <v>2029</v>
      </c>
      <c r="N21" s="68">
        <f t="shared" si="11"/>
        <v>36.253572837659526</v>
      </c>
      <c r="O21" s="69">
        <f t="shared" si="12"/>
        <v>3.5774460680003894E-2</v>
      </c>
    </row>
    <row r="22" spans="2:15" x14ac:dyDescent="0.45">
      <c r="B22" s="20"/>
    </row>
  </sheetData>
  <mergeCells count="3">
    <mergeCell ref="B5:E5"/>
    <mergeCell ref="G5:J5"/>
    <mergeCell ref="L5:O5"/>
  </mergeCells>
  <printOptions horizontalCentered="1"/>
  <pageMargins left="0.39370078740157483" right="3.937007874015748E-2" top="0.39370078740157483" bottom="0.19685039370078741" header="0" footer="0"/>
  <pageSetup paperSize="3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Profit &amp; Loss</vt:lpstr>
      <vt:lpstr>Quarters</vt:lpstr>
      <vt:lpstr>Balance Sheet</vt:lpstr>
      <vt:lpstr>Cash Flow</vt:lpstr>
      <vt:lpstr>Customization</vt:lpstr>
      <vt:lpstr>Data Sheet</vt:lpstr>
      <vt:lpstr>FS</vt:lpstr>
      <vt:lpstr>Ratio</vt:lpstr>
      <vt:lpstr>Sheet1</vt:lpstr>
      <vt:lpstr>Ratio!Print_Area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udit saini</cp:lastModifiedBy>
  <cp:lastPrinted>2024-07-20T21:31:53Z</cp:lastPrinted>
  <dcterms:created xsi:type="dcterms:W3CDTF">2012-08-17T09:55:37Z</dcterms:created>
  <dcterms:modified xsi:type="dcterms:W3CDTF">2024-07-20T21:32:26Z</dcterms:modified>
</cp:coreProperties>
</file>