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FT\excel\"/>
    </mc:Choice>
  </mc:AlternateContent>
  <xr:revisionPtr revIDLastSave="0" documentId="13_ncr:1_{2208C5BC-08A1-4D65-90BB-52D35D8411B0}" xr6:coauthVersionLast="47" xr6:coauthVersionMax="47" xr10:uidLastSave="{00000000-0000-0000-0000-000000000000}"/>
  <bookViews>
    <workbookView xWindow="-108" yWindow="-108" windowWidth="23256" windowHeight="12456" activeTab="1" xr2:uid="{0F5C35C8-DB38-43E2-B7E4-8BEE540DDBE4}"/>
  </bookViews>
  <sheets>
    <sheet name="Sheet1" sheetId="1" r:id="rId1"/>
    <sheet name="Sheet2" sheetId="3" r:id="rId2"/>
    <sheet name="# Practise she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3" l="1"/>
  <c r="E59" i="3"/>
  <c r="E58" i="3"/>
  <c r="E57" i="3"/>
  <c r="E56" i="3"/>
  <c r="D60" i="3"/>
  <c r="D59" i="3"/>
  <c r="D58" i="3"/>
  <c r="D57" i="3"/>
  <c r="D56" i="3"/>
  <c r="D55" i="3"/>
  <c r="E55" i="3"/>
  <c r="E4" i="3"/>
  <c r="D16" i="3"/>
  <c r="D18" i="3"/>
  <c r="D19" i="3"/>
  <c r="D15" i="3" s="1"/>
  <c r="D20" i="3" s="1"/>
  <c r="E21" i="3" s="1"/>
  <c r="D38" i="3"/>
  <c r="D39" i="3"/>
  <c r="D40" i="3"/>
  <c r="D43" i="3" s="1"/>
  <c r="D41" i="3"/>
  <c r="D42" i="3"/>
  <c r="C441" i="1"/>
  <c r="D438" i="1"/>
  <c r="C435" i="1"/>
  <c r="C431" i="1"/>
  <c r="C430" i="1"/>
  <c r="D423" i="1"/>
  <c r="D422" i="1"/>
  <c r="D421" i="1"/>
  <c r="D386" i="1"/>
  <c r="G410" i="1"/>
  <c r="F410" i="1"/>
  <c r="E410" i="1"/>
  <c r="D410" i="1"/>
  <c r="C374" i="2"/>
  <c r="D374" i="2"/>
  <c r="E374" i="2"/>
  <c r="B374" i="2"/>
  <c r="F372" i="2"/>
  <c r="G372" i="2"/>
  <c r="E372" i="2"/>
  <c r="D372" i="2"/>
  <c r="D355" i="2"/>
  <c r="H339" i="2"/>
  <c r="G339" i="2"/>
  <c r="I307" i="2"/>
  <c r="H307" i="2"/>
  <c r="C297" i="2"/>
  <c r="C298" i="2"/>
  <c r="C299" i="2"/>
  <c r="C300" i="2"/>
  <c r="C296" i="2"/>
  <c r="C301" i="1"/>
  <c r="F287" i="2"/>
  <c r="F288" i="2"/>
  <c r="F289" i="2"/>
  <c r="F290" i="2"/>
  <c r="F291" i="2"/>
  <c r="F286" i="2"/>
  <c r="E287" i="2"/>
  <c r="E288" i="2"/>
  <c r="E289" i="2"/>
  <c r="E290" i="2"/>
  <c r="E291" i="2"/>
  <c r="E286" i="2"/>
  <c r="D291" i="1"/>
  <c r="E281" i="2"/>
  <c r="F281" i="2" s="1"/>
  <c r="E283" i="1"/>
  <c r="E273" i="2"/>
  <c r="E274" i="2"/>
  <c r="E275" i="2"/>
  <c r="E276" i="2"/>
  <c r="E272" i="2"/>
  <c r="D276" i="2"/>
  <c r="D275" i="2"/>
  <c r="D274" i="2"/>
  <c r="D273" i="2"/>
  <c r="D272" i="2"/>
  <c r="G263" i="2"/>
  <c r="G264" i="2"/>
  <c r="G265" i="2"/>
  <c r="G266" i="2"/>
  <c r="F263" i="2"/>
  <c r="H263" i="2" s="1"/>
  <c r="F264" i="2"/>
  <c r="H264" i="2" s="1"/>
  <c r="F265" i="2"/>
  <c r="H265" i="2" s="1"/>
  <c r="F266" i="2"/>
  <c r="H266" i="2" s="1"/>
  <c r="F267" i="2"/>
  <c r="G267" i="2" s="1"/>
  <c r="F268" i="2"/>
  <c r="G268" i="2" s="1"/>
  <c r="F262" i="2"/>
  <c r="F260" i="1"/>
  <c r="G260" i="1" s="1"/>
  <c r="C253" i="2"/>
  <c r="C254" i="2"/>
  <c r="C255" i="2"/>
  <c r="C256" i="2"/>
  <c r="C252" i="2"/>
  <c r="L241" i="1"/>
  <c r="K245" i="2"/>
  <c r="M245" i="2" s="1"/>
  <c r="K246" i="2"/>
  <c r="M246" i="2" s="1"/>
  <c r="J245" i="2"/>
  <c r="J246" i="2"/>
  <c r="J247" i="2"/>
  <c r="K247" i="2" s="1"/>
  <c r="M247" i="2" s="1"/>
  <c r="J248" i="2"/>
  <c r="K248" i="2" s="1"/>
  <c r="M248" i="2" s="1"/>
  <c r="J244" i="2"/>
  <c r="K244" i="2" s="1"/>
  <c r="M244" i="2" s="1"/>
  <c r="D233" i="2"/>
  <c r="D234" i="2"/>
  <c r="D235" i="2"/>
  <c r="D236" i="2"/>
  <c r="C234" i="2"/>
  <c r="C235" i="2"/>
  <c r="C236" i="2"/>
  <c r="C237" i="2"/>
  <c r="D237" i="2" s="1"/>
  <c r="C238" i="2"/>
  <c r="D238" i="2" s="1"/>
  <c r="C239" i="2"/>
  <c r="D239" i="2" s="1"/>
  <c r="C232" i="2"/>
  <c r="D232" i="2" s="1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07" i="2"/>
  <c r="D206" i="1"/>
  <c r="D195" i="2"/>
  <c r="D196" i="2"/>
  <c r="D197" i="2"/>
  <c r="D198" i="2"/>
  <c r="D199" i="2"/>
  <c r="D200" i="2"/>
  <c r="D201" i="2"/>
  <c r="D202" i="2"/>
  <c r="D203" i="2"/>
  <c r="D194" i="2"/>
  <c r="F171" i="2"/>
  <c r="F168" i="2"/>
  <c r="F169" i="2"/>
  <c r="F170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H159" i="2"/>
  <c r="H160" i="2"/>
  <c r="H161" i="2"/>
  <c r="H162" i="2"/>
  <c r="H158" i="2"/>
  <c r="C160" i="2"/>
  <c r="K140" i="2"/>
  <c r="K143" i="2"/>
  <c r="K144" i="2"/>
  <c r="K145" i="2"/>
  <c r="J140" i="2"/>
  <c r="J143" i="2"/>
  <c r="J144" i="2"/>
  <c r="J145" i="2"/>
  <c r="J136" i="2"/>
  <c r="K136" i="2" s="1"/>
  <c r="I143" i="2"/>
  <c r="I144" i="2"/>
  <c r="I145" i="2"/>
  <c r="I138" i="2"/>
  <c r="J138" i="2" s="1"/>
  <c r="K138" i="2" s="1"/>
  <c r="I139" i="2"/>
  <c r="J139" i="2" s="1"/>
  <c r="K139" i="2" s="1"/>
  <c r="I140" i="2"/>
  <c r="I141" i="2"/>
  <c r="J141" i="2" s="1"/>
  <c r="K141" i="2" s="1"/>
  <c r="I142" i="2"/>
  <c r="J142" i="2" s="1"/>
  <c r="K142" i="2" s="1"/>
  <c r="I137" i="2"/>
  <c r="J137" i="2" s="1"/>
  <c r="K137" i="2" s="1"/>
  <c r="I136" i="2"/>
  <c r="D127" i="2"/>
  <c r="G120" i="2"/>
  <c r="G113" i="2"/>
  <c r="G114" i="2"/>
  <c r="G115" i="2"/>
  <c r="G116" i="2"/>
  <c r="G117" i="2"/>
  <c r="G118" i="2"/>
  <c r="G119" i="2"/>
  <c r="G112" i="2"/>
  <c r="G121" i="1"/>
  <c r="E113" i="2"/>
  <c r="E114" i="2"/>
  <c r="E115" i="2"/>
  <c r="E116" i="2"/>
  <c r="E117" i="2"/>
  <c r="E118" i="2"/>
  <c r="E119" i="2"/>
  <c r="E120" i="2"/>
  <c r="E112" i="2"/>
  <c r="E119" i="1"/>
  <c r="B107" i="2"/>
  <c r="B106" i="2"/>
  <c r="B105" i="2"/>
  <c r="B104" i="2"/>
  <c r="C99" i="2"/>
  <c r="C98" i="2"/>
  <c r="C97" i="2"/>
  <c r="C96" i="2"/>
  <c r="C95" i="2"/>
  <c r="C94" i="2"/>
  <c r="D89" i="2"/>
  <c r="B111" i="1"/>
  <c r="G69" i="2"/>
  <c r="F69" i="2"/>
  <c r="E69" i="2"/>
  <c r="D69" i="2"/>
  <c r="C69" i="2"/>
  <c r="B69" i="2"/>
  <c r="E45" i="2"/>
  <c r="E39" i="2"/>
  <c r="D39" i="2"/>
  <c r="D40" i="2"/>
  <c r="D41" i="2"/>
  <c r="H40" i="2"/>
  <c r="E40" i="2" s="1"/>
  <c r="H39" i="2"/>
  <c r="D42" i="2" s="1"/>
  <c r="C46" i="2"/>
  <c r="D46" i="2" s="1"/>
  <c r="E23" i="2"/>
  <c r="E24" i="2"/>
  <c r="E25" i="2"/>
  <c r="E26" i="2"/>
  <c r="E27" i="2"/>
  <c r="E28" i="2"/>
  <c r="E29" i="2"/>
  <c r="E22" i="2"/>
  <c r="D30" i="2"/>
  <c r="E30" i="2" s="1"/>
  <c r="D14" i="2"/>
  <c r="E14" i="2"/>
  <c r="F14" i="2"/>
  <c r="C14" i="2"/>
  <c r="C9" i="2"/>
  <c r="D9" i="2"/>
  <c r="B9" i="2"/>
  <c r="E5" i="2"/>
  <c r="E9" i="2" s="1"/>
  <c r="E6" i="2"/>
  <c r="E7" i="2"/>
  <c r="F7" i="2" s="1"/>
  <c r="E8" i="2"/>
  <c r="F8" i="2" s="1"/>
  <c r="E4" i="2"/>
  <c r="D9" i="1"/>
  <c r="C407" i="1"/>
  <c r="D407" i="1"/>
  <c r="E407" i="1"/>
  <c r="B407" i="1"/>
  <c r="C404" i="1"/>
  <c r="D404" i="1"/>
  <c r="E404" i="1"/>
  <c r="B404" i="1"/>
  <c r="C401" i="1"/>
  <c r="D401" i="1"/>
  <c r="E401" i="1"/>
  <c r="C386" i="1"/>
  <c r="F371" i="1"/>
  <c r="F370" i="1"/>
  <c r="D365" i="1"/>
  <c r="H346" i="1"/>
  <c r="G346" i="1"/>
  <c r="K365" i="1"/>
  <c r="J365" i="1"/>
  <c r="I365" i="1"/>
  <c r="H365" i="1"/>
  <c r="G365" i="1"/>
  <c r="F365" i="1"/>
  <c r="E365" i="1"/>
  <c r="K358" i="1"/>
  <c r="L358" i="1" s="1"/>
  <c r="M358" i="1" s="1"/>
  <c r="K359" i="1"/>
  <c r="K360" i="1"/>
  <c r="L360" i="1" s="1"/>
  <c r="M360" i="1" s="1"/>
  <c r="K361" i="1"/>
  <c r="L361" i="1" s="1"/>
  <c r="M361" i="1" s="1"/>
  <c r="K357" i="1"/>
  <c r="L357" i="1" s="1"/>
  <c r="M357" i="1" s="1"/>
  <c r="E336" i="1"/>
  <c r="E337" i="1"/>
  <c r="E338" i="1"/>
  <c r="E339" i="1"/>
  <c r="E335" i="1"/>
  <c r="D327" i="1"/>
  <c r="D328" i="1"/>
  <c r="D329" i="1"/>
  <c r="D330" i="1"/>
  <c r="D331" i="1"/>
  <c r="D326" i="1"/>
  <c r="C302" i="1"/>
  <c r="C303" i="1"/>
  <c r="C304" i="1"/>
  <c r="E292" i="1"/>
  <c r="E293" i="1"/>
  <c r="E294" i="1"/>
  <c r="E295" i="1"/>
  <c r="E296" i="1"/>
  <c r="E297" i="1"/>
  <c r="E291" i="1"/>
  <c r="F318" i="1"/>
  <c r="F319" i="1"/>
  <c r="F320" i="1"/>
  <c r="F321" i="1"/>
  <c r="F322" i="1"/>
  <c r="F317" i="1"/>
  <c r="D310" i="1"/>
  <c r="D311" i="1"/>
  <c r="D312" i="1"/>
  <c r="D313" i="1"/>
  <c r="D314" i="1"/>
  <c r="D292" i="1"/>
  <c r="D293" i="1"/>
  <c r="D294" i="1"/>
  <c r="D295" i="1"/>
  <c r="D296" i="1"/>
  <c r="D297" i="1"/>
  <c r="I260" i="1"/>
  <c r="F273" i="1"/>
  <c r="F276" i="1"/>
  <c r="D272" i="1"/>
  <c r="F272" i="1" s="1"/>
  <c r="D276" i="1"/>
  <c r="D273" i="1"/>
  <c r="D274" i="1"/>
  <c r="F274" i="1" s="1"/>
  <c r="D275" i="1"/>
  <c r="F275" i="1" s="1"/>
  <c r="C273" i="1"/>
  <c r="C274" i="1"/>
  <c r="C275" i="1"/>
  <c r="C276" i="1"/>
  <c r="C272" i="1"/>
  <c r="C283" i="1"/>
  <c r="F262" i="1"/>
  <c r="E261" i="1"/>
  <c r="F261" i="1" s="1"/>
  <c r="E262" i="1"/>
  <c r="I262" i="1" s="1"/>
  <c r="E263" i="1"/>
  <c r="F263" i="1" s="1"/>
  <c r="G263" i="1" s="1"/>
  <c r="E264" i="1"/>
  <c r="F264" i="1" s="1"/>
  <c r="E265" i="1"/>
  <c r="F265" i="1" s="1"/>
  <c r="E266" i="1"/>
  <c r="F266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48" i="1"/>
  <c r="D248" i="1" s="1"/>
  <c r="I245" i="1"/>
  <c r="J245" i="1" s="1"/>
  <c r="L245" i="1" s="1"/>
  <c r="I244" i="1"/>
  <c r="J244" i="1" s="1"/>
  <c r="L244" i="1" s="1"/>
  <c r="I243" i="1"/>
  <c r="J243" i="1" s="1"/>
  <c r="L243" i="1" s="1"/>
  <c r="I242" i="1"/>
  <c r="J242" i="1" s="1"/>
  <c r="L242" i="1" s="1"/>
  <c r="I241" i="1"/>
  <c r="J241" i="1" s="1"/>
  <c r="H237" i="1"/>
  <c r="H238" i="1"/>
  <c r="H232" i="1"/>
  <c r="H233" i="1"/>
  <c r="H234" i="1"/>
  <c r="H235" i="1"/>
  <c r="H236" i="1"/>
  <c r="H231" i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0" i="1"/>
  <c r="E230" i="1" s="1"/>
  <c r="B113" i="1"/>
  <c r="E101" i="1"/>
  <c r="C105" i="1"/>
  <c r="C104" i="1"/>
  <c r="E4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E194" i="1"/>
  <c r="E195" i="1"/>
  <c r="E196" i="1"/>
  <c r="E197" i="1"/>
  <c r="E198" i="1"/>
  <c r="E199" i="1"/>
  <c r="E200" i="1"/>
  <c r="E201" i="1"/>
  <c r="E202" i="1"/>
  <c r="E193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F160" i="1"/>
  <c r="F161" i="1"/>
  <c r="F162" i="1"/>
  <c r="F163" i="1"/>
  <c r="F159" i="1"/>
  <c r="K145" i="1"/>
  <c r="L145" i="1" s="1"/>
  <c r="K146" i="1"/>
  <c r="L146" i="1" s="1"/>
  <c r="K148" i="1"/>
  <c r="L148" i="1" s="1"/>
  <c r="J141" i="1"/>
  <c r="K141" i="1" s="1"/>
  <c r="L141" i="1" s="1"/>
  <c r="J142" i="1"/>
  <c r="K142" i="1" s="1"/>
  <c r="L142" i="1" s="1"/>
  <c r="J143" i="1"/>
  <c r="K143" i="1" s="1"/>
  <c r="L143" i="1" s="1"/>
  <c r="J144" i="1"/>
  <c r="K144" i="1" s="1"/>
  <c r="L144" i="1" s="1"/>
  <c r="J145" i="1"/>
  <c r="J146" i="1"/>
  <c r="J147" i="1"/>
  <c r="K147" i="1" s="1"/>
  <c r="L147" i="1" s="1"/>
  <c r="J148" i="1"/>
  <c r="J149" i="1"/>
  <c r="K149" i="1" s="1"/>
  <c r="L149" i="1" s="1"/>
  <c r="J150" i="1"/>
  <c r="K150" i="1" s="1"/>
  <c r="L150" i="1" s="1"/>
  <c r="B161" i="1"/>
  <c r="D132" i="1"/>
  <c r="G120" i="1"/>
  <c r="G122" i="1"/>
  <c r="G123" i="1"/>
  <c r="G124" i="1"/>
  <c r="G125" i="1"/>
  <c r="G126" i="1"/>
  <c r="G127" i="1"/>
  <c r="G119" i="1"/>
  <c r="E127" i="1"/>
  <c r="E120" i="1"/>
  <c r="E121" i="1"/>
  <c r="E122" i="1"/>
  <c r="E123" i="1"/>
  <c r="E124" i="1"/>
  <c r="E125" i="1"/>
  <c r="E126" i="1"/>
  <c r="B114" i="1"/>
  <c r="B112" i="1"/>
  <c r="C109" i="1"/>
  <c r="C108" i="1"/>
  <c r="C107" i="1"/>
  <c r="C106" i="1"/>
  <c r="I82" i="1"/>
  <c r="H82" i="1"/>
  <c r="G82" i="1"/>
  <c r="F82" i="1"/>
  <c r="E82" i="1"/>
  <c r="C82" i="1"/>
  <c r="G44" i="1"/>
  <c r="E44" i="1" s="1"/>
  <c r="G43" i="1"/>
  <c r="D44" i="1" s="1"/>
  <c r="C50" i="1"/>
  <c r="D50" i="1" s="1"/>
  <c r="E28" i="1"/>
  <c r="E29" i="1"/>
  <c r="E30" i="1"/>
  <c r="E31" i="1"/>
  <c r="E32" i="1"/>
  <c r="E33" i="1"/>
  <c r="E34" i="1"/>
  <c r="E35" i="1"/>
  <c r="C36" i="1"/>
  <c r="E36" i="1" s="1"/>
  <c r="D19" i="1"/>
  <c r="E19" i="1"/>
  <c r="F19" i="1"/>
  <c r="C19" i="1"/>
  <c r="C9" i="1"/>
  <c r="E8" i="1"/>
  <c r="E7" i="1"/>
  <c r="E6" i="1"/>
  <c r="E5" i="1"/>
  <c r="B9" i="1"/>
  <c r="D44" i="3" l="1"/>
  <c r="E45" i="3" s="1"/>
  <c r="F9" i="2"/>
  <c r="F4" i="2"/>
  <c r="F6" i="2"/>
  <c r="F5" i="2"/>
  <c r="H262" i="2"/>
  <c r="E46" i="2"/>
  <c r="H268" i="2"/>
  <c r="E44" i="2"/>
  <c r="H267" i="2"/>
  <c r="E43" i="2"/>
  <c r="D45" i="2"/>
  <c r="E42" i="2"/>
  <c r="D44" i="2"/>
  <c r="E41" i="2"/>
  <c r="G262" i="2"/>
  <c r="D43" i="2"/>
  <c r="L365" i="1"/>
  <c r="M365" i="1"/>
  <c r="N365" i="1"/>
  <c r="E43" i="1"/>
  <c r="I261" i="1"/>
  <c r="G266" i="1"/>
  <c r="G265" i="1"/>
  <c r="G264" i="1"/>
  <c r="G262" i="1"/>
  <c r="L359" i="1"/>
  <c r="G261" i="1"/>
  <c r="I266" i="1"/>
  <c r="I265" i="1"/>
  <c r="I264" i="1"/>
  <c r="I263" i="1"/>
  <c r="E49" i="1"/>
  <c r="D43" i="1"/>
  <c r="E48" i="1"/>
  <c r="D49" i="1"/>
  <c r="E47" i="1"/>
  <c r="D48" i="1"/>
  <c r="E46" i="1"/>
  <c r="D47" i="1"/>
  <c r="E45" i="1"/>
  <c r="D46" i="1"/>
  <c r="D45" i="1"/>
  <c r="E50" i="1"/>
  <c r="E9" i="1"/>
  <c r="F4" i="1" s="1"/>
  <c r="M359" i="1" l="1"/>
  <c r="F9" i="1"/>
  <c r="F6" i="1"/>
  <c r="F7" i="1"/>
  <c r="F8" i="1"/>
  <c r="F5" i="1"/>
</calcChain>
</file>

<file path=xl/sharedStrings.xml><?xml version="1.0" encoding="utf-8"?>
<sst xmlns="http://schemas.openxmlformats.org/spreadsheetml/2006/main" count="889" uniqueCount="471">
  <si>
    <t>Monthly budget</t>
  </si>
  <si>
    <t>Bills</t>
  </si>
  <si>
    <t>Jan</t>
  </si>
  <si>
    <t>Feb</t>
  </si>
  <si>
    <t>Mar</t>
  </si>
  <si>
    <t>Total</t>
  </si>
  <si>
    <t>Rent</t>
  </si>
  <si>
    <t>Phone</t>
  </si>
  <si>
    <t>Credit card</t>
  </si>
  <si>
    <t xml:space="preserve">Food  </t>
  </si>
  <si>
    <t>Candy</t>
  </si>
  <si>
    <t xml:space="preserve">manpreet10  </t>
  </si>
  <si>
    <t># string on left side</t>
  </si>
  <si>
    <t># numeric on right side</t>
  </si>
  <si>
    <t># cell refrenceing</t>
  </si>
  <si>
    <t>%</t>
  </si>
  <si>
    <t>#=sum(num1,num2) then select enter</t>
  </si>
  <si>
    <t>#sum functio(=sum(num1,num2)then enter</t>
  </si>
  <si>
    <t>Cake Friday State</t>
  </si>
  <si>
    <t>children in class</t>
  </si>
  <si>
    <t>4c</t>
  </si>
  <si>
    <t>4G</t>
  </si>
  <si>
    <t>4W</t>
  </si>
  <si>
    <t xml:space="preserve">CAKE PER CHILD = </t>
  </si>
  <si>
    <t>PRINT CARTRIGE REPS COMMISSION FOR THIS MONTH</t>
  </si>
  <si>
    <t>Sale Rep</t>
  </si>
  <si>
    <t>Sales</t>
  </si>
  <si>
    <t xml:space="preserve"> Commision This MONTH</t>
  </si>
  <si>
    <t>Emily</t>
  </si>
  <si>
    <t>Rob</t>
  </si>
  <si>
    <t>Michael</t>
  </si>
  <si>
    <t>Francine</t>
  </si>
  <si>
    <t>Mirceaa</t>
  </si>
  <si>
    <t>Helena</t>
  </si>
  <si>
    <t>Bridge</t>
  </si>
  <si>
    <t>Paolo</t>
  </si>
  <si>
    <t>TOTAL</t>
  </si>
  <si>
    <t xml:space="preserve"> </t>
  </si>
  <si>
    <t>Holidays Spending Money  - Europe Trip</t>
  </si>
  <si>
    <t>Family Member</t>
  </si>
  <si>
    <t xml:space="preserve">uk </t>
  </si>
  <si>
    <t>Dad</t>
  </si>
  <si>
    <t>Mum</t>
  </si>
  <si>
    <t>Annie</t>
  </si>
  <si>
    <t>Josh</t>
  </si>
  <si>
    <t>Sarah</t>
  </si>
  <si>
    <t>Grandma</t>
  </si>
  <si>
    <t>grandpa</t>
  </si>
  <si>
    <t>family total</t>
  </si>
  <si>
    <t>euro rate</t>
  </si>
  <si>
    <t xml:space="preserve">czesh koruna RATE             </t>
  </si>
  <si>
    <r>
      <t xml:space="preserve">Euros </t>
    </r>
    <r>
      <rPr>
        <sz val="11"/>
        <color theme="1"/>
        <rFont val="Calibri"/>
        <family val="2"/>
      </rPr>
      <t>₤</t>
    </r>
  </si>
  <si>
    <t>Q2</t>
  </si>
  <si>
    <t>Q1</t>
  </si>
  <si>
    <t>Q3</t>
  </si>
  <si>
    <t>commision rate = 12.50%</t>
  </si>
  <si>
    <r>
      <t>Koruna</t>
    </r>
    <r>
      <rPr>
        <sz val="11"/>
        <color theme="1"/>
        <rFont val="Kristen ITC"/>
        <family val="4"/>
      </rPr>
      <t xml:space="preserve"> </t>
    </r>
  </si>
  <si>
    <t>Monday</t>
  </si>
  <si>
    <t>Tuesday</t>
  </si>
  <si>
    <t>Wednesday</t>
  </si>
  <si>
    <t>Thursday</t>
  </si>
  <si>
    <t>Friday</t>
  </si>
  <si>
    <t>Saturday</t>
  </si>
  <si>
    <t>Sunday</t>
  </si>
  <si>
    <t>monday</t>
  </si>
  <si>
    <t>tuesday</t>
  </si>
  <si>
    <t>wednesday</t>
  </si>
  <si>
    <t>thursday</t>
  </si>
  <si>
    <t>friday</t>
  </si>
  <si>
    <t>saturday</t>
  </si>
  <si>
    <t>sunday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</si>
  <si>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</si>
  <si>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</si>
  <si>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</si>
  <si>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</si>
  <si>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</si>
  <si>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</si>
  <si>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</si>
  <si>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</si>
  <si>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</si>
  <si>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</si>
  <si>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</si>
  <si>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</si>
  <si>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india</t>
  </si>
  <si>
    <t>India</t>
  </si>
  <si>
    <t>Pakestan</t>
  </si>
  <si>
    <t>Nepal</t>
  </si>
  <si>
    <t>Bhutan</t>
  </si>
  <si>
    <t>China</t>
  </si>
  <si>
    <t>Bangladesh</t>
  </si>
  <si>
    <t>function  in excel</t>
  </si>
  <si>
    <t>sum()</t>
  </si>
  <si>
    <t>min()</t>
  </si>
  <si>
    <t>max()</t>
  </si>
  <si>
    <t># count and counta() - count() only count number  where as counta() - calculate all  value</t>
  </si>
  <si>
    <t>count()</t>
  </si>
  <si>
    <t>counta()</t>
  </si>
  <si>
    <t>uditya</t>
  </si>
  <si>
    <t>.</t>
  </si>
  <si>
    <t>#</t>
  </si>
  <si>
    <t>countblank()</t>
  </si>
  <si>
    <t>The Table below contaiins participation measurement as measured in the Rochester Ny area  last year</t>
  </si>
  <si>
    <t>we sampled 3 days in each of the first three months of 2018</t>
  </si>
  <si>
    <t>sample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</si>
  <si>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</si>
  <si>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</si>
  <si>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</si>
  <si>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</si>
  <si>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</si>
  <si>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</si>
  <si>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</si>
  <si>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</si>
  <si>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</si>
  <si>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Months</t>
  </si>
  <si>
    <t>rainfall(mm_</t>
  </si>
  <si>
    <t>)</t>
  </si>
  <si>
    <t>what is the average population for each month</t>
  </si>
  <si>
    <t>avg()</t>
  </si>
  <si>
    <t>Q4</t>
  </si>
  <si>
    <t>logical test</t>
  </si>
  <si>
    <t>=</t>
  </si>
  <si>
    <t>&gt;</t>
  </si>
  <si>
    <t>&lt;</t>
  </si>
  <si>
    <t>&gt;=</t>
  </si>
  <si>
    <t>&lt;=</t>
  </si>
  <si>
    <t>&lt;&gt;</t>
  </si>
  <si>
    <t># Bolean  Variable</t>
  </si>
  <si>
    <t>Boolean</t>
  </si>
  <si>
    <t>yes/no</t>
  </si>
  <si>
    <t>1/0,</t>
  </si>
  <si>
    <t>pass/fail</t>
  </si>
  <si>
    <t>Name</t>
  </si>
  <si>
    <t>Ivyasaur</t>
  </si>
  <si>
    <t>Charmander</t>
  </si>
  <si>
    <t>Chameleon</t>
  </si>
  <si>
    <t>Charizard</t>
  </si>
  <si>
    <t>Squirtle</t>
  </si>
  <si>
    <t>Wartortle</t>
  </si>
  <si>
    <t>Blastoise</t>
  </si>
  <si>
    <t>Vensaur</t>
  </si>
  <si>
    <t>Bulbsaur</t>
  </si>
  <si>
    <t>Type1</t>
  </si>
  <si>
    <t>Grass</t>
  </si>
  <si>
    <t>Fire</t>
  </si>
  <si>
    <t>Water</t>
  </si>
  <si>
    <t>more than 5000 total</t>
  </si>
  <si>
    <t>Mathematical operation</t>
  </si>
  <si>
    <t>grass</t>
  </si>
  <si>
    <t>10% discount if sum is greater  than 50</t>
  </si>
  <si>
    <t xml:space="preserve"> Q</t>
  </si>
  <si>
    <t>ENTER NAME OF 10 STUDENTS CORRESPONDING TO EACH STUDENT ENTER MARKS OF 5 SUBJECT</t>
  </si>
  <si>
    <t>1&gt; CALCULATE TOTAL MARKS OBTAINED</t>
  </si>
  <si>
    <t>2&gt; CALCULATE THE %</t>
  </si>
  <si>
    <t>3&gt; IF %.&gt;75 FALSH THE MESSAGE "DISTINCTION" ELSE FLASH THE MESSAGE "N EED IMPROVEMENT"</t>
  </si>
  <si>
    <t>STUDENT NAME</t>
  </si>
  <si>
    <t>RAHUL</t>
  </si>
  <si>
    <t>SACHIN</t>
  </si>
  <si>
    <t>MONIKA</t>
  </si>
  <si>
    <t>GURAV</t>
  </si>
  <si>
    <t>UDITYA</t>
  </si>
  <si>
    <t>LUV</t>
  </si>
  <si>
    <t>PIYUSH</t>
  </si>
  <si>
    <t>SUMAN</t>
  </si>
  <si>
    <t>ABHISHEK</t>
  </si>
  <si>
    <t>BHUSHIT</t>
  </si>
  <si>
    <t>SUBJECT</t>
  </si>
  <si>
    <t>HINDI</t>
  </si>
  <si>
    <t>ENGLISH</t>
  </si>
  <si>
    <t>PHYSICS</t>
  </si>
  <si>
    <t>MATHS</t>
  </si>
  <si>
    <t>MARKS = 60 (GOOD)</t>
  </si>
  <si>
    <t xml:space="preserve">   = 40 (OK)</t>
  </si>
  <si>
    <t xml:space="preserve">  = 30 (BAD)</t>
  </si>
  <si>
    <t>SALES</t>
  </si>
  <si>
    <t>comission</t>
  </si>
  <si>
    <t>percentage</t>
  </si>
  <si>
    <t>Marks</t>
  </si>
  <si>
    <t>Remarks</t>
  </si>
  <si>
    <t>Q 1 STUDENT MARKS</t>
  </si>
  <si>
    <r>
      <rPr>
        <b/>
        <sz val="11"/>
        <color theme="1"/>
        <rFont val="Calibri"/>
        <family val="2"/>
        <scheme val="minor"/>
      </rPr>
      <t>Tota</t>
    </r>
    <r>
      <rPr>
        <sz val="11"/>
        <color theme="1"/>
        <rFont val="Calibri"/>
        <family val="2"/>
        <scheme val="minor"/>
      </rPr>
      <t>l</t>
    </r>
  </si>
  <si>
    <r>
      <rPr>
        <b/>
        <sz val="11"/>
        <color theme="1"/>
        <rFont val="Calibri"/>
        <family val="2"/>
        <scheme val="minor"/>
      </rPr>
      <t>HISTOR</t>
    </r>
    <r>
      <rPr>
        <sz val="11"/>
        <color theme="1"/>
        <rFont val="Calibri"/>
        <family val="2"/>
        <scheme val="minor"/>
      </rPr>
      <t>Y</t>
    </r>
  </si>
  <si>
    <t># nested if condition</t>
  </si>
  <si>
    <t>Q3  SALES  COMISSSION</t>
  </si>
  <si>
    <t>student</t>
  </si>
  <si>
    <t>marks</t>
  </si>
  <si>
    <t>remarks</t>
  </si>
  <si>
    <t>600  Total marks</t>
  </si>
  <si>
    <t>distinction</t>
  </si>
  <si>
    <t>student&gt;=400</t>
  </si>
  <si>
    <t>student &gt;=570</t>
  </si>
  <si>
    <t>student&gt;=500</t>
  </si>
  <si>
    <t>first div</t>
  </si>
  <si>
    <t>second div</t>
  </si>
  <si>
    <t>student &gt;=300</t>
  </si>
  <si>
    <t>third div</t>
  </si>
  <si>
    <t>student&gt;=200</t>
  </si>
  <si>
    <t>pass</t>
  </si>
  <si>
    <t>student &lt;200</t>
  </si>
  <si>
    <t>fail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</si>
  <si>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</si>
  <si>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</si>
  <si>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</si>
  <si>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</si>
  <si>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</si>
  <si>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</si>
  <si>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</si>
  <si>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</si>
  <si>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</si>
  <si>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</si>
  <si>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# Conditions</t>
  </si>
  <si>
    <t>YEAR OF SERVICE</t>
  </si>
  <si>
    <t>COUNT BLANK - COUNT ONLY BLANK OR EMPTY CELLS</t>
  </si>
  <si>
    <t>FOR CREATEING LIST GO TO FILE</t>
  </si>
  <si>
    <r>
      <t xml:space="preserve"> </t>
    </r>
    <r>
      <rPr>
        <b/>
        <sz val="11"/>
        <color theme="1"/>
        <rFont val="Calibri"/>
        <family val="2"/>
        <scheme val="minor"/>
      </rPr>
      <t>CLICK ON OPTION THEN SELECTB ADVANCE AND THEN SELECT CUSTOM SETTING AND THEN  ADD YOUR LIST IN EXCEL</t>
    </r>
  </si>
  <si>
    <t>#  formula for absolute referencing  =number/number + fn +4</t>
  </si>
  <si>
    <t>POINTS</t>
  </si>
  <si>
    <t>EXTRA POINTS</t>
  </si>
  <si>
    <t>&gt;50 =5</t>
  </si>
  <si>
    <t>&gt;30 =3</t>
  </si>
  <si>
    <t>&gt;20= 1</t>
  </si>
  <si>
    <t>SAME Q IN   ONE WAY</t>
  </si>
  <si>
    <t>STUDENTS</t>
  </si>
  <si>
    <t>BIOLOGY</t>
  </si>
  <si>
    <t>HISTORY</t>
  </si>
  <si>
    <t>PERCENTAGE</t>
  </si>
  <si>
    <t>REMARKS</t>
  </si>
  <si>
    <t>COMISSIIN</t>
  </si>
  <si>
    <t>Q 1</t>
  </si>
  <si>
    <t>items</t>
  </si>
  <si>
    <t>quntity</t>
  </si>
  <si>
    <t>purchase</t>
  </si>
  <si>
    <t>total</t>
  </si>
  <si>
    <t>discount</t>
  </si>
  <si>
    <t>net amount</t>
  </si>
  <si>
    <t>NET AMOUNT</t>
  </si>
  <si>
    <t xml:space="preserve">Q4 </t>
  </si>
  <si>
    <t>INCOME</t>
  </si>
  <si>
    <t>TAX</t>
  </si>
  <si>
    <t>DELTA(B^2-4AC)</t>
  </si>
  <si>
    <t>Nature of roots</t>
  </si>
  <si>
    <t>INCOME AFTER DEDUCTING TAX</t>
  </si>
  <si>
    <t xml:space="preserve">  </t>
  </si>
  <si>
    <t>attendance%</t>
  </si>
  <si>
    <t>marks%</t>
  </si>
  <si>
    <t>CONDITION</t>
  </si>
  <si>
    <t xml:space="preserve">REMARKS </t>
  </si>
  <si>
    <t>NUMBER</t>
  </si>
  <si>
    <t>AGE GROUP</t>
  </si>
  <si>
    <t>PERSON</t>
  </si>
  <si>
    <t>ELIGIBLITY</t>
  </si>
  <si>
    <t>STUDENT</t>
  </si>
  <si>
    <t>SENIOR CITIZEN</t>
  </si>
  <si>
    <t>ADULT</t>
  </si>
  <si>
    <t>full time</t>
  </si>
  <si>
    <t>a</t>
  </si>
  <si>
    <t>b</t>
  </si>
  <si>
    <t>c</t>
  </si>
  <si>
    <t xml:space="preserve">d </t>
  </si>
  <si>
    <t>e</t>
  </si>
  <si>
    <t>f</t>
  </si>
  <si>
    <t>no of years</t>
  </si>
  <si>
    <t>employed full time</t>
  </si>
  <si>
    <t>probation</t>
  </si>
  <si>
    <t>bonus</t>
  </si>
  <si>
    <t>no full time</t>
  </si>
  <si>
    <t>no probation</t>
  </si>
  <si>
    <t>positve even or not</t>
  </si>
  <si>
    <t>Q 2</t>
  </si>
  <si>
    <t>Q5</t>
  </si>
  <si>
    <t xml:space="preserve"> Q 5</t>
  </si>
  <si>
    <t>age</t>
  </si>
  <si>
    <t>citizenship</t>
  </si>
  <si>
    <t>eligiblity</t>
  </si>
  <si>
    <t>indian</t>
  </si>
  <si>
    <t>pakistan</t>
  </si>
  <si>
    <t>china</t>
  </si>
  <si>
    <t>australian</t>
  </si>
  <si>
    <t>england</t>
  </si>
  <si>
    <t>Q6</t>
  </si>
  <si>
    <t>Membership</t>
  </si>
  <si>
    <t>condition</t>
  </si>
  <si>
    <t>eligibility</t>
  </si>
  <si>
    <t>member</t>
  </si>
  <si>
    <t>not a member</t>
  </si>
  <si>
    <t>restricted from offer</t>
  </si>
  <si>
    <t>Q8</t>
  </si>
  <si>
    <t>Age</t>
  </si>
  <si>
    <t xml:space="preserve">Country      </t>
  </si>
  <si>
    <t>d</t>
  </si>
  <si>
    <t>usa</t>
  </si>
  <si>
    <t>gemany</t>
  </si>
  <si>
    <t>australia</t>
  </si>
  <si>
    <t>vlookup</t>
  </si>
  <si>
    <t>v - vertical</t>
  </si>
  <si>
    <t>Q9</t>
  </si>
  <si>
    <t>Roll_No</t>
  </si>
  <si>
    <t>Fathers Name</t>
  </si>
  <si>
    <t>english</t>
  </si>
  <si>
    <t>physics</t>
  </si>
  <si>
    <t>bio</t>
  </si>
  <si>
    <t>maths</t>
  </si>
  <si>
    <t>hindi</t>
  </si>
  <si>
    <t>City</t>
  </si>
  <si>
    <t xml:space="preserve"> rishi</t>
  </si>
  <si>
    <t>sumit</t>
  </si>
  <si>
    <t>aman</t>
  </si>
  <si>
    <t>rohan</t>
  </si>
  <si>
    <t>ajay</t>
  </si>
  <si>
    <t>patna</t>
  </si>
  <si>
    <t>jhansi</t>
  </si>
  <si>
    <t>bhopal</t>
  </si>
  <si>
    <t>delhi</t>
  </si>
  <si>
    <t>agra</t>
  </si>
  <si>
    <t># x&gt;90% =totalmarks+5</t>
  </si>
  <si>
    <t>Student</t>
  </si>
  <si>
    <t>Roll no</t>
  </si>
  <si>
    <t>Fathers name</t>
  </si>
  <si>
    <t>percentage    eligible for extra 5 marks</t>
  </si>
  <si>
    <t>salary</t>
  </si>
  <si>
    <t>tax</t>
  </si>
  <si>
    <t>#APPROXIMATION MATCH</t>
  </si>
  <si>
    <t>g</t>
  </si>
  <si>
    <t>h</t>
  </si>
  <si>
    <t>i</t>
  </si>
  <si>
    <t>Q</t>
  </si>
  <si>
    <t>Horizontal lookup</t>
  </si>
  <si>
    <t>Employe</t>
  </si>
  <si>
    <t>location</t>
  </si>
  <si>
    <t>berlin</t>
  </si>
  <si>
    <t>paris</t>
  </si>
  <si>
    <t>cario</t>
  </si>
  <si>
    <t>bangkok</t>
  </si>
  <si>
    <t>shanghal</t>
  </si>
  <si>
    <t>canada</t>
  </si>
  <si>
    <t>japan</t>
  </si>
  <si>
    <t># look up function</t>
  </si>
  <si>
    <t>emloye</t>
  </si>
  <si>
    <t>vlook up       1 and drag others</t>
  </si>
  <si>
    <t># by look up drag fuction</t>
  </si>
  <si>
    <t># practise sheet</t>
  </si>
  <si>
    <t># monthly budget</t>
  </si>
  <si>
    <t>phone</t>
  </si>
  <si>
    <t>electricity</t>
  </si>
  <si>
    <t>water</t>
  </si>
  <si>
    <t>credit card</t>
  </si>
  <si>
    <t>rent</t>
  </si>
  <si>
    <t>JAN</t>
  </si>
  <si>
    <t>FEB</t>
  </si>
  <si>
    <t>MARCH</t>
  </si>
  <si>
    <t># refenceing value</t>
  </si>
  <si>
    <t># cake per child</t>
  </si>
  <si>
    <t>4w</t>
  </si>
  <si>
    <t>4g</t>
  </si>
  <si>
    <t># children in class</t>
  </si>
  <si>
    <t>cacke per child</t>
  </si>
  <si>
    <t>comissison rate % =12.5</t>
  </si>
  <si>
    <t>euro</t>
  </si>
  <si>
    <t>korus</t>
  </si>
  <si>
    <t>monda</t>
  </si>
  <si>
    <t>pakestan</t>
  </si>
  <si>
    <t>nepal</t>
  </si>
  <si>
    <t>bhutan</t>
  </si>
  <si>
    <t>bangladesh</t>
  </si>
  <si>
    <t>agra adras</t>
  </si>
  <si>
    <t>ludhiyana</t>
  </si>
  <si>
    <t>merut</t>
  </si>
  <si>
    <t>gowalior</t>
  </si>
  <si>
    <t>itarsi</t>
  </si>
  <si>
    <t>masoori</t>
  </si>
  <si>
    <t># Functions in excel</t>
  </si>
  <si>
    <t>SUM()</t>
  </si>
  <si>
    <t>MAX()</t>
  </si>
  <si>
    <t>MIN()</t>
  </si>
  <si>
    <t>COUNT</t>
  </si>
  <si>
    <t>COUNTA</t>
  </si>
  <si>
    <t>COUNT BLANK</t>
  </si>
  <si>
    <t># COUNT - IS USE TO COUNT NUMBERS ONLY</t>
  </si>
  <si>
    <t>COUNTA - IS USE TO COUNT NUMBERS + STRING</t>
  </si>
  <si>
    <t>COUNT BLANK - IT IS USAE TO COUNT ONLY BLANKS OR EMPTY CELLS</t>
  </si>
  <si>
    <t>AVG =</t>
  </si>
  <si>
    <t>percentage  remarks</t>
  </si>
  <si>
    <t># Sale commisiion</t>
  </si>
  <si>
    <t>if sale &gt;= 400000 ,</t>
  </si>
  <si>
    <t>if slae &gt;=500000,</t>
  </si>
  <si>
    <t>otherwise</t>
  </si>
  <si>
    <t>doubt</t>
  </si>
  <si>
    <t>q</t>
  </si>
  <si>
    <t>points</t>
  </si>
  <si>
    <t xml:space="preserve">Q6 </t>
  </si>
  <si>
    <t>COMISSION</t>
  </si>
  <si>
    <t xml:space="preserve">DISCOUNT </t>
  </si>
  <si>
    <t>FINAL PRICE</t>
  </si>
  <si>
    <t>INCOME AFTER DEDUCTION OF TAX</t>
  </si>
  <si>
    <t>ROOTS</t>
  </si>
  <si>
    <t>A =</t>
  </si>
  <si>
    <t>B=</t>
  </si>
  <si>
    <t>C=</t>
  </si>
  <si>
    <t>B^2-4AC</t>
  </si>
  <si>
    <t>ATTENDENCE%</t>
  </si>
  <si>
    <t>MARKS%</t>
  </si>
  <si>
    <t>CONDITION OR</t>
  </si>
  <si>
    <t>CONDITION AND</t>
  </si>
  <si>
    <t>EVEN POSITIVE</t>
  </si>
  <si>
    <t>#horizontal look up</t>
  </si>
  <si>
    <t>aprroximation</t>
  </si>
  <si>
    <t>Total Income</t>
  </si>
  <si>
    <t>Deduction</t>
  </si>
  <si>
    <t>Exemption</t>
  </si>
  <si>
    <t>TAX%</t>
  </si>
  <si>
    <t>TAX AMOUNT</t>
  </si>
  <si>
    <t>INCOME  AFRTER TAX</t>
  </si>
  <si>
    <t>Assignment 1</t>
  </si>
  <si>
    <t>income tax slab (old tax regime)</t>
  </si>
  <si>
    <t>up to Rs 2.50 Lakhs</t>
  </si>
  <si>
    <t>Nil</t>
  </si>
  <si>
    <t>1000001 and above</t>
  </si>
  <si>
    <t>Surcharge Rate</t>
  </si>
  <si>
    <t>* Surcharge of 10 %</t>
  </si>
  <si>
    <t>*Surcharge of 15%</t>
  </si>
  <si>
    <t>*Surcharge of 25%</t>
  </si>
  <si>
    <t>5000000   10000000</t>
  </si>
  <si>
    <t>10000001  20000000</t>
  </si>
  <si>
    <t>20000001     50000000</t>
  </si>
  <si>
    <t>*Surcharge of 37% for income above 5 Crores</t>
  </si>
  <si>
    <t>Salary</t>
  </si>
  <si>
    <t>House</t>
  </si>
  <si>
    <t>Property</t>
  </si>
  <si>
    <t>Business</t>
  </si>
  <si>
    <t>Capital</t>
  </si>
  <si>
    <t>Other source</t>
  </si>
  <si>
    <t>TOTAL SALARY</t>
  </si>
  <si>
    <t>TOTAL INCOME</t>
  </si>
  <si>
    <t xml:space="preserve">TOTAL INCOME  </t>
  </si>
  <si>
    <t>Exmption</t>
  </si>
  <si>
    <t>TAX %</t>
  </si>
  <si>
    <t>TAX INCOME</t>
  </si>
  <si>
    <t>INCOME AFTER TAX</t>
  </si>
  <si>
    <t>INCOME SOURCE</t>
  </si>
  <si>
    <t>OLD  TAX REGIME</t>
  </si>
  <si>
    <t xml:space="preserve">EDUCATION </t>
  </si>
  <si>
    <t>INCOME TAX SLAB (NEW TAX REGIME)</t>
  </si>
  <si>
    <t>SURCHARGE</t>
  </si>
  <si>
    <t>EDUCATION</t>
  </si>
  <si>
    <t>NEW TAX REGIM</t>
  </si>
  <si>
    <t>DEDUCTION</t>
  </si>
  <si>
    <t>EXMPTION</t>
  </si>
  <si>
    <t>TOTAL TAX</t>
  </si>
  <si>
    <t>UPTO TO RS 3 LAKH</t>
  </si>
  <si>
    <t>NIL</t>
  </si>
  <si>
    <t xml:space="preserve">1500001 AND ABOVE            </t>
  </si>
  <si>
    <t>#count if  - count the number of cell that meets a specific condition</t>
  </si>
  <si>
    <t>count</t>
  </si>
  <si>
    <t xml:space="preserve">#sum if - add up number that meet a  specified condition  </t>
  </si>
  <si>
    <t>apple</t>
  </si>
  <si>
    <t>banana</t>
  </si>
  <si>
    <t>sum</t>
  </si>
  <si>
    <t>sum of banana</t>
  </si>
  <si>
    <t>hello</t>
  </si>
  <si>
    <t>length of word</t>
  </si>
  <si>
    <t>len =</t>
  </si>
  <si>
    <t>round of</t>
  </si>
  <si>
    <t>roun =</t>
  </si>
  <si>
    <t>DATE  =</t>
  </si>
  <si>
    <t>old</t>
  </si>
  <si>
    <t>new</t>
  </si>
  <si>
    <t>total income</t>
  </si>
  <si>
    <t>tax income</t>
  </si>
  <si>
    <t>tax%</t>
  </si>
  <si>
    <t>surcharge</t>
  </si>
  <si>
    <t>eductation</t>
  </si>
  <si>
    <t>income after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</si>
</sst>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Kristen ITC"/>
      <family val="4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15" fontId="0" fillId="0" borderId="0" xfId="0" applyNumberFormat="1"/>
    <xf numFmtId="0" fontId="2" fillId="0" borderId="0" xfId="0" applyFont="1"/>
    <xf numFmtId="0" fontId="0" fillId="0" borderId="1" xfId="0" applyBorder="1"/>
    <xf numFmtId="10" fontId="0" fillId="0" borderId="0" xfId="0" applyNumberFormat="1"/>
    <xf numFmtId="0" fontId="3" fillId="0" borderId="0" xfId="0" applyFont="1"/>
    <xf numFmtId="0" fontId="0" fillId="0" borderId="2" xfId="0" applyBorder="1"/>
    <xf numFmtId="0" fontId="0" fillId="0" borderId="3" xfId="0" applyBorder="1"/>
    <xf numFmtId="9" fontId="0" fillId="0" borderId="1" xfId="1" applyFont="1" applyBorder="1"/>
    <xf numFmtId="0" fontId="2" fillId="0" borderId="1" xfId="0" applyFont="1" applyBorder="1"/>
    <xf numFmtId="0" fontId="2" fillId="2" borderId="1" xfId="0" applyFont="1" applyFill="1" applyBorder="1"/>
    <xf numFmtId="0" fontId="5" fillId="0" borderId="1" xfId="0" applyFont="1" applyBorder="1"/>
    <xf numFmtId="0" fontId="0" fillId="2" borderId="0" xfId="0" applyFill="1"/>
    <xf numFmtId="16" fontId="0" fillId="0" borderId="1" xfId="0" applyNumberFormat="1" applyBorder="1"/>
    <xf numFmtId="17" fontId="0" fillId="0" borderId="0" xfId="0" applyNumberFormat="1"/>
    <xf numFmtId="3" fontId="0" fillId="0" borderId="1" xfId="0" applyNumberFormat="1" applyBorder="1"/>
    <xf numFmtId="10" fontId="0" fillId="0" borderId="1" xfId="1" applyNumberFormat="1" applyFont="1" applyBorder="1"/>
    <xf numFmtId="0" fontId="0" fillId="0" borderId="4" xfId="0" applyBorder="1"/>
    <xf numFmtId="10" fontId="0" fillId="0" borderId="0" xfId="1" applyNumberFormat="1" applyFont="1" applyBorder="1"/>
    <xf numFmtId="9" fontId="0" fillId="0" borderId="5" xfId="1" applyFont="1" applyBorder="1"/>
    <xf numFmtId="0" fontId="2" fillId="0" borderId="5" xfId="0" applyFont="1" applyBorder="1"/>
    <xf numFmtId="0" fontId="8" fillId="0" borderId="0" xfId="0" applyFont="1"/>
    <xf numFmtId="10" fontId="2" fillId="0" borderId="1" xfId="1" applyNumberFormat="1" applyFont="1" applyBorder="1"/>
    <xf numFmtId="0" fontId="2" fillId="0" borderId="4" xfId="0" applyFont="1" applyBorder="1"/>
    <xf numFmtId="0" fontId="0" fillId="0" borderId="6" xfId="0" applyBorder="1"/>
    <xf numFmtId="0" fontId="0" fillId="0" borderId="1" xfId="1" applyNumberFormat="1" applyFont="1" applyBorder="1"/>
    <xf numFmtId="0" fontId="0" fillId="0" borderId="7" xfId="0" applyBorder="1"/>
    <xf numFmtId="44" fontId="0" fillId="0" borderId="0" xfId="2" applyFont="1"/>
    <xf numFmtId="6" fontId="0" fillId="0" borderId="0" xfId="2" applyNumberFormat="1" applyFont="1"/>
    <xf numFmtId="6" fontId="0" fillId="0" borderId="1" xfId="0" applyNumberFormat="1" applyBorder="1"/>
    <xf numFmtId="9" fontId="0" fillId="0" borderId="0" xfId="0" applyNumberFormat="1"/>
    <xf numFmtId="0" fontId="9" fillId="0" borderId="1" xfId="0" applyFont="1" applyBorder="1"/>
    <xf numFmtId="9" fontId="0" fillId="0" borderId="0" xfId="1" applyFont="1"/>
    <xf numFmtId="0" fontId="0" fillId="3" borderId="0" xfId="0" applyFill="1"/>
    <xf numFmtId="164" fontId="4" fillId="0" borderId="1" xfId="0" applyNumberFormat="1" applyFont="1" applyBorder="1"/>
    <xf numFmtId="43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2" fontId="0" fillId="0" borderId="1" xfId="1" applyNumberFormat="1" applyFont="1" applyBorder="1"/>
    <xf numFmtId="2" fontId="0" fillId="2" borderId="1" xfId="1" applyNumberFormat="1" applyFont="1" applyFill="1" applyBorder="1"/>
    <xf numFmtId="9" fontId="0" fillId="2" borderId="1" xfId="1" applyFont="1" applyFill="1" applyBorder="1"/>
    <xf numFmtId="0" fontId="0" fillId="0" borderId="8" xfId="0" applyBorder="1"/>
    <xf numFmtId="165" fontId="0" fillId="0" borderId="0" xfId="0" applyNumberFormat="1"/>
    <xf numFmtId="9" fontId="0" fillId="0" borderId="1" xfId="0" applyNumberFormat="1" applyBorder="1"/>
    <xf numFmtId="0" fontId="2" fillId="2" borderId="0" xfId="0" applyFont="1" applyFill="1"/>
    <xf numFmtId="14" fontId="0" fillId="0" borderId="1" xfId="0" applyNumberFormat="1" applyBorder="1"/>
  </cellXfs>
  <cellStyles count="3">
    <cellStyle name="Currency" xfId="2" builtinId="4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4C99-3DF8-42B0-92FB-920C566F5705}">
  <dimension ref="A1:P441"/>
  <sheetViews>
    <sheetView topLeftCell="A142" zoomScale="119" zoomScaleNormal="52" workbookViewId="0">
      <selection activeCell="B443" sqref="B443"/>
    </sheetView>
  </sheetViews>
  <sheetFormatPr defaultRowHeight="14.4" x14ac:dyDescent="0.3"/>
  <cols>
    <col min="2" max="2" width="12.44140625" bestFit="1" customWidth="1"/>
    <col min="3" max="3" width="11.44140625" bestFit="1" customWidth="1"/>
    <col min="4" max="4" width="18" customWidth="1"/>
    <col min="5" max="5" width="16.44140625" bestFit="1" customWidth="1"/>
    <col min="6" max="6" width="13.33203125" customWidth="1"/>
    <col min="7" max="7" width="17.33203125" customWidth="1"/>
    <col min="15" max="15" width="10.33203125" customWidth="1"/>
  </cols>
  <sheetData>
    <row r="1" spans="1:10" x14ac:dyDescent="0.3">
      <c r="A1" t="s">
        <v>0</v>
      </c>
    </row>
    <row r="3" spans="1:10" x14ac:dyDescent="0.3">
      <c r="A3" s="3" t="s">
        <v>1</v>
      </c>
      <c r="B3" s="3" t="s">
        <v>2</v>
      </c>
      <c r="C3" s="3" t="s">
        <v>3</v>
      </c>
      <c r="D3" s="3" t="s">
        <v>4</v>
      </c>
      <c r="E3" s="9" t="s">
        <v>5</v>
      </c>
      <c r="F3" s="3" t="s">
        <v>15</v>
      </c>
    </row>
    <row r="4" spans="1:10" x14ac:dyDescent="0.3">
      <c r="A4" s="3" t="s">
        <v>6</v>
      </c>
      <c r="B4" s="3">
        <v>1000</v>
      </c>
      <c r="C4" s="3">
        <v>1000</v>
      </c>
      <c r="D4" s="3">
        <v>1000</v>
      </c>
      <c r="E4" s="9">
        <f>B4+C4+D4</f>
        <v>3000</v>
      </c>
      <c r="F4" s="8">
        <f>E4/$E9</f>
        <v>0.58823529411764708</v>
      </c>
      <c r="G4" s="1">
        <v>45538</v>
      </c>
      <c r="J4" t="s">
        <v>214</v>
      </c>
    </row>
    <row r="5" spans="1:10" x14ac:dyDescent="0.3">
      <c r="A5" s="3" t="s">
        <v>7</v>
      </c>
      <c r="B5" s="3">
        <v>100</v>
      </c>
      <c r="C5" s="3">
        <v>125</v>
      </c>
      <c r="D5" s="3">
        <v>100</v>
      </c>
      <c r="E5" s="9">
        <f>B5+C5+D5</f>
        <v>325</v>
      </c>
      <c r="F5" s="8">
        <f t="shared" ref="F5:F9" si="0">E5/$E$9</f>
        <v>6.3725490196078427E-2</v>
      </c>
      <c r="G5" t="s">
        <v>11</v>
      </c>
    </row>
    <row r="6" spans="1:10" x14ac:dyDescent="0.3">
      <c r="A6" s="3" t="s">
        <v>8</v>
      </c>
      <c r="B6" s="3">
        <v>150</v>
      </c>
      <c r="C6" s="3">
        <v>200</v>
      </c>
      <c r="D6" s="3">
        <v>175</v>
      </c>
      <c r="E6" s="9">
        <f>B6+C6+D6</f>
        <v>525</v>
      </c>
      <c r="F6" s="8">
        <f t="shared" si="0"/>
        <v>0.10294117647058823</v>
      </c>
    </row>
    <row r="7" spans="1:10" x14ac:dyDescent="0.3">
      <c r="A7" s="3" t="s">
        <v>9</v>
      </c>
      <c r="B7" s="3">
        <v>300</v>
      </c>
      <c r="C7" s="3">
        <v>275</v>
      </c>
      <c r="D7" s="3">
        <v>350</v>
      </c>
      <c r="E7" s="9">
        <f>B7+C7+D7</f>
        <v>925</v>
      </c>
      <c r="F7" s="8">
        <f t="shared" si="0"/>
        <v>0.18137254901960784</v>
      </c>
      <c r="G7" t="s">
        <v>12</v>
      </c>
    </row>
    <row r="8" spans="1:10" x14ac:dyDescent="0.3">
      <c r="A8" s="3" t="s">
        <v>10</v>
      </c>
      <c r="B8" s="3">
        <v>100</v>
      </c>
      <c r="C8" s="3">
        <v>100</v>
      </c>
      <c r="D8" s="3">
        <v>125</v>
      </c>
      <c r="E8" s="9">
        <f>B8+C8+D8</f>
        <v>325</v>
      </c>
      <c r="F8" s="8">
        <f t="shared" si="0"/>
        <v>6.3725490196078427E-2</v>
      </c>
      <c r="G8" t="s">
        <v>13</v>
      </c>
    </row>
    <row r="9" spans="1:10" x14ac:dyDescent="0.3">
      <c r="A9" s="3" t="s">
        <v>5</v>
      </c>
      <c r="B9" s="9">
        <f>B4+B5+B7+B6+B8</f>
        <v>1650</v>
      </c>
      <c r="C9" s="9">
        <f>C4+C5+C7+C6+C8</f>
        <v>1700</v>
      </c>
      <c r="D9" s="9">
        <f>D4+D5+D7</f>
        <v>1450</v>
      </c>
      <c r="E9" s="10">
        <f>E4+E5+E7+E6+E8</f>
        <v>5100</v>
      </c>
      <c r="F9" s="8">
        <f t="shared" si="0"/>
        <v>1</v>
      </c>
    </row>
    <row r="10" spans="1:10" x14ac:dyDescent="0.3">
      <c r="A10" s="3"/>
      <c r="B10" s="3"/>
      <c r="C10" s="3"/>
      <c r="D10" s="3"/>
      <c r="E10" s="3"/>
      <c r="F10" s="3"/>
      <c r="G10" t="s">
        <v>14</v>
      </c>
    </row>
    <row r="11" spans="1:10" x14ac:dyDescent="0.3">
      <c r="A11" s="3"/>
      <c r="B11" s="3"/>
      <c r="C11" s="11"/>
      <c r="D11" s="3"/>
      <c r="E11" s="3"/>
      <c r="F11" s="3"/>
    </row>
    <row r="13" spans="1:10" x14ac:dyDescent="0.3">
      <c r="B13" t="s">
        <v>17</v>
      </c>
      <c r="C13" t="s">
        <v>16</v>
      </c>
    </row>
    <row r="15" spans="1:10" x14ac:dyDescent="0.3">
      <c r="A15" s="5" t="s">
        <v>53</v>
      </c>
    </row>
    <row r="16" spans="1:10" x14ac:dyDescent="0.3">
      <c r="A16" s="5" t="s">
        <v>18</v>
      </c>
    </row>
    <row r="17" spans="1:11" x14ac:dyDescent="0.3">
      <c r="C17" s="2" t="s">
        <v>20</v>
      </c>
      <c r="D17" s="2" t="s">
        <v>21</v>
      </c>
      <c r="E17" s="2" t="s">
        <v>22</v>
      </c>
      <c r="F17">
        <v>45</v>
      </c>
    </row>
    <row r="18" spans="1:11" x14ac:dyDescent="0.3">
      <c r="A18" s="5" t="s">
        <v>19</v>
      </c>
      <c r="C18" s="3">
        <v>24</v>
      </c>
      <c r="D18" s="3">
        <v>22</v>
      </c>
      <c r="E18" s="3">
        <v>19</v>
      </c>
      <c r="F18" s="3">
        <v>27</v>
      </c>
    </row>
    <row r="19" spans="1:11" x14ac:dyDescent="0.3">
      <c r="C19" s="3">
        <f>C18*$C$21+$C$23</f>
        <v>74</v>
      </c>
      <c r="D19" s="3">
        <f>D18*$C$21+$C$23</f>
        <v>68</v>
      </c>
      <c r="E19" s="3">
        <f>E18*$C$21+$C$23</f>
        <v>59</v>
      </c>
      <c r="F19" s="3">
        <f>F18*$C$21+$C$23</f>
        <v>83</v>
      </c>
    </row>
    <row r="21" spans="1:11" x14ac:dyDescent="0.3">
      <c r="A21" s="2" t="s">
        <v>23</v>
      </c>
      <c r="C21">
        <v>3</v>
      </c>
    </row>
    <row r="23" spans="1:11" x14ac:dyDescent="0.3">
      <c r="C23">
        <v>2</v>
      </c>
    </row>
    <row r="25" spans="1:11" x14ac:dyDescent="0.3">
      <c r="A25" s="5" t="s">
        <v>52</v>
      </c>
      <c r="B25" s="5" t="s">
        <v>24</v>
      </c>
      <c r="C25" s="5"/>
      <c r="D25" s="5"/>
      <c r="E25" s="5"/>
      <c r="F25" s="5"/>
    </row>
    <row r="26" spans="1:11" x14ac:dyDescent="0.3">
      <c r="H26" t="s">
        <v>55</v>
      </c>
      <c r="J26" t="s">
        <v>37</v>
      </c>
      <c r="K26" s="4">
        <v>0.125</v>
      </c>
    </row>
    <row r="27" spans="1:11" x14ac:dyDescent="0.3">
      <c r="A27" s="6"/>
      <c r="B27" s="3" t="s">
        <v>25</v>
      </c>
      <c r="C27" s="3" t="s">
        <v>26</v>
      </c>
      <c r="D27" s="3" t="s">
        <v>27</v>
      </c>
      <c r="E27" s="3"/>
      <c r="F27" s="3"/>
    </row>
    <row r="28" spans="1:11" x14ac:dyDescent="0.3">
      <c r="B28" s="3" t="s">
        <v>28</v>
      </c>
      <c r="C28" s="3">
        <v>25000</v>
      </c>
      <c r="D28" s="3"/>
      <c r="E28" s="8">
        <f>C28*$K$26</f>
        <v>3125</v>
      </c>
      <c r="F28" s="3"/>
    </row>
    <row r="29" spans="1:11" x14ac:dyDescent="0.3">
      <c r="A29" s="6"/>
      <c r="B29" s="3" t="s">
        <v>29</v>
      </c>
      <c r="C29" s="3">
        <v>19000</v>
      </c>
      <c r="D29" s="3"/>
      <c r="E29" s="8">
        <f t="shared" ref="E29:E35" si="1">C29*$K$26</f>
        <v>2375</v>
      </c>
      <c r="F29" s="3"/>
    </row>
    <row r="30" spans="1:11" x14ac:dyDescent="0.3">
      <c r="A30" s="6"/>
      <c r="B30" s="3" t="s">
        <v>30</v>
      </c>
      <c r="C30" s="3">
        <v>27500</v>
      </c>
      <c r="D30" s="3"/>
      <c r="E30" s="8">
        <f t="shared" si="1"/>
        <v>3437.5</v>
      </c>
      <c r="F30" s="3"/>
    </row>
    <row r="31" spans="1:11" x14ac:dyDescent="0.3">
      <c r="A31" s="6"/>
      <c r="B31" s="3" t="s">
        <v>31</v>
      </c>
      <c r="C31" s="3">
        <v>14000</v>
      </c>
      <c r="D31" s="3"/>
      <c r="E31" s="8">
        <f t="shared" si="1"/>
        <v>1750</v>
      </c>
      <c r="F31" s="3"/>
    </row>
    <row r="32" spans="1:11" x14ac:dyDescent="0.3">
      <c r="A32" s="6"/>
      <c r="B32" s="3" t="s">
        <v>32</v>
      </c>
      <c r="C32" s="3">
        <v>33300</v>
      </c>
      <c r="D32" s="3"/>
      <c r="E32" s="8">
        <f t="shared" si="1"/>
        <v>4162.5</v>
      </c>
      <c r="F32" s="3"/>
    </row>
    <row r="33" spans="1:9" x14ac:dyDescent="0.3">
      <c r="A33" s="6"/>
      <c r="B33" s="3" t="s">
        <v>33</v>
      </c>
      <c r="C33" s="3">
        <v>41800</v>
      </c>
      <c r="D33" s="3"/>
      <c r="E33" s="8">
        <f t="shared" si="1"/>
        <v>5225</v>
      </c>
      <c r="F33" s="3"/>
    </row>
    <row r="34" spans="1:9" x14ac:dyDescent="0.3">
      <c r="A34" s="6"/>
      <c r="B34" s="3" t="s">
        <v>34</v>
      </c>
      <c r="C34" s="3">
        <v>17300</v>
      </c>
      <c r="D34" s="3"/>
      <c r="E34" s="8">
        <f t="shared" si="1"/>
        <v>2162.5</v>
      </c>
      <c r="F34" s="3"/>
    </row>
    <row r="35" spans="1:9" x14ac:dyDescent="0.3">
      <c r="A35" s="6"/>
      <c r="B35" s="3" t="s">
        <v>35</v>
      </c>
      <c r="C35" s="3">
        <v>23800</v>
      </c>
      <c r="D35" s="3"/>
      <c r="E35" s="8">
        <f t="shared" si="1"/>
        <v>2975</v>
      </c>
      <c r="F35" s="3"/>
    </row>
    <row r="36" spans="1:9" ht="15" thickBot="1" x14ac:dyDescent="0.35">
      <c r="A36" s="7"/>
      <c r="B36" s="3" t="s">
        <v>36</v>
      </c>
      <c r="C36" s="3">
        <f>C28+C29+C30+C31+C32+C33+C34+C35</f>
        <v>201700</v>
      </c>
      <c r="D36" s="3"/>
      <c r="E36" s="8">
        <f>C36*$K$26</f>
        <v>25212.5</v>
      </c>
      <c r="F36" s="3"/>
    </row>
    <row r="39" spans="1:9" x14ac:dyDescent="0.3">
      <c r="A39" s="2" t="s">
        <v>54</v>
      </c>
    </row>
    <row r="40" spans="1:9" x14ac:dyDescent="0.3">
      <c r="A40" s="5" t="s">
        <v>38</v>
      </c>
    </row>
    <row r="42" spans="1:9" ht="15" x14ac:dyDescent="0.35">
      <c r="A42" s="3" t="s">
        <v>39</v>
      </c>
      <c r="B42" s="3"/>
      <c r="C42" s="3" t="s">
        <v>40</v>
      </c>
      <c r="D42" s="3" t="s">
        <v>51</v>
      </c>
      <c r="E42" s="3" t="s">
        <v>56</v>
      </c>
      <c r="F42" s="3"/>
      <c r="G42" s="3"/>
      <c r="H42" s="3"/>
      <c r="I42" s="3"/>
    </row>
    <row r="43" spans="1:9" x14ac:dyDescent="0.3">
      <c r="A43" s="3" t="s">
        <v>41</v>
      </c>
      <c r="B43" s="3"/>
      <c r="C43" s="3">
        <v>500</v>
      </c>
      <c r="D43" s="3">
        <f>C43*$G$43</f>
        <v>475</v>
      </c>
      <c r="E43" s="3">
        <f>C43*$G$44</f>
        <v>15075</v>
      </c>
      <c r="F43" s="3" t="s">
        <v>49</v>
      </c>
      <c r="G43" s="3">
        <f>0.95</f>
        <v>0.95</v>
      </c>
      <c r="H43" s="3"/>
      <c r="I43" s="3"/>
    </row>
    <row r="44" spans="1:9" x14ac:dyDescent="0.3">
      <c r="A44" s="3" t="s">
        <v>42</v>
      </c>
      <c r="B44" s="3"/>
      <c r="C44" s="3">
        <v>500</v>
      </c>
      <c r="D44" s="3">
        <f t="shared" ref="D44:D49" si="2">C44*$G$43</f>
        <v>475</v>
      </c>
      <c r="E44" s="3">
        <f t="shared" ref="E44:E50" si="3">C44*$G$44</f>
        <v>15075</v>
      </c>
      <c r="F44" s="3" t="s">
        <v>50</v>
      </c>
      <c r="G44" s="3">
        <f xml:space="preserve"> 30.15</f>
        <v>30.15</v>
      </c>
      <c r="H44" s="3"/>
      <c r="I44" s="3"/>
    </row>
    <row r="45" spans="1:9" x14ac:dyDescent="0.3">
      <c r="A45" s="3" t="s">
        <v>43</v>
      </c>
      <c r="B45" s="3"/>
      <c r="C45" s="3">
        <v>150</v>
      </c>
      <c r="D45" s="3">
        <f t="shared" si="2"/>
        <v>142.5</v>
      </c>
      <c r="E45" s="3">
        <f t="shared" si="3"/>
        <v>4522.5</v>
      </c>
      <c r="F45" s="3"/>
      <c r="G45" s="3"/>
      <c r="H45" s="3"/>
      <c r="I45" s="3"/>
    </row>
    <row r="46" spans="1:9" x14ac:dyDescent="0.3">
      <c r="A46" s="3" t="s">
        <v>44</v>
      </c>
      <c r="B46" s="3"/>
      <c r="C46" s="3">
        <v>150</v>
      </c>
      <c r="D46" s="3">
        <f t="shared" si="2"/>
        <v>142.5</v>
      </c>
      <c r="E46" s="3">
        <f t="shared" si="3"/>
        <v>4522.5</v>
      </c>
      <c r="F46" s="3"/>
      <c r="G46" s="3"/>
      <c r="H46" s="3"/>
      <c r="I46" s="3"/>
    </row>
    <row r="47" spans="1:9" x14ac:dyDescent="0.3">
      <c r="A47" s="3" t="s">
        <v>45</v>
      </c>
      <c r="B47" s="3"/>
      <c r="C47" s="3">
        <v>200</v>
      </c>
      <c r="D47" s="3">
        <f t="shared" si="2"/>
        <v>190</v>
      </c>
      <c r="E47" s="3">
        <f t="shared" si="3"/>
        <v>6030</v>
      </c>
      <c r="F47" s="3"/>
      <c r="G47" s="3"/>
      <c r="H47" s="3"/>
      <c r="I47" s="3"/>
    </row>
    <row r="48" spans="1:9" x14ac:dyDescent="0.3">
      <c r="A48" s="3" t="s">
        <v>46</v>
      </c>
      <c r="B48" s="3"/>
      <c r="C48" s="3">
        <v>300</v>
      </c>
      <c r="D48" s="3">
        <f t="shared" si="2"/>
        <v>285</v>
      </c>
      <c r="E48" s="3">
        <f t="shared" si="3"/>
        <v>9045</v>
      </c>
      <c r="F48" s="3"/>
      <c r="G48" s="3"/>
      <c r="H48" s="3"/>
      <c r="I48" s="3"/>
    </row>
    <row r="49" spans="1:16" x14ac:dyDescent="0.3">
      <c r="A49" s="3" t="s">
        <v>47</v>
      </c>
      <c r="B49" s="3"/>
      <c r="C49" s="3">
        <v>300</v>
      </c>
      <c r="D49" s="3">
        <f t="shared" si="2"/>
        <v>285</v>
      </c>
      <c r="E49" s="3">
        <f t="shared" si="3"/>
        <v>9045</v>
      </c>
      <c r="F49" s="3"/>
      <c r="G49" s="3"/>
      <c r="H49" s="3"/>
      <c r="I49" s="3"/>
    </row>
    <row r="50" spans="1:16" x14ac:dyDescent="0.3">
      <c r="A50" s="3" t="s">
        <v>48</v>
      </c>
      <c r="B50" s="3"/>
      <c r="C50" s="3">
        <f>C43+C44+C45+C46+C47+C48+C49</f>
        <v>2100</v>
      </c>
      <c r="D50" s="3">
        <f>C50*$G$43</f>
        <v>1995</v>
      </c>
      <c r="E50" s="3">
        <f t="shared" si="3"/>
        <v>63315</v>
      </c>
      <c r="F50" s="3"/>
      <c r="G50" s="3"/>
      <c r="H50" s="3"/>
      <c r="I50" s="3"/>
    </row>
    <row r="57" spans="1:16" x14ac:dyDescent="0.3">
      <c r="M57" s="2" t="s">
        <v>212</v>
      </c>
      <c r="P57" t="s">
        <v>213</v>
      </c>
    </row>
    <row r="60" spans="1:16" x14ac:dyDescent="0.3">
      <c r="C60" s="12" t="s">
        <v>57</v>
      </c>
      <c r="E60" s="12" t="s">
        <v>64</v>
      </c>
      <c r="F60" s="12"/>
      <c r="G60" s="12" t="s">
        <v>57</v>
      </c>
      <c r="H60" s="12" t="s">
        <v>64</v>
      </c>
      <c r="I60" s="12" t="s">
        <v>57</v>
      </c>
      <c r="J60">
        <v>1</v>
      </c>
      <c r="K60">
        <v>1</v>
      </c>
      <c r="L60" t="s">
        <v>71</v>
      </c>
      <c r="M60" t="s">
        <v>83</v>
      </c>
      <c r="N60" t="s">
        <v>84</v>
      </c>
    </row>
    <row r="61" spans="1:16" x14ac:dyDescent="0.3">
      <c r="C61" s="12" t="s">
        <v>58</v>
      </c>
      <c r="E61" t="s">
        <v>65</v>
      </c>
      <c r="G61" s="12"/>
      <c r="H61" s="12" t="s">
        <v>65</v>
      </c>
      <c r="I61" s="12" t="s">
        <v>58</v>
      </c>
      <c r="J61">
        <v>1</v>
      </c>
      <c r="K61">
        <v>2</v>
      </c>
      <c r="L61" t="s">
        <v>72</v>
      </c>
      <c r="N61" t="s">
        <v>85</v>
      </c>
    </row>
    <row r="62" spans="1:16" x14ac:dyDescent="0.3">
      <c r="C62" s="12" t="s">
        <v>59</v>
      </c>
      <c r="E62" t="s">
        <v>66</v>
      </c>
      <c r="G62" s="12"/>
      <c r="H62" s="12" t="s">
        <v>66</v>
      </c>
      <c r="I62" s="12" t="s">
        <v>59</v>
      </c>
      <c r="J62">
        <v>1</v>
      </c>
      <c r="K62">
        <v>3</v>
      </c>
      <c r="L62" t="s">
        <v>73</v>
      </c>
      <c r="N62" t="s">
        <v>86</v>
      </c>
    </row>
    <row r="63" spans="1:16" x14ac:dyDescent="0.3">
      <c r="C63" s="12" t="s">
        <v>60</v>
      </c>
      <c r="E63" t="s">
        <v>67</v>
      </c>
      <c r="G63" s="12"/>
      <c r="H63" s="12" t="s">
        <v>67</v>
      </c>
      <c r="I63" s="12" t="s">
        <v>60</v>
      </c>
      <c r="J63">
        <v>1</v>
      </c>
      <c r="K63">
        <v>4</v>
      </c>
      <c r="L63" t="s">
        <v>74</v>
      </c>
      <c r="N63" t="s">
        <v>87</v>
      </c>
    </row>
    <row r="64" spans="1:16" x14ac:dyDescent="0.3">
      <c r="C64" s="12" t="s">
        <v>61</v>
      </c>
      <c r="E64" t="s">
        <v>68</v>
      </c>
      <c r="G64" s="12"/>
      <c r="H64" s="12" t="s">
        <v>68</v>
      </c>
      <c r="I64" s="12" t="s">
        <v>61</v>
      </c>
      <c r="J64">
        <v>1</v>
      </c>
      <c r="K64">
        <v>5</v>
      </c>
      <c r="L64" t="s">
        <v>75</v>
      </c>
      <c r="N64" t="s">
        <v>88</v>
      </c>
    </row>
    <row r="65" spans="2:14" x14ac:dyDescent="0.3">
      <c r="C65" s="12" t="s">
        <v>62</v>
      </c>
      <c r="E65" t="s">
        <v>69</v>
      </c>
      <c r="G65" s="12"/>
      <c r="H65" s="12" t="s">
        <v>69</v>
      </c>
      <c r="I65" s="12" t="s">
        <v>62</v>
      </c>
      <c r="J65">
        <v>1</v>
      </c>
      <c r="K65">
        <v>6</v>
      </c>
      <c r="L65" t="s">
        <v>76</v>
      </c>
      <c r="N65" t="s">
        <v>86</v>
      </c>
    </row>
    <row r="66" spans="2:14" x14ac:dyDescent="0.3">
      <c r="C66" s="12" t="s">
        <v>63</v>
      </c>
      <c r="E66" t="s">
        <v>70</v>
      </c>
      <c r="G66" s="12"/>
      <c r="H66" s="12" t="s">
        <v>70</v>
      </c>
      <c r="I66" s="12" t="s">
        <v>63</v>
      </c>
      <c r="J66">
        <v>1</v>
      </c>
      <c r="K66">
        <v>7</v>
      </c>
      <c r="L66" t="s">
        <v>77</v>
      </c>
      <c r="N66" t="s">
        <v>89</v>
      </c>
    </row>
    <row r="67" spans="2:14" x14ac:dyDescent="0.3">
      <c r="C67" s="12"/>
      <c r="H67" s="12" t="s">
        <v>64</v>
      </c>
      <c r="J67">
        <v>1</v>
      </c>
      <c r="K67">
        <v>8</v>
      </c>
      <c r="L67" t="s">
        <v>78</v>
      </c>
      <c r="N67" t="s">
        <v>84</v>
      </c>
    </row>
    <row r="68" spans="2:14" x14ac:dyDescent="0.3">
      <c r="C68" s="12"/>
      <c r="J68">
        <v>1</v>
      </c>
      <c r="K68">
        <v>9</v>
      </c>
      <c r="L68" t="s">
        <v>79</v>
      </c>
      <c r="N68" t="s">
        <v>85</v>
      </c>
    </row>
    <row r="69" spans="2:14" x14ac:dyDescent="0.3">
      <c r="J69">
        <v>1</v>
      </c>
      <c r="K69">
        <v>10</v>
      </c>
      <c r="L69" t="s">
        <v>80</v>
      </c>
      <c r="N69" t="s">
        <v>86</v>
      </c>
    </row>
    <row r="70" spans="2:14" x14ac:dyDescent="0.3">
      <c r="L70" t="s">
        <v>81</v>
      </c>
      <c r="N70" t="s">
        <v>87</v>
      </c>
    </row>
    <row r="71" spans="2:14" x14ac:dyDescent="0.3">
      <c r="L71" t="s">
        <v>82</v>
      </c>
      <c r="N71" t="s">
        <v>88</v>
      </c>
    </row>
    <row r="72" spans="2:14" x14ac:dyDescent="0.3">
      <c r="N72" t="s">
        <v>86</v>
      </c>
    </row>
    <row r="73" spans="2:14" x14ac:dyDescent="0.3">
      <c r="N73" t="s">
        <v>89</v>
      </c>
    </row>
    <row r="74" spans="2:14" x14ac:dyDescent="0.3">
      <c r="B74" s="3"/>
      <c r="C74" s="3"/>
      <c r="D74" s="3"/>
      <c r="E74" s="3"/>
      <c r="F74" s="3"/>
      <c r="G74" s="3"/>
      <c r="H74" s="3"/>
      <c r="I74" s="3"/>
      <c r="J74" s="3"/>
    </row>
    <row r="75" spans="2:14" x14ac:dyDescent="0.3">
      <c r="B75" s="3"/>
      <c r="C75" s="9" t="s">
        <v>90</v>
      </c>
      <c r="D75" s="3"/>
      <c r="E75" s="3"/>
      <c r="F75" s="3"/>
      <c r="G75" s="3"/>
      <c r="H75" s="3"/>
      <c r="I75" s="3"/>
      <c r="J75" s="3"/>
      <c r="M75" t="s">
        <v>94</v>
      </c>
    </row>
    <row r="76" spans="2:14" x14ac:dyDescent="0.3">
      <c r="B76" s="3"/>
      <c r="C76" s="3" t="s">
        <v>91</v>
      </c>
      <c r="D76" s="3"/>
      <c r="E76" s="3" t="s">
        <v>92</v>
      </c>
      <c r="F76" s="3" t="s">
        <v>93</v>
      </c>
      <c r="G76" s="3" t="s">
        <v>95</v>
      </c>
      <c r="H76" s="3" t="s">
        <v>96</v>
      </c>
      <c r="I76" s="3" t="s">
        <v>100</v>
      </c>
      <c r="J76" s="3"/>
      <c r="M76" t="s">
        <v>211</v>
      </c>
    </row>
    <row r="77" spans="2:14" x14ac:dyDescent="0.3">
      <c r="B77" s="3"/>
      <c r="C77" s="3">
        <v>1</v>
      </c>
      <c r="D77" s="3"/>
      <c r="E77" s="3">
        <v>0</v>
      </c>
      <c r="F77" s="3">
        <v>25</v>
      </c>
      <c r="G77" s="3">
        <v>45</v>
      </c>
      <c r="H77" s="3">
        <v>78</v>
      </c>
      <c r="I77" s="3">
        <v>45</v>
      </c>
      <c r="J77" s="3"/>
    </row>
    <row r="78" spans="2:14" x14ac:dyDescent="0.3">
      <c r="B78" s="3"/>
      <c r="C78" s="3">
        <v>25</v>
      </c>
      <c r="D78" s="3"/>
      <c r="E78" s="3">
        <v>654</v>
      </c>
      <c r="F78" s="3">
        <v>45</v>
      </c>
      <c r="G78" s="3">
        <v>25</v>
      </c>
      <c r="H78" s="3">
        <v>45</v>
      </c>
      <c r="I78" s="3"/>
      <c r="J78" s="3"/>
    </row>
    <row r="79" spans="2:14" x14ac:dyDescent="0.3">
      <c r="B79" s="3"/>
      <c r="C79" s="3">
        <v>45</v>
      </c>
      <c r="D79" s="3"/>
      <c r="E79" s="3">
        <v>897</v>
      </c>
      <c r="F79" s="3">
        <v>85</v>
      </c>
      <c r="G79" s="3">
        <v>47</v>
      </c>
      <c r="H79" s="3" t="s">
        <v>97</v>
      </c>
      <c r="I79" s="3">
        <v>12</v>
      </c>
      <c r="J79" s="3"/>
    </row>
    <row r="80" spans="2:14" x14ac:dyDescent="0.3">
      <c r="B80" s="3"/>
      <c r="C80" s="3">
        <v>87</v>
      </c>
      <c r="D80" s="3"/>
      <c r="E80" s="3">
        <v>45</v>
      </c>
      <c r="F80" s="3">
        <v>74</v>
      </c>
      <c r="G80" s="3">
        <v>89</v>
      </c>
      <c r="H80" s="3" t="s">
        <v>98</v>
      </c>
      <c r="I80" s="3">
        <v>56</v>
      </c>
      <c r="J80" s="3"/>
    </row>
    <row r="81" spans="1:10" x14ac:dyDescent="0.3">
      <c r="B81" s="3"/>
      <c r="C81" s="3">
        <v>95</v>
      </c>
      <c r="D81" s="3"/>
      <c r="E81" s="3">
        <v>45</v>
      </c>
      <c r="F81" s="3">
        <v>48</v>
      </c>
      <c r="G81" s="3">
        <v>12</v>
      </c>
      <c r="H81" s="3" t="s">
        <v>99</v>
      </c>
      <c r="I81" s="3"/>
      <c r="J81" s="3"/>
    </row>
    <row r="82" spans="1:10" x14ac:dyDescent="0.3">
      <c r="B82" s="3"/>
      <c r="C82" s="3">
        <f>SUM(C77:C81)</f>
        <v>253</v>
      </c>
      <c r="D82" s="3"/>
      <c r="E82" s="3">
        <f>MIN(E77:E81)</f>
        <v>0</v>
      </c>
      <c r="F82" s="3">
        <f>MAX(F77:F81)</f>
        <v>85</v>
      </c>
      <c r="G82" s="3">
        <f>COUNT(G77:G81)</f>
        <v>5</v>
      </c>
      <c r="H82" s="3">
        <f>COUNTA(H77:H80)</f>
        <v>4</v>
      </c>
      <c r="I82" s="3">
        <f>COUNTBLANK(I77:I81)</f>
        <v>2</v>
      </c>
      <c r="J82" s="3"/>
    </row>
    <row r="85" spans="1:10" x14ac:dyDescent="0.3">
      <c r="A85" t="s">
        <v>118</v>
      </c>
      <c r="B85" s="2" t="s">
        <v>101</v>
      </c>
      <c r="C85" s="2"/>
      <c r="D85" s="2"/>
      <c r="E85" s="2"/>
      <c r="F85" s="2"/>
      <c r="G85" s="2"/>
      <c r="H85" s="2"/>
      <c r="I85" s="2"/>
      <c r="J85" s="2"/>
    </row>
    <row r="86" spans="1:10" x14ac:dyDescent="0.3">
      <c r="B86" s="2" t="s">
        <v>102</v>
      </c>
      <c r="C86" s="2"/>
      <c r="D86" s="2"/>
      <c r="E86" s="2"/>
      <c r="F86" s="2"/>
    </row>
    <row r="87" spans="1:10" x14ac:dyDescent="0.3">
      <c r="A87" s="3"/>
      <c r="B87" s="9" t="s">
        <v>103</v>
      </c>
      <c r="C87" s="9" t="s">
        <v>113</v>
      </c>
      <c r="D87" s="9" t="s">
        <v>114</v>
      </c>
      <c r="E87" s="3" t="s">
        <v>115</v>
      </c>
    </row>
    <row r="88" spans="1:10" x14ac:dyDescent="0.3">
      <c r="A88" s="3"/>
      <c r="B88" s="3" t="s">
        <v>104</v>
      </c>
      <c r="C88" s="13">
        <v>45309</v>
      </c>
      <c r="D88" s="3">
        <v>152</v>
      </c>
      <c r="E88" s="3"/>
    </row>
    <row r="89" spans="1:10" x14ac:dyDescent="0.3">
      <c r="A89" s="3"/>
      <c r="B89" s="3" t="s">
        <v>105</v>
      </c>
      <c r="C89" s="13">
        <v>45309</v>
      </c>
      <c r="D89" s="3">
        <v>171</v>
      </c>
      <c r="E89" s="3"/>
    </row>
    <row r="90" spans="1:10" x14ac:dyDescent="0.3">
      <c r="A90" s="3"/>
      <c r="B90" s="3" t="s">
        <v>106</v>
      </c>
      <c r="C90" s="13">
        <v>45309</v>
      </c>
      <c r="D90" s="3">
        <v>110</v>
      </c>
      <c r="E90" s="3"/>
    </row>
    <row r="91" spans="1:10" x14ac:dyDescent="0.3">
      <c r="A91" s="3"/>
      <c r="B91" s="3" t="s">
        <v>107</v>
      </c>
      <c r="C91" s="13">
        <v>45340</v>
      </c>
      <c r="D91" s="3">
        <v>173</v>
      </c>
      <c r="E91" s="3"/>
    </row>
    <row r="92" spans="1:10" x14ac:dyDescent="0.3">
      <c r="A92" s="3"/>
      <c r="B92" s="3" t="s">
        <v>108</v>
      </c>
      <c r="C92" s="13">
        <v>45340</v>
      </c>
      <c r="D92" s="3">
        <v>128</v>
      </c>
      <c r="E92" s="3"/>
    </row>
    <row r="93" spans="1:10" x14ac:dyDescent="0.3">
      <c r="A93" s="3"/>
      <c r="B93" s="3" t="s">
        <v>109</v>
      </c>
      <c r="C93" s="13">
        <v>45340</v>
      </c>
      <c r="D93" s="3">
        <v>107</v>
      </c>
      <c r="E93" s="3"/>
    </row>
    <row r="94" spans="1:10" x14ac:dyDescent="0.3">
      <c r="A94" s="3"/>
      <c r="B94" s="3" t="s">
        <v>110</v>
      </c>
      <c r="C94" s="13">
        <v>45369</v>
      </c>
      <c r="D94" s="3">
        <v>213</v>
      </c>
      <c r="E94" s="3"/>
    </row>
    <row r="95" spans="1:10" x14ac:dyDescent="0.3">
      <c r="A95" s="3"/>
      <c r="B95" s="3" t="s">
        <v>111</v>
      </c>
      <c r="C95" s="13">
        <v>45369</v>
      </c>
      <c r="D95" s="3">
        <v>238</v>
      </c>
      <c r="E95" s="3"/>
    </row>
    <row r="96" spans="1:10" x14ac:dyDescent="0.3">
      <c r="A96" s="3"/>
      <c r="B96" s="3" t="s">
        <v>112</v>
      </c>
      <c r="C96" s="13">
        <v>45369</v>
      </c>
      <c r="D96" s="3">
        <v>131</v>
      </c>
      <c r="E96" s="3"/>
    </row>
    <row r="98" spans="1:6" x14ac:dyDescent="0.3">
      <c r="B98" s="2"/>
      <c r="C98" s="2"/>
      <c r="D98" s="2"/>
      <c r="E98" s="2"/>
      <c r="F98" s="2"/>
    </row>
    <row r="99" spans="1:6" x14ac:dyDescent="0.3">
      <c r="B99" s="2" t="s">
        <v>116</v>
      </c>
      <c r="C99" s="2"/>
      <c r="D99" s="2"/>
      <c r="E99" s="2"/>
      <c r="F99" s="2"/>
    </row>
    <row r="100" spans="1:6" x14ac:dyDescent="0.3">
      <c r="E100" t="s">
        <v>117</v>
      </c>
    </row>
    <row r="101" spans="1:6" x14ac:dyDescent="0.3">
      <c r="E101" s="2">
        <f>AVERAGE(D88:D96)</f>
        <v>158.11111111111111</v>
      </c>
    </row>
    <row r="103" spans="1:6" x14ac:dyDescent="0.3">
      <c r="A103" s="2" t="s">
        <v>119</v>
      </c>
      <c r="C103">
        <v>25</v>
      </c>
      <c r="D103">
        <v>35</v>
      </c>
    </row>
    <row r="104" spans="1:6" x14ac:dyDescent="0.3">
      <c r="B104" t="s">
        <v>120</v>
      </c>
      <c r="C104" t="b">
        <f>C103=D103</f>
        <v>0</v>
      </c>
    </row>
    <row r="105" spans="1:6" x14ac:dyDescent="0.3">
      <c r="B105" t="s">
        <v>121</v>
      </c>
      <c r="C105" t="b">
        <f>C103&gt;D103</f>
        <v>0</v>
      </c>
    </row>
    <row r="106" spans="1:6" x14ac:dyDescent="0.3">
      <c r="B106" t="s">
        <v>122</v>
      </c>
      <c r="C106" t="b">
        <f>C103&lt;D103</f>
        <v>1</v>
      </c>
      <c r="E106" s="2" t="s">
        <v>126</v>
      </c>
    </row>
    <row r="107" spans="1:6" x14ac:dyDescent="0.3">
      <c r="B107" t="s">
        <v>123</v>
      </c>
      <c r="C107" t="b">
        <f>C103&gt;=D103</f>
        <v>0</v>
      </c>
    </row>
    <row r="108" spans="1:6" x14ac:dyDescent="0.3">
      <c r="B108" t="s">
        <v>124</v>
      </c>
      <c r="C108" t="b">
        <f>C103&lt;=D103</f>
        <v>1</v>
      </c>
    </row>
    <row r="109" spans="1:6" x14ac:dyDescent="0.3">
      <c r="B109" t="s">
        <v>125</v>
      </c>
      <c r="C109" t="b">
        <f>C103&lt;&gt;D103</f>
        <v>1</v>
      </c>
    </row>
    <row r="110" spans="1:6" x14ac:dyDescent="0.3">
      <c r="C110">
        <v>25</v>
      </c>
      <c r="D110">
        <v>35</v>
      </c>
    </row>
    <row r="111" spans="1:6" x14ac:dyDescent="0.3">
      <c r="A111" s="2" t="s">
        <v>127</v>
      </c>
      <c r="B111" t="b">
        <f>C110=D110</f>
        <v>0</v>
      </c>
    </row>
    <row r="112" spans="1:6" x14ac:dyDescent="0.3">
      <c r="A112" s="2" t="s">
        <v>128</v>
      </c>
      <c r="B112" t="str">
        <f>IF(C110=D110,"Yes","No")</f>
        <v>No</v>
      </c>
    </row>
    <row r="113" spans="1:7" x14ac:dyDescent="0.3">
      <c r="A113" s="14" t="s">
        <v>129</v>
      </c>
      <c r="B113">
        <f>IF(EC110=D110,1,0)</f>
        <v>0</v>
      </c>
    </row>
    <row r="114" spans="1:7" x14ac:dyDescent="0.3">
      <c r="A114" t="s">
        <v>130</v>
      </c>
      <c r="B114" t="str">
        <f>IF(C110=D110,"pass","fail")</f>
        <v>fail</v>
      </c>
    </row>
    <row r="117" spans="1:7" x14ac:dyDescent="0.3">
      <c r="A117" s="3"/>
      <c r="B117" s="3"/>
      <c r="C117" s="3"/>
      <c r="D117" s="3"/>
      <c r="E117" s="3"/>
      <c r="F117" s="3"/>
      <c r="G117" s="3"/>
    </row>
    <row r="118" spans="1:7" x14ac:dyDescent="0.3">
      <c r="A118" s="3">
        <v>1</v>
      </c>
      <c r="B118" s="3" t="s">
        <v>131</v>
      </c>
      <c r="C118" s="3" t="s">
        <v>141</v>
      </c>
      <c r="D118" s="3" t="s">
        <v>5</v>
      </c>
      <c r="E118" s="3" t="s">
        <v>145</v>
      </c>
      <c r="F118" s="3"/>
      <c r="G118" s="3" t="s">
        <v>147</v>
      </c>
    </row>
    <row r="119" spans="1:7" x14ac:dyDescent="0.3">
      <c r="A119" s="3">
        <v>2</v>
      </c>
      <c r="B119" s="3" t="s">
        <v>140</v>
      </c>
      <c r="C119" s="3" t="s">
        <v>142</v>
      </c>
      <c r="D119" s="3">
        <v>318</v>
      </c>
      <c r="E119" s="3" t="str">
        <f>IF(D119&gt;500,"yes","no")</f>
        <v>no</v>
      </c>
      <c r="F119" s="3"/>
      <c r="G119" s="3" t="str">
        <f>IF(D119=C119,"true","false")</f>
        <v>false</v>
      </c>
    </row>
    <row r="120" spans="1:7" x14ac:dyDescent="0.3">
      <c r="A120" s="3">
        <v>3</v>
      </c>
      <c r="B120" s="3" t="s">
        <v>132</v>
      </c>
      <c r="C120" s="3" t="s">
        <v>142</v>
      </c>
      <c r="D120" s="3">
        <v>405</v>
      </c>
      <c r="E120" s="3" t="str">
        <f t="shared" ref="E120:E126" si="4">IF(D120&gt;500,"yes","no")</f>
        <v>no</v>
      </c>
      <c r="F120" s="3"/>
      <c r="G120" s="3" t="str">
        <f t="shared" ref="G120:G127" si="5">IF(D120=C120,"true","false")</f>
        <v>false</v>
      </c>
    </row>
    <row r="121" spans="1:7" x14ac:dyDescent="0.3">
      <c r="A121" s="3">
        <v>4</v>
      </c>
      <c r="B121" s="3" t="s">
        <v>139</v>
      </c>
      <c r="C121" s="3" t="s">
        <v>142</v>
      </c>
      <c r="D121" s="3">
        <v>525</v>
      </c>
      <c r="E121" s="3" t="str">
        <f t="shared" si="4"/>
        <v>yes</v>
      </c>
      <c r="F121" s="3"/>
      <c r="G121" s="3" t="str">
        <f>IF(D121=C121,"true","false")</f>
        <v>false</v>
      </c>
    </row>
    <row r="122" spans="1:7" x14ac:dyDescent="0.3">
      <c r="A122" s="3">
        <v>5</v>
      </c>
      <c r="B122" s="3" t="s">
        <v>133</v>
      </c>
      <c r="C122" s="3" t="s">
        <v>143</v>
      </c>
      <c r="D122" s="3">
        <v>309</v>
      </c>
      <c r="E122" s="3" t="str">
        <f t="shared" si="4"/>
        <v>no</v>
      </c>
      <c r="F122" s="3"/>
      <c r="G122" s="3" t="str">
        <f t="shared" si="5"/>
        <v>false</v>
      </c>
    </row>
    <row r="123" spans="1:7" x14ac:dyDescent="0.3">
      <c r="A123" s="3">
        <v>6</v>
      </c>
      <c r="B123" s="3" t="s">
        <v>134</v>
      </c>
      <c r="C123" s="3" t="s">
        <v>143</v>
      </c>
      <c r="D123" s="3">
        <v>405</v>
      </c>
      <c r="E123" s="3" t="str">
        <f t="shared" si="4"/>
        <v>no</v>
      </c>
      <c r="F123" s="3"/>
      <c r="G123" s="3" t="str">
        <f t="shared" si="5"/>
        <v>false</v>
      </c>
    </row>
    <row r="124" spans="1:7" x14ac:dyDescent="0.3">
      <c r="A124" s="3">
        <v>7</v>
      </c>
      <c r="B124" s="3" t="s">
        <v>135</v>
      </c>
      <c r="C124" s="3" t="s">
        <v>143</v>
      </c>
      <c r="D124" s="3">
        <v>534</v>
      </c>
      <c r="E124" s="3" t="str">
        <f t="shared" si="4"/>
        <v>yes</v>
      </c>
      <c r="F124" s="3"/>
      <c r="G124" s="3" t="str">
        <f t="shared" si="5"/>
        <v>false</v>
      </c>
    </row>
    <row r="125" spans="1:7" x14ac:dyDescent="0.3">
      <c r="A125" s="3">
        <v>8</v>
      </c>
      <c r="B125" s="3" t="s">
        <v>136</v>
      </c>
      <c r="C125" s="3" t="s">
        <v>144</v>
      </c>
      <c r="D125" s="3">
        <v>314</v>
      </c>
      <c r="E125" s="3" t="str">
        <f t="shared" si="4"/>
        <v>no</v>
      </c>
      <c r="F125" s="3"/>
      <c r="G125" s="3" t="str">
        <f t="shared" si="5"/>
        <v>false</v>
      </c>
    </row>
    <row r="126" spans="1:7" x14ac:dyDescent="0.3">
      <c r="A126" s="3">
        <v>9</v>
      </c>
      <c r="B126" s="3" t="s">
        <v>137</v>
      </c>
      <c r="C126" s="3" t="s">
        <v>144</v>
      </c>
      <c r="D126" s="3">
        <v>405</v>
      </c>
      <c r="E126" s="3" t="str">
        <f t="shared" si="4"/>
        <v>no</v>
      </c>
      <c r="F126" s="3"/>
      <c r="G126" s="3" t="str">
        <f t="shared" si="5"/>
        <v>false</v>
      </c>
    </row>
    <row r="127" spans="1:7" x14ac:dyDescent="0.3">
      <c r="A127" s="3">
        <v>10</v>
      </c>
      <c r="B127" s="3" t="s">
        <v>138</v>
      </c>
      <c r="C127" s="3" t="s">
        <v>144</v>
      </c>
      <c r="D127" s="3">
        <v>530</v>
      </c>
      <c r="E127" s="3" t="str">
        <f>IF(D127&gt;500,"yes","no")</f>
        <v>yes</v>
      </c>
      <c r="F127" s="3"/>
      <c r="G127" s="3" t="str">
        <f t="shared" si="5"/>
        <v>false</v>
      </c>
    </row>
    <row r="130" spans="1:13" x14ac:dyDescent="0.3">
      <c r="A130" s="2" t="s">
        <v>146</v>
      </c>
      <c r="D130" t="s">
        <v>148</v>
      </c>
    </row>
    <row r="131" spans="1:13" x14ac:dyDescent="0.3">
      <c r="D131">
        <v>25</v>
      </c>
      <c r="E131">
        <v>35</v>
      </c>
    </row>
    <row r="132" spans="1:13" x14ac:dyDescent="0.3">
      <c r="D132" t="str">
        <f>IF(D131+E131&gt;(50)*10%,"TRUE","FALSE")</f>
        <v>TRUE</v>
      </c>
    </row>
    <row r="134" spans="1:13" x14ac:dyDescent="0.3">
      <c r="B134" t="s">
        <v>149</v>
      </c>
      <c r="C134" t="s">
        <v>150</v>
      </c>
    </row>
    <row r="135" spans="1:13" x14ac:dyDescent="0.3">
      <c r="C135" t="s">
        <v>151</v>
      </c>
    </row>
    <row r="136" spans="1:13" x14ac:dyDescent="0.3">
      <c r="C136" t="s">
        <v>152</v>
      </c>
    </row>
    <row r="137" spans="1:13" x14ac:dyDescent="0.3">
      <c r="C137" t="s">
        <v>153</v>
      </c>
    </row>
    <row r="138" spans="1:13" x14ac:dyDescent="0.3">
      <c r="E138" t="s">
        <v>165</v>
      </c>
    </row>
    <row r="140" spans="1:13" x14ac:dyDescent="0.3">
      <c r="B140" s="3"/>
      <c r="C140" s="9" t="s">
        <v>154</v>
      </c>
      <c r="D140" s="3"/>
      <c r="E140" s="9" t="s">
        <v>166</v>
      </c>
      <c r="F140" s="9" t="s">
        <v>167</v>
      </c>
      <c r="G140" s="9" t="s">
        <v>168</v>
      </c>
      <c r="H140" s="9" t="s">
        <v>169</v>
      </c>
      <c r="I140" s="3" t="s">
        <v>180</v>
      </c>
      <c r="J140" s="3" t="s">
        <v>179</v>
      </c>
      <c r="K140" s="20" t="s">
        <v>175</v>
      </c>
      <c r="L140" s="3"/>
      <c r="M140" s="9" t="s">
        <v>177</v>
      </c>
    </row>
    <row r="141" spans="1:13" x14ac:dyDescent="0.3">
      <c r="B141" s="3"/>
      <c r="C141" s="3" t="s">
        <v>155</v>
      </c>
      <c r="D141" s="3"/>
      <c r="E141" s="3">
        <v>25</v>
      </c>
      <c r="F141" s="3">
        <v>17</v>
      </c>
      <c r="G141" s="3">
        <v>84</v>
      </c>
      <c r="H141" s="3">
        <v>45</v>
      </c>
      <c r="I141" s="3">
        <v>84</v>
      </c>
      <c r="J141" s="3">
        <f>SUM(E141:I141)</f>
        <v>255</v>
      </c>
      <c r="K141" s="19">
        <f>J141/500</f>
        <v>0.51</v>
      </c>
      <c r="L141" s="3" t="str">
        <f>IF(K141&gt;=75%,"distinction","need improvement")</f>
        <v>need improvement</v>
      </c>
      <c r="M141" s="3"/>
    </row>
    <row r="142" spans="1:13" x14ac:dyDescent="0.3">
      <c r="B142" s="3"/>
      <c r="C142" s="3" t="s">
        <v>156</v>
      </c>
      <c r="D142" s="3"/>
      <c r="E142" s="3">
        <v>45</v>
      </c>
      <c r="F142" s="3">
        <v>100</v>
      </c>
      <c r="G142" s="3">
        <v>54</v>
      </c>
      <c r="H142" s="3">
        <v>47</v>
      </c>
      <c r="I142" s="3">
        <v>54</v>
      </c>
      <c r="J142" s="3">
        <f t="shared" ref="J142:J150" si="6">SUM(E142:I142)</f>
        <v>300</v>
      </c>
      <c r="K142" s="19">
        <f t="shared" ref="K142:K150" si="7">J142/500</f>
        <v>0.6</v>
      </c>
      <c r="L142" s="3" t="str">
        <f t="shared" ref="L142:L150" si="8">IF(K142&gt;=75%,"distinction","need improvement")</f>
        <v>need improvement</v>
      </c>
      <c r="M142" s="3"/>
    </row>
    <row r="143" spans="1:13" x14ac:dyDescent="0.3">
      <c r="B143" s="3"/>
      <c r="C143" s="3" t="s">
        <v>157</v>
      </c>
      <c r="D143" s="3"/>
      <c r="E143" s="3">
        <v>78</v>
      </c>
      <c r="F143" s="3">
        <v>90</v>
      </c>
      <c r="G143" s="3">
        <v>45</v>
      </c>
      <c r="H143" s="3">
        <v>74</v>
      </c>
      <c r="I143" s="3">
        <v>45</v>
      </c>
      <c r="J143" s="3">
        <f t="shared" si="6"/>
        <v>332</v>
      </c>
      <c r="K143" s="19">
        <f t="shared" si="7"/>
        <v>0.66400000000000003</v>
      </c>
      <c r="L143" s="3" t="str">
        <f t="shared" si="8"/>
        <v>need improvement</v>
      </c>
      <c r="M143" s="3"/>
    </row>
    <row r="144" spans="1:13" x14ac:dyDescent="0.3">
      <c r="B144" s="3"/>
      <c r="C144" s="3" t="s">
        <v>158</v>
      </c>
      <c r="D144" s="3"/>
      <c r="E144" s="3">
        <v>54</v>
      </c>
      <c r="F144" s="3">
        <v>33</v>
      </c>
      <c r="G144" s="3">
        <v>82</v>
      </c>
      <c r="H144" s="3">
        <v>98</v>
      </c>
      <c r="I144" s="3">
        <v>54</v>
      </c>
      <c r="J144" s="3">
        <f t="shared" si="6"/>
        <v>321</v>
      </c>
      <c r="K144" s="19">
        <f t="shared" si="7"/>
        <v>0.64200000000000002</v>
      </c>
      <c r="L144" s="3" t="str">
        <f t="shared" si="8"/>
        <v>need improvement</v>
      </c>
      <c r="M144" s="3"/>
    </row>
    <row r="145" spans="1:13" x14ac:dyDescent="0.3">
      <c r="B145" s="3"/>
      <c r="C145" s="3" t="s">
        <v>159</v>
      </c>
      <c r="D145" s="3"/>
      <c r="E145" s="3">
        <v>95</v>
      </c>
      <c r="F145" s="3">
        <v>84</v>
      </c>
      <c r="G145" s="3">
        <v>94</v>
      </c>
      <c r="H145" s="3">
        <v>100</v>
      </c>
      <c r="I145" s="3">
        <v>86</v>
      </c>
      <c r="J145" s="3">
        <f t="shared" si="6"/>
        <v>459</v>
      </c>
      <c r="K145" s="19">
        <f t="shared" si="7"/>
        <v>0.91800000000000004</v>
      </c>
      <c r="L145" s="3" t="str">
        <f t="shared" si="8"/>
        <v>distinction</v>
      </c>
      <c r="M145" s="3"/>
    </row>
    <row r="146" spans="1:13" x14ac:dyDescent="0.3">
      <c r="B146" s="3"/>
      <c r="C146" s="3" t="s">
        <v>160</v>
      </c>
      <c r="D146" s="3"/>
      <c r="E146" s="3">
        <v>85</v>
      </c>
      <c r="F146" s="3">
        <v>26</v>
      </c>
      <c r="G146" s="3">
        <v>47</v>
      </c>
      <c r="H146" s="3">
        <v>56</v>
      </c>
      <c r="I146" s="3">
        <v>54</v>
      </c>
      <c r="J146" s="3">
        <f t="shared" si="6"/>
        <v>268</v>
      </c>
      <c r="K146" s="19">
        <f t="shared" si="7"/>
        <v>0.53600000000000003</v>
      </c>
      <c r="L146" s="3" t="str">
        <f t="shared" si="8"/>
        <v>need improvement</v>
      </c>
      <c r="M146" s="3"/>
    </row>
    <row r="147" spans="1:13" x14ac:dyDescent="0.3">
      <c r="B147" s="3"/>
      <c r="C147" s="3" t="s">
        <v>161</v>
      </c>
      <c r="D147" s="3"/>
      <c r="E147" s="3">
        <v>100</v>
      </c>
      <c r="F147" s="3">
        <v>5</v>
      </c>
      <c r="G147" s="3">
        <v>56</v>
      </c>
      <c r="H147" s="3">
        <v>84</v>
      </c>
      <c r="I147" s="3">
        <v>12</v>
      </c>
      <c r="J147" s="3">
        <f t="shared" si="6"/>
        <v>257</v>
      </c>
      <c r="K147" s="19">
        <f t="shared" si="7"/>
        <v>0.51400000000000001</v>
      </c>
      <c r="L147" s="3" t="str">
        <f t="shared" si="8"/>
        <v>need improvement</v>
      </c>
      <c r="M147" s="3"/>
    </row>
    <row r="148" spans="1:13" x14ac:dyDescent="0.3">
      <c r="B148" s="3"/>
      <c r="C148" s="3" t="s">
        <v>162</v>
      </c>
      <c r="D148" s="3"/>
      <c r="E148" s="3">
        <v>25</v>
      </c>
      <c r="F148" s="3">
        <v>48</v>
      </c>
      <c r="G148" s="3">
        <v>35</v>
      </c>
      <c r="H148" s="3">
        <v>54</v>
      </c>
      <c r="I148" s="3">
        <v>5</v>
      </c>
      <c r="J148" s="3">
        <f t="shared" si="6"/>
        <v>167</v>
      </c>
      <c r="K148" s="19">
        <f t="shared" si="7"/>
        <v>0.33400000000000002</v>
      </c>
      <c r="L148" s="3" t="str">
        <f t="shared" si="8"/>
        <v>need improvement</v>
      </c>
      <c r="M148" s="3"/>
    </row>
    <row r="149" spans="1:13" x14ac:dyDescent="0.3">
      <c r="B149" s="3"/>
      <c r="C149" s="3" t="s">
        <v>163</v>
      </c>
      <c r="D149" s="3"/>
      <c r="E149" s="3">
        <v>65</v>
      </c>
      <c r="F149" s="3">
        <v>59</v>
      </c>
      <c r="G149" s="3">
        <v>60</v>
      </c>
      <c r="H149" s="3">
        <v>94</v>
      </c>
      <c r="I149" s="3">
        <v>47</v>
      </c>
      <c r="J149" s="3">
        <f t="shared" si="6"/>
        <v>325</v>
      </c>
      <c r="K149" s="19">
        <f t="shared" si="7"/>
        <v>0.65</v>
      </c>
      <c r="L149" s="3" t="str">
        <f t="shared" si="8"/>
        <v>need improvement</v>
      </c>
      <c r="M149" s="3"/>
    </row>
    <row r="150" spans="1:13" x14ac:dyDescent="0.3">
      <c r="B150" s="3"/>
      <c r="C150" s="3" t="s">
        <v>164</v>
      </c>
      <c r="D150" s="3"/>
      <c r="E150" s="3">
        <v>7</v>
      </c>
      <c r="F150" s="3">
        <v>5</v>
      </c>
      <c r="G150" s="3">
        <v>8</v>
      </c>
      <c r="H150" s="3">
        <v>3</v>
      </c>
      <c r="I150" s="3">
        <v>3</v>
      </c>
      <c r="J150" s="3">
        <f t="shared" si="6"/>
        <v>26</v>
      </c>
      <c r="K150" s="19">
        <f t="shared" si="7"/>
        <v>5.1999999999999998E-2</v>
      </c>
      <c r="L150" s="3" t="str">
        <f t="shared" si="8"/>
        <v>need improvement</v>
      </c>
      <c r="M150" s="3"/>
    </row>
    <row r="153" spans="1:13" ht="28.8" x14ac:dyDescent="0.55000000000000004">
      <c r="C153" s="21" t="s">
        <v>181</v>
      </c>
    </row>
    <row r="156" spans="1:13" x14ac:dyDescent="0.3">
      <c r="A156" s="2" t="s">
        <v>178</v>
      </c>
    </row>
    <row r="158" spans="1:13" x14ac:dyDescent="0.3">
      <c r="B158" s="2" t="s">
        <v>170</v>
      </c>
      <c r="E158" s="10" t="s">
        <v>176</v>
      </c>
      <c r="F158" s="10" t="s">
        <v>176</v>
      </c>
    </row>
    <row r="159" spans="1:13" x14ac:dyDescent="0.3">
      <c r="B159" s="2" t="s">
        <v>171</v>
      </c>
      <c r="E159" s="3">
        <v>85</v>
      </c>
      <c r="F159" s="3" t="str">
        <f>IF(E159&gt;60,"Good",IF(E159&gt;=40,"OK","Bad"))</f>
        <v>Good</v>
      </c>
    </row>
    <row r="160" spans="1:13" x14ac:dyDescent="0.3">
      <c r="B160" s="2" t="s">
        <v>172</v>
      </c>
      <c r="E160" s="3">
        <v>24</v>
      </c>
      <c r="F160" s="3" t="str">
        <f t="shared" ref="F160:F163" si="9">IF(E160&gt;60,"Good",IF(E160&gt;=40,"OK","Bad"))</f>
        <v>Bad</v>
      </c>
    </row>
    <row r="161" spans="1:6" x14ac:dyDescent="0.3">
      <c r="B161">
        <f>B162</f>
        <v>0</v>
      </c>
      <c r="E161" s="3">
        <v>45</v>
      </c>
      <c r="F161" s="3" t="str">
        <f t="shared" si="9"/>
        <v>OK</v>
      </c>
    </row>
    <row r="162" spans="1:6" x14ac:dyDescent="0.3">
      <c r="B162" s="2"/>
      <c r="E162" s="3">
        <v>40</v>
      </c>
      <c r="F162" s="3" t="str">
        <f t="shared" si="9"/>
        <v>OK</v>
      </c>
    </row>
    <row r="163" spans="1:6" x14ac:dyDescent="0.3">
      <c r="B163" s="2"/>
      <c r="C163" s="2"/>
      <c r="E163" s="3">
        <v>0</v>
      </c>
      <c r="F163" s="3" t="str">
        <f t="shared" si="9"/>
        <v>Bad</v>
      </c>
    </row>
    <row r="164" spans="1:6" x14ac:dyDescent="0.3">
      <c r="C164" s="2"/>
    </row>
    <row r="165" spans="1:6" x14ac:dyDescent="0.3">
      <c r="C165" s="2"/>
    </row>
    <row r="166" spans="1:6" x14ac:dyDescent="0.3">
      <c r="C166" s="2"/>
    </row>
    <row r="167" spans="1:6" x14ac:dyDescent="0.3">
      <c r="A167" s="2" t="s">
        <v>182</v>
      </c>
    </row>
    <row r="168" spans="1:6" x14ac:dyDescent="0.3">
      <c r="D168" s="3" t="s">
        <v>173</v>
      </c>
      <c r="E168" s="3" t="s">
        <v>174</v>
      </c>
    </row>
    <row r="169" spans="1:6" x14ac:dyDescent="0.3">
      <c r="D169" s="15">
        <v>419262</v>
      </c>
      <c r="E169" s="8" t="str">
        <f>IF(D169&gt;=400000,"5%","10%")</f>
        <v>5%</v>
      </c>
    </row>
    <row r="170" spans="1:6" x14ac:dyDescent="0.3">
      <c r="D170" s="15">
        <v>423663</v>
      </c>
      <c r="E170" s="8" t="str">
        <f t="shared" ref="E170:E171" si="10">IF(D170&gt;=400000,"5%","10%")</f>
        <v>5%</v>
      </c>
    </row>
    <row r="171" spans="1:6" x14ac:dyDescent="0.3">
      <c r="D171" s="15">
        <v>475483</v>
      </c>
      <c r="E171" s="8" t="str">
        <f t="shared" si="10"/>
        <v>5%</v>
      </c>
    </row>
    <row r="172" spans="1:6" x14ac:dyDescent="0.3">
      <c r="D172" s="15">
        <v>590162</v>
      </c>
      <c r="E172" s="8" t="str">
        <f>IF(D172&gt;=500000,"7%","10%")</f>
        <v>7%</v>
      </c>
    </row>
    <row r="173" spans="1:6" x14ac:dyDescent="0.3">
      <c r="D173" s="15">
        <v>377299</v>
      </c>
      <c r="E173" s="8" t="str">
        <f>IF(D173&lt;=400000,"0%","5%")</f>
        <v>0%</v>
      </c>
    </row>
    <row r="174" spans="1:6" x14ac:dyDescent="0.3">
      <c r="D174" s="15">
        <v>356292</v>
      </c>
      <c r="E174" s="8" t="str">
        <f>IF(D174&lt;=400000,"0%","5%")</f>
        <v>0%</v>
      </c>
    </row>
    <row r="175" spans="1:6" x14ac:dyDescent="0.3">
      <c r="D175" s="15">
        <v>703105</v>
      </c>
      <c r="E175" s="8" t="str">
        <f>IF(D175&gt;=700000,"10%","5%")</f>
        <v>10%</v>
      </c>
    </row>
    <row r="176" spans="1:6" x14ac:dyDescent="0.3">
      <c r="D176" s="15">
        <v>261922</v>
      </c>
      <c r="E176" s="8" t="str">
        <f>IF(D176&lt;=400000,"0%","5%")</f>
        <v>0%</v>
      </c>
    </row>
    <row r="177" spans="1:8" x14ac:dyDescent="0.3">
      <c r="D177" s="15">
        <v>703719</v>
      </c>
      <c r="E177" s="8" t="str">
        <f>IF(D177&gt;=700000,"10%","5%")</f>
        <v>10%</v>
      </c>
    </row>
    <row r="178" spans="1:8" x14ac:dyDescent="0.3">
      <c r="D178" s="15">
        <v>472484</v>
      </c>
      <c r="E178" s="8" t="str">
        <f>IF(D178&gt;=700000,"10%","5%")</f>
        <v>5%</v>
      </c>
    </row>
    <row r="179" spans="1:8" x14ac:dyDescent="0.3">
      <c r="D179" s="15">
        <v>732013</v>
      </c>
      <c r="E179" s="8" t="str">
        <f>IF(D179&gt;=700000,"10%","5%")</f>
        <v>10%</v>
      </c>
    </row>
    <row r="180" spans="1:8" x14ac:dyDescent="0.3">
      <c r="D180" s="15">
        <v>275532</v>
      </c>
      <c r="E180" s="8" t="str">
        <f>IF(D180&lt;=400000,"0%","5%")</f>
        <v>0%</v>
      </c>
    </row>
    <row r="181" spans="1:8" x14ac:dyDescent="0.3">
      <c r="D181" s="15">
        <v>672019</v>
      </c>
      <c r="E181" s="8" t="str">
        <f>IF(D181&gt;=500000,"7%","5%")</f>
        <v>7%</v>
      </c>
    </row>
    <row r="182" spans="1:8" x14ac:dyDescent="0.3">
      <c r="D182" s="15">
        <v>687345</v>
      </c>
      <c r="E182" s="8" t="str">
        <f>IF(D182&gt;=500000,"7%","5%")</f>
        <v>7%</v>
      </c>
    </row>
    <row r="183" spans="1:8" x14ac:dyDescent="0.3">
      <c r="D183" s="15">
        <v>419057</v>
      </c>
      <c r="E183" s="8" t="str">
        <f>IF(D183&gt;=700000,"10%","5%")</f>
        <v>5%</v>
      </c>
    </row>
    <row r="184" spans="1:8" x14ac:dyDescent="0.3">
      <c r="D184" s="15">
        <v>655596</v>
      </c>
      <c r="E184" s="8" t="str">
        <f>IF(D184&gt;=500000,"7%","5%")</f>
        <v>7%</v>
      </c>
    </row>
    <row r="185" spans="1:8" x14ac:dyDescent="0.3">
      <c r="D185" s="15">
        <v>726994</v>
      </c>
      <c r="E185" s="8" t="str">
        <f>IF(D185&gt;=700000,"10%","5%")</f>
        <v>10%</v>
      </c>
    </row>
    <row r="186" spans="1:8" x14ac:dyDescent="0.3">
      <c r="D186" s="15">
        <v>484599</v>
      </c>
      <c r="E186" s="8" t="str">
        <f>IF(D186&gt;=700000,"10%","5%")</f>
        <v>5%</v>
      </c>
    </row>
    <row r="187" spans="1:8" x14ac:dyDescent="0.3">
      <c r="D187" s="15">
        <v>509739</v>
      </c>
      <c r="E187" s="8" t="str">
        <f>IF(D187&gt;=500000,"7%","5%")</f>
        <v>7%</v>
      </c>
    </row>
    <row r="188" spans="1:8" x14ac:dyDescent="0.3">
      <c r="D188" s="15">
        <v>814556</v>
      </c>
      <c r="E188" s="3" t="str">
        <f>IF(D188&gt;=700000,"10%","5%")</f>
        <v>10%</v>
      </c>
    </row>
    <row r="189" spans="1:8" x14ac:dyDescent="0.3">
      <c r="E189" s="3"/>
    </row>
    <row r="190" spans="1:8" x14ac:dyDescent="0.3">
      <c r="C190" s="18"/>
    </row>
    <row r="191" spans="1:8" x14ac:dyDescent="0.3">
      <c r="C191" s="18"/>
      <c r="G191" s="2" t="s">
        <v>209</v>
      </c>
    </row>
    <row r="192" spans="1:8" x14ac:dyDescent="0.3">
      <c r="A192" s="2" t="s">
        <v>52</v>
      </c>
      <c r="B192" s="3"/>
      <c r="C192" s="22" t="s">
        <v>183</v>
      </c>
      <c r="D192" s="9" t="s">
        <v>184</v>
      </c>
      <c r="E192" s="9" t="s">
        <v>185</v>
      </c>
      <c r="G192" s="3" t="s">
        <v>186</v>
      </c>
      <c r="H192" s="3"/>
    </row>
    <row r="193" spans="1:8" x14ac:dyDescent="0.3">
      <c r="B193" s="3"/>
      <c r="C193" s="3" t="s">
        <v>199</v>
      </c>
      <c r="D193" s="3">
        <v>579</v>
      </c>
      <c r="E193" s="3" t="str">
        <f>IF(D193&gt;=570,"distiction",IF(D193&gt;=500,"first div",IF(D193&gt;=400,"second div",IF(D193&gt;=300,"third div",IF(D193&gt;=200,"PASS","FAIL")))))</f>
        <v>distiction</v>
      </c>
      <c r="G193" s="3" t="s">
        <v>189</v>
      </c>
      <c r="H193" s="3" t="s">
        <v>187</v>
      </c>
    </row>
    <row r="194" spans="1:8" x14ac:dyDescent="0.3">
      <c r="B194" s="3"/>
      <c r="C194" s="3" t="s">
        <v>200</v>
      </c>
      <c r="D194" s="3">
        <v>515</v>
      </c>
      <c r="E194" s="3" t="str">
        <f t="shared" ref="E194:E202" si="11">IF(D194&gt;=570,"distiction",IF(D194&gt;=500,"first div",IF(D194&gt;=400,"second div",IF(D194&gt;=300,"third div",IF(D194&gt;=200,"PASS","FAIL")))))</f>
        <v>first div</v>
      </c>
      <c r="G194" s="3" t="s">
        <v>190</v>
      </c>
      <c r="H194" s="3" t="s">
        <v>191</v>
      </c>
    </row>
    <row r="195" spans="1:8" x14ac:dyDescent="0.3">
      <c r="B195" s="3"/>
      <c r="C195" s="16" t="s">
        <v>201</v>
      </c>
      <c r="D195" s="3">
        <v>100</v>
      </c>
      <c r="E195" s="3" t="str">
        <f t="shared" si="11"/>
        <v>FAIL</v>
      </c>
      <c r="G195" s="3" t="s">
        <v>188</v>
      </c>
      <c r="H195" s="3" t="s">
        <v>192</v>
      </c>
    </row>
    <row r="196" spans="1:8" x14ac:dyDescent="0.3">
      <c r="B196" s="3"/>
      <c r="C196" s="16" t="s">
        <v>202</v>
      </c>
      <c r="D196" s="3">
        <v>212</v>
      </c>
      <c r="E196" s="3" t="str">
        <f t="shared" si="11"/>
        <v>PASS</v>
      </c>
      <c r="G196" s="3" t="s">
        <v>193</v>
      </c>
      <c r="H196" s="3" t="s">
        <v>194</v>
      </c>
    </row>
    <row r="197" spans="1:8" x14ac:dyDescent="0.3">
      <c r="B197" s="3"/>
      <c r="C197" s="3" t="s">
        <v>203</v>
      </c>
      <c r="D197" s="3">
        <v>405</v>
      </c>
      <c r="E197" s="3" t="str">
        <f t="shared" si="11"/>
        <v>second div</v>
      </c>
      <c r="G197" s="3" t="s">
        <v>195</v>
      </c>
      <c r="H197" s="3" t="s">
        <v>196</v>
      </c>
    </row>
    <row r="198" spans="1:8" x14ac:dyDescent="0.3">
      <c r="B198" s="3"/>
      <c r="C198" s="3" t="s">
        <v>204</v>
      </c>
      <c r="D198" s="3">
        <v>325</v>
      </c>
      <c r="E198" s="3" t="str">
        <f t="shared" si="11"/>
        <v>third div</v>
      </c>
      <c r="G198" s="3" t="s">
        <v>197</v>
      </c>
      <c r="H198" s="3" t="s">
        <v>198</v>
      </c>
    </row>
    <row r="199" spans="1:8" x14ac:dyDescent="0.3">
      <c r="B199" s="3"/>
      <c r="C199" s="3" t="s">
        <v>205</v>
      </c>
      <c r="D199" s="3">
        <v>250</v>
      </c>
      <c r="E199" s="3" t="str">
        <f t="shared" si="11"/>
        <v>PASS</v>
      </c>
    </row>
    <row r="200" spans="1:8" x14ac:dyDescent="0.3">
      <c r="B200" s="3"/>
      <c r="C200" s="3" t="s">
        <v>206</v>
      </c>
      <c r="D200" s="3">
        <v>645</v>
      </c>
      <c r="E200" s="3" t="str">
        <f t="shared" si="11"/>
        <v>distiction</v>
      </c>
    </row>
    <row r="201" spans="1:8" x14ac:dyDescent="0.3">
      <c r="B201" s="3"/>
      <c r="C201" s="3" t="s">
        <v>207</v>
      </c>
      <c r="D201" s="3">
        <v>374</v>
      </c>
      <c r="E201" s="3" t="str">
        <f t="shared" si="11"/>
        <v>third div</v>
      </c>
    </row>
    <row r="202" spans="1:8" x14ac:dyDescent="0.3">
      <c r="B202" s="3"/>
      <c r="C202" s="3" t="s">
        <v>208</v>
      </c>
      <c r="D202" s="3">
        <v>225</v>
      </c>
      <c r="E202" s="3" t="str">
        <f t="shared" si="11"/>
        <v>PASS</v>
      </c>
    </row>
    <row r="204" spans="1:8" x14ac:dyDescent="0.3">
      <c r="C204" s="17"/>
      <c r="D204" s="3"/>
      <c r="E204" s="3"/>
    </row>
    <row r="205" spans="1:8" x14ac:dyDescent="0.3">
      <c r="A205" s="2" t="s">
        <v>118</v>
      </c>
      <c r="C205" s="23" t="s">
        <v>210</v>
      </c>
      <c r="D205" s="9" t="s">
        <v>263</v>
      </c>
      <c r="E205" s="3"/>
    </row>
    <row r="206" spans="1:8" x14ac:dyDescent="0.3">
      <c r="C206" s="17">
        <v>10</v>
      </c>
      <c r="D206" s="3">
        <f>IF(C206&gt;5,50000,IF(C206=5,45000,IF(C206&lt;3,0,IF(C206&lt;5,25000,"NO VALUE"))))</f>
        <v>50000</v>
      </c>
      <c r="E206" s="3"/>
    </row>
    <row r="207" spans="1:8" x14ac:dyDescent="0.3">
      <c r="C207" s="17">
        <v>9</v>
      </c>
      <c r="D207" s="3">
        <f t="shared" ref="D207:D225" si="12">IF(C207&gt;5,50000,IF(C207=5,45000,IF(C207&lt;3,0,IF(C207&lt;5,25000,"NO VALUE"))))</f>
        <v>50000</v>
      </c>
      <c r="E207" s="3"/>
    </row>
    <row r="208" spans="1:8" x14ac:dyDescent="0.3">
      <c r="C208" s="17">
        <v>4</v>
      </c>
      <c r="D208" s="3">
        <f t="shared" si="12"/>
        <v>25000</v>
      </c>
      <c r="E208" s="3"/>
    </row>
    <row r="209" spans="3:5" x14ac:dyDescent="0.3">
      <c r="C209" s="17">
        <v>7</v>
      </c>
      <c r="D209" s="3">
        <f t="shared" si="12"/>
        <v>50000</v>
      </c>
      <c r="E209" s="3"/>
    </row>
    <row r="210" spans="3:5" x14ac:dyDescent="0.3">
      <c r="C210" s="17">
        <v>11</v>
      </c>
      <c r="D210" s="3">
        <f t="shared" si="12"/>
        <v>50000</v>
      </c>
      <c r="E210" s="3"/>
    </row>
    <row r="211" spans="3:5" x14ac:dyDescent="0.3">
      <c r="C211" s="17">
        <v>1</v>
      </c>
      <c r="D211" s="3">
        <f t="shared" si="12"/>
        <v>0</v>
      </c>
      <c r="E211" s="3"/>
    </row>
    <row r="212" spans="3:5" x14ac:dyDescent="0.3">
      <c r="C212" s="17">
        <v>8</v>
      </c>
      <c r="D212" s="3">
        <f t="shared" si="12"/>
        <v>50000</v>
      </c>
      <c r="E212" s="3"/>
    </row>
    <row r="213" spans="3:5" x14ac:dyDescent="0.3">
      <c r="C213" s="17">
        <v>5</v>
      </c>
      <c r="D213" s="3">
        <f t="shared" si="12"/>
        <v>45000</v>
      </c>
      <c r="E213" s="3"/>
    </row>
    <row r="214" spans="3:5" x14ac:dyDescent="0.3">
      <c r="C214" s="17">
        <v>4</v>
      </c>
      <c r="D214" s="3">
        <f t="shared" si="12"/>
        <v>25000</v>
      </c>
      <c r="E214" s="3"/>
    </row>
    <row r="215" spans="3:5" x14ac:dyDescent="0.3">
      <c r="C215" s="17">
        <v>6</v>
      </c>
      <c r="D215" s="3">
        <f t="shared" si="12"/>
        <v>50000</v>
      </c>
      <c r="E215" s="3"/>
    </row>
    <row r="216" spans="3:5" x14ac:dyDescent="0.3">
      <c r="C216" s="17">
        <v>8</v>
      </c>
      <c r="D216" s="3">
        <f t="shared" si="12"/>
        <v>50000</v>
      </c>
      <c r="E216" s="3"/>
    </row>
    <row r="217" spans="3:5" x14ac:dyDescent="0.3">
      <c r="C217" s="17">
        <v>1</v>
      </c>
      <c r="D217" s="3">
        <f t="shared" si="12"/>
        <v>0</v>
      </c>
      <c r="E217" s="3"/>
    </row>
    <row r="218" spans="3:5" x14ac:dyDescent="0.3">
      <c r="C218" s="17">
        <v>1</v>
      </c>
      <c r="D218" s="3">
        <f t="shared" si="12"/>
        <v>0</v>
      </c>
      <c r="E218" s="3"/>
    </row>
    <row r="219" spans="3:5" x14ac:dyDescent="0.3">
      <c r="C219" s="17">
        <v>3</v>
      </c>
      <c r="D219" s="3">
        <f t="shared" si="12"/>
        <v>25000</v>
      </c>
      <c r="E219" s="3"/>
    </row>
    <row r="220" spans="3:5" x14ac:dyDescent="0.3">
      <c r="C220" s="17">
        <v>10</v>
      </c>
      <c r="D220" s="3">
        <f t="shared" si="12"/>
        <v>50000</v>
      </c>
      <c r="E220" s="3"/>
    </row>
    <row r="221" spans="3:5" x14ac:dyDescent="0.3">
      <c r="C221" s="17">
        <v>2</v>
      </c>
      <c r="D221" s="3">
        <f t="shared" si="12"/>
        <v>0</v>
      </c>
      <c r="E221" s="3"/>
    </row>
    <row r="222" spans="3:5" x14ac:dyDescent="0.3">
      <c r="C222" s="17">
        <v>5</v>
      </c>
      <c r="D222" s="3">
        <f t="shared" si="12"/>
        <v>45000</v>
      </c>
      <c r="E222" s="3"/>
    </row>
    <row r="223" spans="3:5" x14ac:dyDescent="0.3">
      <c r="C223" s="17">
        <v>1</v>
      </c>
      <c r="D223" s="3">
        <f t="shared" si="12"/>
        <v>0</v>
      </c>
      <c r="E223" s="3"/>
    </row>
    <row r="224" spans="3:5" x14ac:dyDescent="0.3">
      <c r="C224" s="3">
        <v>3</v>
      </c>
      <c r="D224" s="3">
        <f t="shared" si="12"/>
        <v>25000</v>
      </c>
      <c r="E224" s="3"/>
    </row>
    <row r="225" spans="1:12" x14ac:dyDescent="0.3">
      <c r="C225" s="3">
        <v>11</v>
      </c>
      <c r="D225" s="24">
        <f t="shared" si="12"/>
        <v>50000</v>
      </c>
      <c r="E225" s="24"/>
    </row>
    <row r="227" spans="1:12" x14ac:dyDescent="0.3">
      <c r="E227" t="s">
        <v>217</v>
      </c>
      <c r="F227" t="s">
        <v>218</v>
      </c>
      <c r="G227" t="s">
        <v>219</v>
      </c>
    </row>
    <row r="228" spans="1:12" x14ac:dyDescent="0.3">
      <c r="A228" s="2" t="s">
        <v>269</v>
      </c>
      <c r="H228" s="3"/>
      <c r="I228" s="3"/>
      <c r="J228" s="3"/>
    </row>
    <row r="229" spans="1:12" x14ac:dyDescent="0.3">
      <c r="A229" s="3"/>
      <c r="B229" s="3" t="s">
        <v>215</v>
      </c>
      <c r="C229" s="3" t="s">
        <v>216</v>
      </c>
      <c r="D229" s="3"/>
      <c r="E229" s="3" t="s">
        <v>36</v>
      </c>
      <c r="F229" s="3"/>
      <c r="H229" s="9" t="s">
        <v>220</v>
      </c>
      <c r="I229" s="3"/>
      <c r="J229" s="3"/>
    </row>
    <row r="230" spans="1:12" x14ac:dyDescent="0.3">
      <c r="A230" s="3"/>
      <c r="B230" s="3">
        <v>69</v>
      </c>
      <c r="C230" s="3">
        <f>IF(B230&gt;50,5,IF(B230&gt;30,3,1))</f>
        <v>5</v>
      </c>
      <c r="D230" s="3"/>
      <c r="E230" s="3">
        <f>SUM(B230+C230)</f>
        <v>74</v>
      </c>
      <c r="F230" s="3"/>
      <c r="H230" s="3"/>
      <c r="I230" s="3"/>
      <c r="J230" s="3"/>
    </row>
    <row r="231" spans="1:12" x14ac:dyDescent="0.3">
      <c r="A231" s="3"/>
      <c r="B231" s="3">
        <v>17</v>
      </c>
      <c r="C231" s="3">
        <f t="shared" ref="C231:C237" si="13">IF(B231&gt;50,5,IF(B231&gt;30,3,1))</f>
        <v>1</v>
      </c>
      <c r="D231" s="3"/>
      <c r="E231" s="3">
        <f t="shared" ref="E231:E237" si="14">SUM(B231+C231)</f>
        <v>18</v>
      </c>
      <c r="F231" s="3"/>
      <c r="H231" s="3">
        <f>IF(B230&gt;50,B230+5,IF(B230&gt;30,B230+3,B230+1))</f>
        <v>74</v>
      </c>
      <c r="I231" s="3"/>
      <c r="J231" s="3"/>
    </row>
    <row r="232" spans="1:12" x14ac:dyDescent="0.3">
      <c r="A232" s="3"/>
      <c r="B232" s="3">
        <v>29</v>
      </c>
      <c r="C232" s="3">
        <f t="shared" si="13"/>
        <v>1</v>
      </c>
      <c r="D232" s="3"/>
      <c r="E232" s="3">
        <f t="shared" si="14"/>
        <v>30</v>
      </c>
      <c r="F232" s="3"/>
      <c r="H232" s="3">
        <f t="shared" ref="H232:H238" si="15">IF(B231&gt;50,B231+5,IF(B231&gt;30,B231+3,B231+1))</f>
        <v>18</v>
      </c>
      <c r="I232" s="3"/>
      <c r="J232" s="3"/>
    </row>
    <row r="233" spans="1:12" x14ac:dyDescent="0.3">
      <c r="A233" s="3"/>
      <c r="B233" s="3">
        <v>32</v>
      </c>
      <c r="C233" s="3">
        <f t="shared" si="13"/>
        <v>3</v>
      </c>
      <c r="D233" s="3"/>
      <c r="E233" s="3">
        <f t="shared" si="14"/>
        <v>35</v>
      </c>
      <c r="F233" s="3"/>
      <c r="H233" s="3">
        <f t="shared" si="15"/>
        <v>30</v>
      </c>
      <c r="I233" s="3"/>
      <c r="J233" s="3"/>
    </row>
    <row r="234" spans="1:12" x14ac:dyDescent="0.3">
      <c r="A234" s="3"/>
      <c r="B234" s="3">
        <v>27</v>
      </c>
      <c r="C234" s="3">
        <f t="shared" si="13"/>
        <v>1</v>
      </c>
      <c r="D234" s="3"/>
      <c r="E234" s="3">
        <f t="shared" si="14"/>
        <v>28</v>
      </c>
      <c r="F234" s="3"/>
      <c r="H234" s="3">
        <f t="shared" si="15"/>
        <v>35</v>
      </c>
      <c r="I234" s="3"/>
      <c r="J234" s="3"/>
    </row>
    <row r="235" spans="1:12" x14ac:dyDescent="0.3">
      <c r="A235" s="3"/>
      <c r="B235" s="3">
        <v>53</v>
      </c>
      <c r="C235" s="3">
        <f t="shared" si="13"/>
        <v>5</v>
      </c>
      <c r="D235" s="3"/>
      <c r="E235" s="3">
        <f t="shared" si="14"/>
        <v>58</v>
      </c>
      <c r="F235" s="3"/>
      <c r="H235" s="3">
        <f t="shared" si="15"/>
        <v>28</v>
      </c>
      <c r="I235" s="3"/>
      <c r="J235" s="3"/>
    </row>
    <row r="236" spans="1:12" x14ac:dyDescent="0.3">
      <c r="A236" s="3"/>
      <c r="B236" s="3">
        <v>82</v>
      </c>
      <c r="C236" s="3">
        <f t="shared" si="13"/>
        <v>5</v>
      </c>
      <c r="D236" s="3"/>
      <c r="E236" s="3">
        <f t="shared" si="14"/>
        <v>87</v>
      </c>
      <c r="F236" s="3"/>
      <c r="H236" s="3">
        <f t="shared" si="15"/>
        <v>58</v>
      </c>
      <c r="I236" s="3"/>
      <c r="J236" s="3"/>
    </row>
    <row r="237" spans="1:12" x14ac:dyDescent="0.3">
      <c r="A237" s="3"/>
      <c r="B237" s="3">
        <v>79</v>
      </c>
      <c r="C237" s="3">
        <f t="shared" si="13"/>
        <v>5</v>
      </c>
      <c r="D237" s="3"/>
      <c r="E237" s="3">
        <f t="shared" si="14"/>
        <v>84</v>
      </c>
      <c r="F237" s="3"/>
      <c r="H237" s="3">
        <f>IF(B236&gt;50,B236+5,IF(B236&gt;30,B236+3,B236+1))</f>
        <v>87</v>
      </c>
      <c r="I237" s="3"/>
      <c r="J237" s="3"/>
    </row>
    <row r="238" spans="1:12" x14ac:dyDescent="0.3">
      <c r="H238" s="24">
        <f t="shared" si="15"/>
        <v>84</v>
      </c>
      <c r="I238" s="24"/>
      <c r="J238" s="24"/>
    </row>
    <row r="239" spans="1:12" x14ac:dyDescent="0.3">
      <c r="B239" s="3"/>
      <c r="C239" s="3"/>
      <c r="D239" s="3" t="s">
        <v>165</v>
      </c>
      <c r="E239" s="3"/>
      <c r="F239" s="3"/>
      <c r="G239" s="3"/>
      <c r="H239" s="3"/>
      <c r="I239" s="3" t="s">
        <v>36</v>
      </c>
      <c r="J239" s="3"/>
      <c r="K239" s="3"/>
      <c r="L239" s="3"/>
    </row>
    <row r="240" spans="1:12" x14ac:dyDescent="0.3">
      <c r="C240" s="3" t="s">
        <v>221</v>
      </c>
      <c r="D240" s="3" t="s">
        <v>166</v>
      </c>
      <c r="E240" s="3" t="s">
        <v>169</v>
      </c>
      <c r="F240" s="3" t="s">
        <v>167</v>
      </c>
      <c r="G240" s="3" t="s">
        <v>222</v>
      </c>
      <c r="H240" s="3" t="s">
        <v>223</v>
      </c>
      <c r="I240" s="3"/>
      <c r="J240" s="3" t="s">
        <v>224</v>
      </c>
      <c r="K240" s="3"/>
      <c r="L240" s="3" t="s">
        <v>225</v>
      </c>
    </row>
    <row r="241" spans="1:12" x14ac:dyDescent="0.3">
      <c r="A241" s="9" t="s">
        <v>227</v>
      </c>
      <c r="B241" s="3"/>
      <c r="C241" s="3" t="s">
        <v>199</v>
      </c>
      <c r="D241" s="3">
        <v>89</v>
      </c>
      <c r="E241" s="3">
        <v>98</v>
      </c>
      <c r="F241" s="3">
        <v>100</v>
      </c>
      <c r="G241" s="3">
        <v>45</v>
      </c>
      <c r="H241" s="3">
        <v>96</v>
      </c>
      <c r="I241" s="3">
        <f>SUM(D241+E241+F241+G241+H241+8)</f>
        <v>436</v>
      </c>
      <c r="J241" s="8">
        <f>I241/500</f>
        <v>0.872</v>
      </c>
      <c r="K241" s="3"/>
      <c r="L241" s="3" t="str">
        <f>IF(J241&gt;90%,"A",IF(J241&gt;80%,"B",IF(J241&gt;70%,"C",IF(J241&gt;60%,"D","F"))))</f>
        <v>B</v>
      </c>
    </row>
    <row r="242" spans="1:12" x14ac:dyDescent="0.3">
      <c r="B242" s="3"/>
      <c r="C242" s="3" t="s">
        <v>200</v>
      </c>
      <c r="D242" s="3">
        <v>54</v>
      </c>
      <c r="E242" s="3">
        <v>45</v>
      </c>
      <c r="F242" s="3">
        <v>56</v>
      </c>
      <c r="G242" s="3">
        <v>78</v>
      </c>
      <c r="H242" s="3">
        <v>54</v>
      </c>
      <c r="I242" s="3">
        <f>SUM(D242+E242+F242+G242+H242+0)</f>
        <v>287</v>
      </c>
      <c r="J242" s="8">
        <f t="shared" ref="J242:J245" si="16">I242/500</f>
        <v>0.57399999999999995</v>
      </c>
      <c r="K242" s="3"/>
      <c r="L242" s="3" t="str">
        <f t="shared" ref="L242:L244" si="17">IF(J242&gt;90%,"A",IF(J242&gt;80%,"B",IF(J242&gt;70%,"C",IF(J242&gt;60%,"D","F"))))</f>
        <v>F</v>
      </c>
    </row>
    <row r="243" spans="1:12" x14ac:dyDescent="0.3">
      <c r="B243" s="3"/>
      <c r="C243" s="3" t="s">
        <v>201</v>
      </c>
      <c r="D243" s="3">
        <v>24</v>
      </c>
      <c r="E243" s="3">
        <v>72</v>
      </c>
      <c r="F243" s="3">
        <v>78</v>
      </c>
      <c r="G243" s="3">
        <v>45</v>
      </c>
      <c r="H243" s="3">
        <v>27</v>
      </c>
      <c r="I243" s="3">
        <f>SUM(D243+E243+F243+G243+H243+0)</f>
        <v>246</v>
      </c>
      <c r="J243" s="8">
        <f t="shared" si="16"/>
        <v>0.49199999999999999</v>
      </c>
      <c r="K243" s="3"/>
      <c r="L243" s="3" t="str">
        <f t="shared" si="17"/>
        <v>F</v>
      </c>
    </row>
    <row r="244" spans="1:12" x14ac:dyDescent="0.3">
      <c r="B244" s="3"/>
      <c r="C244" s="3" t="s">
        <v>202</v>
      </c>
      <c r="D244" s="3">
        <v>65</v>
      </c>
      <c r="E244" s="3">
        <v>24</v>
      </c>
      <c r="F244" s="3">
        <v>56</v>
      </c>
      <c r="G244" s="3">
        <v>84</v>
      </c>
      <c r="H244" s="3">
        <v>95</v>
      </c>
      <c r="I244" s="3">
        <f>SUM(D244+E244+F244+G244+H244+4)</f>
        <v>328</v>
      </c>
      <c r="J244" s="8">
        <f t="shared" si="16"/>
        <v>0.65600000000000003</v>
      </c>
      <c r="K244" s="3"/>
      <c r="L244" s="3" t="str">
        <f t="shared" si="17"/>
        <v>D</v>
      </c>
    </row>
    <row r="245" spans="1:12" x14ac:dyDescent="0.3">
      <c r="B245" s="3"/>
      <c r="C245" s="3" t="s">
        <v>203</v>
      </c>
      <c r="D245" s="3">
        <v>71</v>
      </c>
      <c r="E245" s="3">
        <v>85</v>
      </c>
      <c r="F245" s="3">
        <v>65</v>
      </c>
      <c r="G245" s="3">
        <v>24</v>
      </c>
      <c r="H245" s="3">
        <v>10</v>
      </c>
      <c r="I245" s="3">
        <f>SUM(D245+E245+F245+G245+H245)</f>
        <v>255</v>
      </c>
      <c r="J245" s="8">
        <f t="shared" si="16"/>
        <v>0.51</v>
      </c>
      <c r="K245" s="3"/>
      <c r="L245" s="3" t="str">
        <f>IF(J245&gt;90%,"A",IF(J245&gt;80%,"B",IF(J245&gt;70%,"C",IF(J245&gt;60%,"D","F"))))</f>
        <v>F</v>
      </c>
    </row>
    <row r="247" spans="1:12" x14ac:dyDescent="0.3">
      <c r="B247" s="9" t="s">
        <v>52</v>
      </c>
      <c r="C247" s="3" t="s">
        <v>173</v>
      </c>
      <c r="D247" s="3" t="s">
        <v>226</v>
      </c>
    </row>
    <row r="248" spans="1:12" x14ac:dyDescent="0.3">
      <c r="B248" s="3"/>
      <c r="C248" s="3">
        <f ca="1">RANDBETWEEN(1000,15000)</f>
        <v>10959</v>
      </c>
      <c r="D248" s="8">
        <f ca="1">IF(C248&gt;10000,C248*0.1,IF(C248&gt;5000,C248*0.07,IF(C248&gt;2000,C248*0.05,IF(C248&lt;2000,C248*0.02))))</f>
        <v>1095.9000000000001</v>
      </c>
    </row>
    <row r="249" spans="1:12" x14ac:dyDescent="0.3">
      <c r="B249" s="3"/>
      <c r="C249" s="3">
        <f t="shared" ref="C249:C255" ca="1" si="18">RANDBETWEEN(1000,15000)</f>
        <v>2374</v>
      </c>
      <c r="D249" s="8">
        <f t="shared" ref="D249:D255" ca="1" si="19">IF(C249&gt;10000,C249*0.1,IF(C249&gt;5000,C249*0.07,IF(C249&gt;2000,C249*0.05,IF(C249&lt;2000,C249*0.02))))</f>
        <v>118.7</v>
      </c>
    </row>
    <row r="250" spans="1:12" x14ac:dyDescent="0.3">
      <c r="B250" s="3"/>
      <c r="C250" s="3">
        <f t="shared" ca="1" si="18"/>
        <v>14722</v>
      </c>
      <c r="D250" s="8">
        <f t="shared" ca="1" si="19"/>
        <v>1472.2</v>
      </c>
    </row>
    <row r="251" spans="1:12" x14ac:dyDescent="0.3">
      <c r="B251" s="3"/>
      <c r="C251" s="3">
        <f t="shared" ca="1" si="18"/>
        <v>11603</v>
      </c>
      <c r="D251" s="8">
        <f t="shared" ca="1" si="19"/>
        <v>1160.3</v>
      </c>
    </row>
    <row r="252" spans="1:12" x14ac:dyDescent="0.3">
      <c r="B252" s="3"/>
      <c r="C252" s="3">
        <f t="shared" ca="1" si="18"/>
        <v>10353</v>
      </c>
      <c r="D252" s="8">
        <f t="shared" ca="1" si="19"/>
        <v>1035.3</v>
      </c>
    </row>
    <row r="253" spans="1:12" x14ac:dyDescent="0.3">
      <c r="B253" s="3"/>
      <c r="C253" s="3">
        <f t="shared" ca="1" si="18"/>
        <v>12836</v>
      </c>
      <c r="D253" s="8">
        <f t="shared" ca="1" si="19"/>
        <v>1283.6000000000001</v>
      </c>
    </row>
    <row r="254" spans="1:12" x14ac:dyDescent="0.3">
      <c r="B254" s="3"/>
      <c r="C254" s="3">
        <f t="shared" ca="1" si="18"/>
        <v>14223</v>
      </c>
      <c r="D254" s="8">
        <f t="shared" ca="1" si="19"/>
        <v>1422.3000000000002</v>
      </c>
    </row>
    <row r="255" spans="1:12" x14ac:dyDescent="0.3">
      <c r="B255" s="3"/>
      <c r="C255" s="3">
        <f t="shared" ca="1" si="18"/>
        <v>5851</v>
      </c>
      <c r="D255" s="8">
        <f t="shared" ca="1" si="19"/>
        <v>409.57000000000005</v>
      </c>
    </row>
    <row r="258" spans="1:9" x14ac:dyDescent="0.3">
      <c r="A258" s="3"/>
      <c r="B258" s="3"/>
      <c r="C258" s="3"/>
      <c r="D258" s="3"/>
      <c r="E258" s="3"/>
      <c r="F258" s="3"/>
      <c r="G258" s="3"/>
      <c r="H258" s="3"/>
    </row>
    <row r="259" spans="1:9" x14ac:dyDescent="0.3">
      <c r="A259" s="9" t="s">
        <v>54</v>
      </c>
      <c r="B259" s="3" t="s">
        <v>228</v>
      </c>
      <c r="C259" s="3" t="s">
        <v>229</v>
      </c>
      <c r="D259" s="3" t="s">
        <v>230</v>
      </c>
      <c r="E259" s="3" t="s">
        <v>231</v>
      </c>
      <c r="F259" s="3" t="s">
        <v>232</v>
      </c>
      <c r="G259" s="3" t="s">
        <v>233</v>
      </c>
      <c r="H259" s="3"/>
      <c r="I259" s="26" t="s">
        <v>234</v>
      </c>
    </row>
    <row r="260" spans="1:9" x14ac:dyDescent="0.3">
      <c r="A260" s="3"/>
      <c r="B260" s="3" t="s">
        <v>199</v>
      </c>
      <c r="C260" s="3">
        <v>45</v>
      </c>
      <c r="D260" s="3">
        <v>20</v>
      </c>
      <c r="E260" s="3" t="s">
        <v>241</v>
      </c>
      <c r="F260" s="25" t="e">
        <f>IF(C260&gt;=50,E260*0.2,IF(C260&gt;=30,E260*0.15,IF(C260&gt;=10,E260*0.1,0)))</f>
        <v>#VALUE!</v>
      </c>
      <c r="G260" s="3" t="e">
        <f>E260-F260</f>
        <v>#VALUE!</v>
      </c>
      <c r="H260" s="3"/>
      <c r="I260" t="e">
        <f>IF(C260&gt;=50,E260-E260*0.2,IF(C260&gt;=30,E260-E260*0.15,IF(C260&gt;=10,E260-E260*0.1,E260)))</f>
        <v>#VALUE!</v>
      </c>
    </row>
    <row r="261" spans="1:9" x14ac:dyDescent="0.3">
      <c r="A261" s="3"/>
      <c r="B261" s="3" t="s">
        <v>200</v>
      </c>
      <c r="C261" s="3">
        <v>89</v>
      </c>
      <c r="D261" s="3">
        <v>50</v>
      </c>
      <c r="E261" s="3">
        <f t="shared" ref="E261:E266" si="20">C261*D261</f>
        <v>4450</v>
      </c>
      <c r="F261" s="25">
        <f t="shared" ref="F261:F266" si="21">IF(C261&gt;=50,E261*0.2,IF(C261&gt;=30,E261*0.15,IF(C261&gt;=10,E261*0.1,0)))</f>
        <v>890</v>
      </c>
      <c r="G261" s="3">
        <f t="shared" ref="G261:G266" si="22">E261-F261</f>
        <v>3560</v>
      </c>
      <c r="H261" s="3"/>
      <c r="I261">
        <f t="shared" ref="I261:I266" si="23">IF(C261&gt;=50,E261-E261*0.2,IF(C261&gt;=30,E261-E261*0.15,IF(C261&gt;=10,E261-E261*0.1,E261)))</f>
        <v>3560</v>
      </c>
    </row>
    <row r="262" spans="1:9" x14ac:dyDescent="0.3">
      <c r="A262" s="3"/>
      <c r="B262" s="3" t="s">
        <v>201</v>
      </c>
      <c r="C262" s="3">
        <v>50</v>
      </c>
      <c r="D262" s="3">
        <v>45</v>
      </c>
      <c r="E262" s="3">
        <f t="shared" si="20"/>
        <v>2250</v>
      </c>
      <c r="F262" s="25">
        <f t="shared" si="21"/>
        <v>450</v>
      </c>
      <c r="G262" s="3">
        <f t="shared" si="22"/>
        <v>1800</v>
      </c>
      <c r="H262" s="3"/>
      <c r="I262">
        <f t="shared" si="23"/>
        <v>1800</v>
      </c>
    </row>
    <row r="263" spans="1:9" x14ac:dyDescent="0.3">
      <c r="A263" s="3"/>
      <c r="B263" s="3" t="s">
        <v>202</v>
      </c>
      <c r="C263" s="3">
        <v>30</v>
      </c>
      <c r="D263" s="3">
        <v>50</v>
      </c>
      <c r="E263" s="3">
        <f t="shared" si="20"/>
        <v>1500</v>
      </c>
      <c r="F263" s="25">
        <f t="shared" si="21"/>
        <v>225</v>
      </c>
      <c r="G263" s="3">
        <f t="shared" si="22"/>
        <v>1275</v>
      </c>
      <c r="H263" s="3"/>
      <c r="I263">
        <f t="shared" si="23"/>
        <v>1275</v>
      </c>
    </row>
    <row r="264" spans="1:9" x14ac:dyDescent="0.3">
      <c r="A264" s="3"/>
      <c r="B264" s="3" t="s">
        <v>203</v>
      </c>
      <c r="C264" s="3">
        <v>20</v>
      </c>
      <c r="D264" s="3">
        <v>70</v>
      </c>
      <c r="E264" s="3">
        <f t="shared" si="20"/>
        <v>1400</v>
      </c>
      <c r="F264" s="25">
        <f t="shared" si="21"/>
        <v>140</v>
      </c>
      <c r="G264" s="3">
        <f t="shared" si="22"/>
        <v>1260</v>
      </c>
      <c r="H264" s="3"/>
      <c r="I264">
        <f t="shared" si="23"/>
        <v>1260</v>
      </c>
    </row>
    <row r="265" spans="1:9" x14ac:dyDescent="0.3">
      <c r="A265" s="3"/>
      <c r="B265" s="3" t="s">
        <v>204</v>
      </c>
      <c r="C265" s="3">
        <v>65</v>
      </c>
      <c r="D265" s="3">
        <v>65</v>
      </c>
      <c r="E265" s="3">
        <f t="shared" si="20"/>
        <v>4225</v>
      </c>
      <c r="F265" s="25">
        <f t="shared" si="21"/>
        <v>845</v>
      </c>
      <c r="G265" s="3">
        <f t="shared" si="22"/>
        <v>3380</v>
      </c>
      <c r="H265" s="3"/>
      <c r="I265">
        <f t="shared" si="23"/>
        <v>3380</v>
      </c>
    </row>
    <row r="266" spans="1:9" x14ac:dyDescent="0.3">
      <c r="A266" s="3"/>
      <c r="B266" s="3" t="s">
        <v>205</v>
      </c>
      <c r="C266" s="3">
        <v>85</v>
      </c>
      <c r="D266" s="3">
        <v>12</v>
      </c>
      <c r="E266" s="3">
        <f t="shared" si="20"/>
        <v>1020</v>
      </c>
      <c r="F266" s="25">
        <f t="shared" si="21"/>
        <v>204</v>
      </c>
      <c r="G266" s="3">
        <f t="shared" si="22"/>
        <v>816</v>
      </c>
      <c r="H266" s="3"/>
      <c r="I266">
        <f t="shared" si="23"/>
        <v>816</v>
      </c>
    </row>
    <row r="271" spans="1:9" x14ac:dyDescent="0.3">
      <c r="A271" s="3" t="s">
        <v>235</v>
      </c>
      <c r="B271" s="3" t="s">
        <v>236</v>
      </c>
      <c r="C271" s="3" t="s">
        <v>237</v>
      </c>
      <c r="D271" s="3" t="s">
        <v>240</v>
      </c>
      <c r="E271" s="3"/>
      <c r="F271" s="3" t="s">
        <v>237</v>
      </c>
    </row>
    <row r="272" spans="1:9" x14ac:dyDescent="0.3">
      <c r="A272" s="3"/>
      <c r="B272" s="29">
        <v>980000</v>
      </c>
      <c r="C272" s="8">
        <f>IF(B272&gt;100000,0.3,IF(B272&gt;=50000,0.2,IF(B272&gt;=20000,0.1)))</f>
        <v>0.3</v>
      </c>
      <c r="D272" s="3">
        <f>IF(B272&gt;100000,B272-B272*0.3,IF(B272&gt;=50000,B272-B272*0.2,IF(B272&gt;=20000,B272-B272*0.1)))</f>
        <v>686000</v>
      </c>
      <c r="E272" s="3"/>
      <c r="F272" s="29">
        <f>B272-D272</f>
        <v>294000</v>
      </c>
    </row>
    <row r="273" spans="1:7" x14ac:dyDescent="0.3">
      <c r="A273" s="3"/>
      <c r="B273" s="29">
        <v>34578</v>
      </c>
      <c r="C273" s="8">
        <f t="shared" ref="C273:C276" si="24">IF(B273&gt;100000,0.3,IF(B273&gt;=50000,0.2,IF(B273&gt;=20000,0.1)))</f>
        <v>0.1</v>
      </c>
      <c r="D273" s="3">
        <f t="shared" ref="D273:D275" si="25">IF(B273&gt;100000,B273-B273*0.3,IF(B273&gt;=50000,B273-B273*0.2,IF(B273&gt;=20000,B273-B273*0.1)))</f>
        <v>31120.2</v>
      </c>
      <c r="E273" s="3"/>
      <c r="F273" s="29">
        <f t="shared" ref="F273:F276" si="26">B273-D273</f>
        <v>3457.7999999999993</v>
      </c>
    </row>
    <row r="274" spans="1:7" x14ac:dyDescent="0.3">
      <c r="A274" s="3"/>
      <c r="B274" s="29">
        <v>54658</v>
      </c>
      <c r="C274" s="8">
        <f t="shared" si="24"/>
        <v>0.2</v>
      </c>
      <c r="D274" s="3">
        <f t="shared" si="25"/>
        <v>43726.400000000001</v>
      </c>
      <c r="E274" s="3"/>
      <c r="F274" s="29">
        <f t="shared" si="26"/>
        <v>10931.599999999999</v>
      </c>
    </row>
    <row r="275" spans="1:7" x14ac:dyDescent="0.3">
      <c r="A275" s="3"/>
      <c r="B275" s="29">
        <v>72000</v>
      </c>
      <c r="C275" s="8">
        <f t="shared" si="24"/>
        <v>0.2</v>
      </c>
      <c r="D275" s="3">
        <f t="shared" si="25"/>
        <v>57600</v>
      </c>
      <c r="E275" s="3"/>
      <c r="F275" s="29">
        <f t="shared" si="26"/>
        <v>14400</v>
      </c>
    </row>
    <row r="276" spans="1:7" x14ac:dyDescent="0.3">
      <c r="A276" s="3"/>
      <c r="B276" s="29">
        <v>68000</v>
      </c>
      <c r="C276" s="8">
        <f t="shared" si="24"/>
        <v>0.2</v>
      </c>
      <c r="D276" s="3">
        <f>IF(B276&gt;100000,B276-B276*0.3,IF(B276&gt;=50000,B276-B276*0.2,IF(B276&gt;=20000,B276-B276*0.1)))</f>
        <v>54400</v>
      </c>
      <c r="E276" s="3"/>
      <c r="F276" s="29">
        <f t="shared" si="26"/>
        <v>13600</v>
      </c>
    </row>
    <row r="277" spans="1:7" x14ac:dyDescent="0.3">
      <c r="B277" s="28"/>
    </row>
    <row r="278" spans="1:7" x14ac:dyDescent="0.3">
      <c r="B278" s="27"/>
      <c r="C278" s="27"/>
    </row>
    <row r="279" spans="1:7" x14ac:dyDescent="0.3">
      <c r="B279" s="27"/>
      <c r="C279" s="27"/>
    </row>
    <row r="280" spans="1:7" x14ac:dyDescent="0.3">
      <c r="B280" s="27"/>
      <c r="C280" s="27"/>
    </row>
    <row r="282" spans="1:7" x14ac:dyDescent="0.3">
      <c r="B282" s="3"/>
      <c r="C282" s="3" t="s">
        <v>238</v>
      </c>
      <c r="D282" s="3"/>
      <c r="E282" s="3" t="s">
        <v>239</v>
      </c>
      <c r="F282" s="3"/>
      <c r="G282" s="3"/>
    </row>
    <row r="283" spans="1:7" x14ac:dyDescent="0.3">
      <c r="A283" t="s">
        <v>118</v>
      </c>
      <c r="B283" s="3">
        <v>3</v>
      </c>
      <c r="C283" s="3">
        <f>B284^2-4*B283*B285</f>
        <v>1</v>
      </c>
      <c r="D283" s="3"/>
      <c r="E283" s="3" t="str">
        <f>IF(C283&gt; 0,"real and distinct",IF(C283=0,"real and equal","complex"))</f>
        <v>real and distinct</v>
      </c>
      <c r="F283" s="3"/>
      <c r="G283" s="3"/>
    </row>
    <row r="284" spans="1:7" x14ac:dyDescent="0.3">
      <c r="B284" s="3">
        <v>5</v>
      </c>
      <c r="C284" s="3"/>
      <c r="D284" s="3"/>
      <c r="E284" s="3"/>
      <c r="F284" s="3"/>
      <c r="G284" s="3"/>
    </row>
    <row r="285" spans="1:7" x14ac:dyDescent="0.3">
      <c r="B285" s="3">
        <v>2</v>
      </c>
      <c r="C285" s="3"/>
      <c r="D285" s="3"/>
      <c r="E285" s="3"/>
      <c r="F285" s="3"/>
      <c r="G285" s="3"/>
    </row>
    <row r="286" spans="1:7" x14ac:dyDescent="0.3">
      <c r="B286" s="3"/>
      <c r="C286" s="3"/>
      <c r="D286" s="3"/>
      <c r="E286" s="3"/>
      <c r="F286" s="3"/>
      <c r="G286" s="3"/>
    </row>
    <row r="289" spans="1:7" x14ac:dyDescent="0.3">
      <c r="A289" s="3"/>
      <c r="B289" s="3"/>
      <c r="C289" s="3"/>
      <c r="D289" s="3"/>
      <c r="E289" s="3"/>
    </row>
    <row r="290" spans="1:7" x14ac:dyDescent="0.3">
      <c r="A290" s="3" t="s">
        <v>227</v>
      </c>
      <c r="B290" s="3" t="s">
        <v>242</v>
      </c>
      <c r="C290" s="3" t="s">
        <v>243</v>
      </c>
      <c r="D290" s="3" t="s">
        <v>244</v>
      </c>
      <c r="E290" s="3" t="s">
        <v>245</v>
      </c>
      <c r="G290" s="30"/>
    </row>
    <row r="291" spans="1:7" x14ac:dyDescent="0.3">
      <c r="A291" s="3"/>
      <c r="B291" s="3">
        <v>100</v>
      </c>
      <c r="C291" s="3">
        <v>100</v>
      </c>
      <c r="D291" s="3" t="str">
        <f>IF(OR(B291&lt;75,C291&lt;=75),"debarred","notdebarred")</f>
        <v>notdebarred</v>
      </c>
      <c r="E291" s="3" t="str">
        <f>IF(AND(C291&gt;=75,B291&gt;75),"debarred","not debarred")</f>
        <v>debarred</v>
      </c>
    </row>
    <row r="292" spans="1:7" x14ac:dyDescent="0.3">
      <c r="A292" s="3"/>
      <c r="B292" s="3">
        <v>45</v>
      </c>
      <c r="C292" s="3">
        <v>65</v>
      </c>
      <c r="D292" s="3" t="str">
        <f t="shared" ref="D292:D297" si="27">IF(OR(B292&lt;75,C292&gt;=75),"debarred","notdebarred")</f>
        <v>debarred</v>
      </c>
      <c r="E292" s="3" t="str">
        <f t="shared" ref="E292:E297" si="28">IF(AND(C292&gt;=75,B292&gt;75),"debarred","not debarred")</f>
        <v>not debarred</v>
      </c>
    </row>
    <row r="293" spans="1:7" x14ac:dyDescent="0.3">
      <c r="A293" s="3"/>
      <c r="B293" s="3">
        <v>20</v>
      </c>
      <c r="C293" s="3">
        <v>40</v>
      </c>
      <c r="D293" s="3" t="str">
        <f t="shared" si="27"/>
        <v>debarred</v>
      </c>
      <c r="E293" s="3" t="str">
        <f t="shared" si="28"/>
        <v>not debarred</v>
      </c>
    </row>
    <row r="294" spans="1:7" x14ac:dyDescent="0.3">
      <c r="A294" s="3"/>
      <c r="B294" s="3">
        <v>60</v>
      </c>
      <c r="C294" s="3">
        <v>80</v>
      </c>
      <c r="D294" s="3" t="str">
        <f t="shared" si="27"/>
        <v>debarred</v>
      </c>
      <c r="E294" s="3" t="str">
        <f t="shared" si="28"/>
        <v>not debarred</v>
      </c>
    </row>
    <row r="295" spans="1:7" x14ac:dyDescent="0.3">
      <c r="A295" s="3"/>
      <c r="B295" s="3">
        <v>70</v>
      </c>
      <c r="C295" s="3">
        <v>85</v>
      </c>
      <c r="D295" s="3" t="str">
        <f t="shared" si="27"/>
        <v>debarred</v>
      </c>
      <c r="E295" s="3" t="str">
        <f t="shared" si="28"/>
        <v>not debarred</v>
      </c>
    </row>
    <row r="296" spans="1:7" x14ac:dyDescent="0.3">
      <c r="A296" s="3"/>
      <c r="B296" s="3">
        <v>90</v>
      </c>
      <c r="C296" s="3">
        <v>95</v>
      </c>
      <c r="D296" s="3" t="str">
        <f t="shared" si="27"/>
        <v>debarred</v>
      </c>
      <c r="E296" s="3" t="str">
        <f t="shared" si="28"/>
        <v>debarred</v>
      </c>
    </row>
    <row r="297" spans="1:7" x14ac:dyDescent="0.3">
      <c r="A297" s="3"/>
      <c r="B297" s="3">
        <v>10</v>
      </c>
      <c r="C297" s="3">
        <v>33</v>
      </c>
      <c r="D297" s="3" t="str">
        <f t="shared" si="27"/>
        <v>debarred</v>
      </c>
      <c r="E297" s="3" t="str">
        <f t="shared" si="28"/>
        <v>not debarred</v>
      </c>
    </row>
    <row r="298" spans="1:7" x14ac:dyDescent="0.3">
      <c r="A298" s="3"/>
      <c r="B298" s="3"/>
      <c r="C298" s="3"/>
      <c r="D298" s="3"/>
      <c r="E298" s="3"/>
    </row>
    <row r="299" spans="1:7" x14ac:dyDescent="0.3">
      <c r="A299" s="3"/>
      <c r="B299" s="3"/>
      <c r="C299" s="3"/>
      <c r="D299" s="3"/>
    </row>
    <row r="300" spans="1:7" x14ac:dyDescent="0.3">
      <c r="A300" s="3" t="s">
        <v>267</v>
      </c>
      <c r="B300" s="3" t="s">
        <v>246</v>
      </c>
      <c r="C300" s="3" t="s">
        <v>266</v>
      </c>
      <c r="D300" s="3"/>
    </row>
    <row r="301" spans="1:7" x14ac:dyDescent="0.3">
      <c r="A301" s="3"/>
      <c r="B301" s="3">
        <v>4</v>
      </c>
      <c r="C301" s="3" t="str">
        <f>IF(AND(B301&gt;=0,MOD(B301,2)=0),"positive and even","not positive nor even")</f>
        <v>positive and even</v>
      </c>
      <c r="D301" s="3"/>
    </row>
    <row r="302" spans="1:7" x14ac:dyDescent="0.3">
      <c r="A302" s="3"/>
      <c r="B302" s="3">
        <v>5</v>
      </c>
      <c r="C302" s="3" t="str">
        <f t="shared" ref="C302:C304" si="29">IF(AND(B302&gt;=0,MOD(B302,2)=0),"positive and even","not positive nor even")</f>
        <v>not positive nor even</v>
      </c>
      <c r="D302" s="3"/>
    </row>
    <row r="303" spans="1:7" x14ac:dyDescent="0.3">
      <c r="A303" s="3"/>
      <c r="B303" s="3">
        <v>24</v>
      </c>
      <c r="C303" s="3" t="str">
        <f t="shared" si="29"/>
        <v>positive and even</v>
      </c>
      <c r="D303" s="3"/>
    </row>
    <row r="304" spans="1:7" x14ac:dyDescent="0.3">
      <c r="A304" s="3"/>
      <c r="B304" s="3">
        <v>58</v>
      </c>
      <c r="C304" s="3" t="str">
        <f t="shared" si="29"/>
        <v>positive and even</v>
      </c>
      <c r="D304" s="3"/>
    </row>
    <row r="305" spans="1:6" x14ac:dyDescent="0.3">
      <c r="A305" s="3"/>
      <c r="B305" s="3"/>
      <c r="C305" s="3"/>
      <c r="D305" s="3"/>
    </row>
    <row r="308" spans="1:6" x14ac:dyDescent="0.3">
      <c r="A308" s="3"/>
      <c r="B308" s="3"/>
      <c r="C308" s="3"/>
      <c r="D308" s="3"/>
      <c r="E308" s="3"/>
    </row>
    <row r="309" spans="1:6" x14ac:dyDescent="0.3">
      <c r="A309" s="9" t="s">
        <v>54</v>
      </c>
      <c r="B309" s="9" t="s">
        <v>247</v>
      </c>
      <c r="C309" s="9" t="s">
        <v>248</v>
      </c>
      <c r="D309" s="9" t="s">
        <v>249</v>
      </c>
      <c r="E309" s="3"/>
    </row>
    <row r="310" spans="1:6" x14ac:dyDescent="0.3">
      <c r="A310" s="3"/>
      <c r="B310" s="3" t="s">
        <v>250</v>
      </c>
      <c r="C310" s="3" t="s">
        <v>199</v>
      </c>
      <c r="D310" s="3" t="str">
        <f>IF(OR(B310="STUDENT",B310="senoir citizen"),"eligible for discount","not eligible for discount")</f>
        <v>eligible for discount</v>
      </c>
      <c r="E310" s="3"/>
    </row>
    <row r="311" spans="1:6" x14ac:dyDescent="0.3">
      <c r="A311" s="3"/>
      <c r="B311" s="3" t="s">
        <v>251</v>
      </c>
      <c r="C311" s="3" t="s">
        <v>200</v>
      </c>
      <c r="D311" s="3" t="str">
        <f>IF(OR(B311="STUDENT",B311="senior citizen"),"eligible for discount","not eligible for discount")</f>
        <v>eligible for discount</v>
      </c>
      <c r="E311" s="3"/>
    </row>
    <row r="312" spans="1:6" x14ac:dyDescent="0.3">
      <c r="A312" s="3"/>
      <c r="B312" s="3" t="s">
        <v>252</v>
      </c>
      <c r="C312" s="3" t="s">
        <v>201</v>
      </c>
      <c r="D312" s="3" t="str">
        <f t="shared" ref="D312:D314" si="30">IF(OR(B312="STUDENT",B312="senoir citizen"),"eligible for discount","not eligible for discount")</f>
        <v>not eligible for discount</v>
      </c>
      <c r="E312" s="3"/>
    </row>
    <row r="313" spans="1:6" x14ac:dyDescent="0.3">
      <c r="A313" s="3"/>
      <c r="B313" s="3" t="s">
        <v>250</v>
      </c>
      <c r="C313" s="3" t="s">
        <v>202</v>
      </c>
      <c r="D313" s="3" t="str">
        <f t="shared" si="30"/>
        <v>eligible for discount</v>
      </c>
      <c r="E313" s="3"/>
    </row>
    <row r="314" spans="1:6" x14ac:dyDescent="0.3">
      <c r="A314" s="3"/>
      <c r="B314" s="24" t="s">
        <v>251</v>
      </c>
      <c r="C314" s="24" t="s">
        <v>203</v>
      </c>
      <c r="D314" s="24" t="str">
        <f t="shared" si="30"/>
        <v>not eligible for discount</v>
      </c>
      <c r="E314" s="24"/>
    </row>
    <row r="315" spans="1:6" x14ac:dyDescent="0.3">
      <c r="B315" s="3"/>
      <c r="C315" s="3"/>
      <c r="D315" s="3"/>
      <c r="E315" s="3"/>
      <c r="F315" s="3"/>
    </row>
    <row r="316" spans="1:6" x14ac:dyDescent="0.3">
      <c r="A316" t="s">
        <v>118</v>
      </c>
      <c r="B316" s="3" t="s">
        <v>248</v>
      </c>
      <c r="C316" s="3" t="s">
        <v>260</v>
      </c>
      <c r="D316" s="3" t="s">
        <v>261</v>
      </c>
      <c r="E316" s="3" t="s">
        <v>262</v>
      </c>
      <c r="F316" s="3" t="s">
        <v>263</v>
      </c>
    </row>
    <row r="317" spans="1:6" x14ac:dyDescent="0.3">
      <c r="B317" s="3" t="s">
        <v>254</v>
      </c>
      <c r="C317" s="3">
        <v>2</v>
      </c>
      <c r="D317" s="3" t="s">
        <v>253</v>
      </c>
      <c r="E317" s="3" t="s">
        <v>265</v>
      </c>
      <c r="F317" s="3" t="str">
        <f>IF(AND(D317="full time",C317&gt;2),IF(E317&lt;&gt;"no""bonus awarded","no bonus"),"no bonus")</f>
        <v>no bonus</v>
      </c>
    </row>
    <row r="318" spans="1:6" x14ac:dyDescent="0.3">
      <c r="B318" s="3" t="s">
        <v>255</v>
      </c>
      <c r="C318" s="3">
        <v>1</v>
      </c>
      <c r="D318" s="3" t="s">
        <v>264</v>
      </c>
      <c r="E318" s="3" t="s">
        <v>265</v>
      </c>
      <c r="F318" s="3" t="str">
        <f t="shared" ref="F318:F322" si="31">IF(AND(D318="full time",C318&gt;2),IF(E318&lt;&gt;"no""bonus awarded","no bonus"),"no bonus")</f>
        <v>no bonus</v>
      </c>
    </row>
    <row r="319" spans="1:6" x14ac:dyDescent="0.3">
      <c r="B319" s="3" t="s">
        <v>256</v>
      </c>
      <c r="C319" s="3">
        <v>5</v>
      </c>
      <c r="D319" s="3" t="s">
        <v>253</v>
      </c>
      <c r="E319" s="3" t="s">
        <v>262</v>
      </c>
      <c r="F319" s="3" t="str">
        <f t="shared" si="31"/>
        <v>no bonus</v>
      </c>
    </row>
    <row r="320" spans="1:6" x14ac:dyDescent="0.3">
      <c r="B320" s="3" t="s">
        <v>257</v>
      </c>
      <c r="C320" s="3">
        <v>1</v>
      </c>
      <c r="D320" s="3" t="s">
        <v>253</v>
      </c>
      <c r="E320" s="3" t="s">
        <v>262</v>
      </c>
      <c r="F320" s="3" t="str">
        <f t="shared" si="31"/>
        <v>no bonus</v>
      </c>
    </row>
    <row r="321" spans="1:6" x14ac:dyDescent="0.3">
      <c r="B321" s="3" t="s">
        <v>258</v>
      </c>
      <c r="C321" s="3">
        <v>0.5</v>
      </c>
      <c r="D321" s="3" t="s">
        <v>264</v>
      </c>
      <c r="E321" s="3" t="s">
        <v>265</v>
      </c>
      <c r="F321" s="3" t="str">
        <f t="shared" si="31"/>
        <v>no bonus</v>
      </c>
    </row>
    <row r="322" spans="1:6" x14ac:dyDescent="0.3">
      <c r="B322" s="3" t="s">
        <v>259</v>
      </c>
      <c r="C322" s="3">
        <v>8</v>
      </c>
      <c r="D322" s="3" t="s">
        <v>264</v>
      </c>
      <c r="E322" s="3" t="s">
        <v>262</v>
      </c>
      <c r="F322" s="3" t="str">
        <f t="shared" si="31"/>
        <v>no bonus</v>
      </c>
    </row>
    <row r="324" spans="1:6" x14ac:dyDescent="0.3">
      <c r="A324" t="s">
        <v>268</v>
      </c>
      <c r="B324" s="3"/>
      <c r="C324" s="3"/>
      <c r="D324" s="3"/>
      <c r="E324" s="3"/>
    </row>
    <row r="325" spans="1:6" x14ac:dyDescent="0.3">
      <c r="B325" s="9" t="s">
        <v>270</v>
      </c>
      <c r="C325" s="9" t="s">
        <v>271</v>
      </c>
      <c r="D325" s="31" t="s">
        <v>272</v>
      </c>
      <c r="E325" s="3"/>
    </row>
    <row r="326" spans="1:6" x14ac:dyDescent="0.3">
      <c r="B326" s="3">
        <v>42</v>
      </c>
      <c r="C326" s="3" t="s">
        <v>273</v>
      </c>
      <c r="D326" s="3" t="str">
        <f>IF(AND(B326&gt;=18,C326="indian"),"eligible to vote")</f>
        <v>eligible to vote</v>
      </c>
      <c r="E326" s="3"/>
    </row>
    <row r="327" spans="1:6" x14ac:dyDescent="0.3">
      <c r="B327" s="3">
        <v>12</v>
      </c>
      <c r="C327" s="3" t="s">
        <v>274</v>
      </c>
      <c r="D327" s="3" t="b">
        <f>IF(AND(B327&gt;=18,C327="indian"),"eligible to vote")</f>
        <v>0</v>
      </c>
      <c r="E327" s="3"/>
    </row>
    <row r="328" spans="1:6" x14ac:dyDescent="0.3">
      <c r="B328" s="3">
        <v>5</v>
      </c>
      <c r="C328" s="3" t="s">
        <v>275</v>
      </c>
      <c r="D328" s="3" t="b">
        <f t="shared" ref="D328:D331" si="32">IF(AND(B328&gt;=18,C328="indian"),"eligible to vote")</f>
        <v>0</v>
      </c>
      <c r="E328" s="3"/>
    </row>
    <row r="329" spans="1:6" x14ac:dyDescent="0.3">
      <c r="B329" s="3">
        <v>18</v>
      </c>
      <c r="C329" s="3" t="s">
        <v>273</v>
      </c>
      <c r="D329" s="3" t="str">
        <f t="shared" si="32"/>
        <v>eligible to vote</v>
      </c>
      <c r="E329" s="3"/>
    </row>
    <row r="330" spans="1:6" x14ac:dyDescent="0.3">
      <c r="B330" s="3">
        <v>2</v>
      </c>
      <c r="C330" s="3" t="s">
        <v>276</v>
      </c>
      <c r="D330" s="3" t="b">
        <f t="shared" si="32"/>
        <v>0</v>
      </c>
      <c r="E330" s="3"/>
    </row>
    <row r="331" spans="1:6" x14ac:dyDescent="0.3">
      <c r="B331" s="3">
        <v>78</v>
      </c>
      <c r="C331" s="3" t="s">
        <v>277</v>
      </c>
      <c r="D331" s="3" t="b">
        <f t="shared" si="32"/>
        <v>0</v>
      </c>
      <c r="E331" s="3"/>
    </row>
    <row r="333" spans="1:6" x14ac:dyDescent="0.3">
      <c r="B333" s="3"/>
      <c r="C333" s="3"/>
      <c r="D333" s="3"/>
      <c r="E333" s="3"/>
    </row>
    <row r="334" spans="1:6" x14ac:dyDescent="0.3">
      <c r="A334" s="2" t="s">
        <v>278</v>
      </c>
      <c r="B334" s="9" t="s">
        <v>279</v>
      </c>
      <c r="C334" s="9" t="s">
        <v>230</v>
      </c>
      <c r="D334" s="9" t="s">
        <v>280</v>
      </c>
      <c r="E334" s="9" t="s">
        <v>281</v>
      </c>
    </row>
    <row r="335" spans="1:6" x14ac:dyDescent="0.3">
      <c r="B335" s="3" t="s">
        <v>282</v>
      </c>
      <c r="C335" s="3">
        <v>100</v>
      </c>
      <c r="D335" s="3" t="s">
        <v>284</v>
      </c>
      <c r="E335" s="3" t="str">
        <f>IF(D335="restricted from offer","no special offer",IF(OR(C335&gt;100,B335="member"),"special offer","no special offer"))</f>
        <v>no special offer</v>
      </c>
    </row>
    <row r="336" spans="1:6" x14ac:dyDescent="0.3">
      <c r="B336" s="3" t="s">
        <v>283</v>
      </c>
      <c r="C336" s="3">
        <v>154</v>
      </c>
      <c r="D336" s="3"/>
      <c r="E336" s="3" t="str">
        <f t="shared" ref="E336:E339" si="33">IF(D336="restricted from offer","no special offer",IF(OR(C336&gt;100,B336="member"),"special offer","no special offer"))</f>
        <v>special offer</v>
      </c>
    </row>
    <row r="337" spans="1:8" x14ac:dyDescent="0.3">
      <c r="B337" s="3" t="s">
        <v>282</v>
      </c>
      <c r="C337" s="3">
        <v>320</v>
      </c>
      <c r="D337" s="3" t="s">
        <v>284</v>
      </c>
      <c r="E337" s="3" t="str">
        <f t="shared" si="33"/>
        <v>no special offer</v>
      </c>
    </row>
    <row r="338" spans="1:8" x14ac:dyDescent="0.3">
      <c r="B338" s="3" t="s">
        <v>282</v>
      </c>
      <c r="C338" s="3">
        <v>45</v>
      </c>
      <c r="D338" s="3"/>
      <c r="E338" s="3" t="str">
        <f t="shared" si="33"/>
        <v>special offer</v>
      </c>
    </row>
    <row r="339" spans="1:8" x14ac:dyDescent="0.3">
      <c r="B339" s="3" t="s">
        <v>283</v>
      </c>
      <c r="C339" s="3">
        <v>0</v>
      </c>
      <c r="D339" s="3"/>
      <c r="E339" s="3" t="str">
        <f t="shared" si="33"/>
        <v>no special offer</v>
      </c>
    </row>
    <row r="343" spans="1:8" x14ac:dyDescent="0.3">
      <c r="C343" t="s">
        <v>292</v>
      </c>
      <c r="D343" t="s">
        <v>293</v>
      </c>
    </row>
    <row r="345" spans="1:8" x14ac:dyDescent="0.3">
      <c r="B345" s="3"/>
      <c r="C345" s="3"/>
      <c r="D345" s="3"/>
    </row>
    <row r="346" spans="1:8" x14ac:dyDescent="0.3">
      <c r="A346" t="s">
        <v>285</v>
      </c>
      <c r="B346" s="3" t="s">
        <v>131</v>
      </c>
      <c r="C346" s="3" t="s">
        <v>286</v>
      </c>
      <c r="D346" s="3" t="s">
        <v>287</v>
      </c>
      <c r="E346" t="s">
        <v>254</v>
      </c>
      <c r="F346" t="s">
        <v>254</v>
      </c>
      <c r="G346" t="str">
        <f>VLOOKUP(E346,B347:D351,3,0)</f>
        <v>indian</v>
      </c>
      <c r="H346">
        <f>VLOOKUP(E346,B347:D351,2,0)</f>
        <v>32</v>
      </c>
    </row>
    <row r="347" spans="1:8" x14ac:dyDescent="0.3">
      <c r="B347" s="3" t="s">
        <v>254</v>
      </c>
      <c r="C347" s="3">
        <v>32</v>
      </c>
      <c r="D347" s="3" t="s">
        <v>273</v>
      </c>
    </row>
    <row r="348" spans="1:8" x14ac:dyDescent="0.3">
      <c r="B348" s="3" t="s">
        <v>255</v>
      </c>
      <c r="C348" s="3">
        <v>34</v>
      </c>
      <c r="D348" s="3" t="s">
        <v>274</v>
      </c>
      <c r="E348" t="s">
        <v>288</v>
      </c>
    </row>
    <row r="349" spans="1:8" x14ac:dyDescent="0.3">
      <c r="B349" s="3" t="s">
        <v>256</v>
      </c>
      <c r="C349" s="3">
        <v>36</v>
      </c>
      <c r="D349" s="3" t="s">
        <v>289</v>
      </c>
    </row>
    <row r="350" spans="1:8" x14ac:dyDescent="0.3">
      <c r="B350" s="3" t="s">
        <v>288</v>
      </c>
      <c r="C350" s="3">
        <v>38</v>
      </c>
      <c r="D350" s="3" t="s">
        <v>290</v>
      </c>
    </row>
    <row r="351" spans="1:8" x14ac:dyDescent="0.3">
      <c r="B351" s="3" t="s">
        <v>258</v>
      </c>
      <c r="C351" s="3">
        <v>40</v>
      </c>
      <c r="D351" s="3" t="s">
        <v>291</v>
      </c>
    </row>
    <row r="356" spans="1:16" x14ac:dyDescent="0.3">
      <c r="A356" s="3" t="s">
        <v>294</v>
      </c>
      <c r="B356" s="3" t="s">
        <v>131</v>
      </c>
      <c r="C356" s="3" t="s">
        <v>295</v>
      </c>
      <c r="D356" s="3" t="s">
        <v>296</v>
      </c>
      <c r="E356" s="3" t="s">
        <v>302</v>
      </c>
      <c r="F356" s="3" t="s">
        <v>297</v>
      </c>
      <c r="G356" s="3" t="s">
        <v>298</v>
      </c>
      <c r="H356" s="3" t="s">
        <v>299</v>
      </c>
      <c r="I356" s="3" t="s">
        <v>300</v>
      </c>
      <c r="J356" s="3" t="s">
        <v>301</v>
      </c>
      <c r="K356" s="3" t="s">
        <v>231</v>
      </c>
      <c r="L356" s="3" t="s">
        <v>175</v>
      </c>
      <c r="M356" s="3" t="s">
        <v>313</v>
      </c>
      <c r="N356" s="3"/>
    </row>
    <row r="357" spans="1:16" x14ac:dyDescent="0.3">
      <c r="A357" s="3"/>
      <c r="B357" s="3" t="s">
        <v>199</v>
      </c>
      <c r="C357" s="3">
        <v>1</v>
      </c>
      <c r="D357" s="3" t="s">
        <v>303</v>
      </c>
      <c r="E357" s="3" t="s">
        <v>308</v>
      </c>
      <c r="F357" s="3">
        <v>90</v>
      </c>
      <c r="G357" s="3">
        <v>85</v>
      </c>
      <c r="H357" s="3">
        <v>85</v>
      </c>
      <c r="I357" s="3">
        <v>95</v>
      </c>
      <c r="J357" s="3">
        <v>96</v>
      </c>
      <c r="K357" s="3">
        <f>SUM(F357+G357+H357+I357+J357)</f>
        <v>451</v>
      </c>
      <c r="L357" s="8">
        <f>K357/500</f>
        <v>0.90200000000000002</v>
      </c>
      <c r="M357" s="3">
        <f>IF(L357&gt;L357,K357+5,0)</f>
        <v>0</v>
      </c>
      <c r="N357" s="3"/>
    </row>
    <row r="358" spans="1:16" x14ac:dyDescent="0.3">
      <c r="A358" s="3"/>
      <c r="B358" s="3" t="s">
        <v>200</v>
      </c>
      <c r="C358" s="3">
        <v>3</v>
      </c>
      <c r="D358" s="3" t="s">
        <v>304</v>
      </c>
      <c r="E358" s="3" t="s">
        <v>309</v>
      </c>
      <c r="F358" s="3">
        <v>54</v>
      </c>
      <c r="G358" s="3">
        <v>64</v>
      </c>
      <c r="H358" s="3">
        <v>54</v>
      </c>
      <c r="I358" s="3">
        <v>65</v>
      </c>
      <c r="J358" s="3">
        <v>56</v>
      </c>
      <c r="K358" s="3">
        <f t="shared" ref="K358:K361" si="34">SUM(F358+G358+H358+I358+J358)</f>
        <v>293</v>
      </c>
      <c r="L358" s="8">
        <f t="shared" ref="L358:L361" si="35">K358/500</f>
        <v>0.58599999999999997</v>
      </c>
      <c r="M358" s="3">
        <f t="shared" ref="M358:M361" si="36">IF(L358&gt;L358,K358+5,0)</f>
        <v>0</v>
      </c>
      <c r="N358" s="3"/>
    </row>
    <row r="359" spans="1:16" x14ac:dyDescent="0.3">
      <c r="A359" s="3"/>
      <c r="B359" s="3" t="s">
        <v>201</v>
      </c>
      <c r="C359" s="3">
        <v>5</v>
      </c>
      <c r="D359" s="3" t="s">
        <v>305</v>
      </c>
      <c r="E359" s="3" t="s">
        <v>310</v>
      </c>
      <c r="F359" s="3">
        <v>85</v>
      </c>
      <c r="G359" s="3">
        <v>95</v>
      </c>
      <c r="H359" s="3">
        <v>84</v>
      </c>
      <c r="I359" s="3">
        <v>45</v>
      </c>
      <c r="J359" s="3">
        <v>45</v>
      </c>
      <c r="K359" s="3">
        <f t="shared" si="34"/>
        <v>354</v>
      </c>
      <c r="L359" s="8">
        <f t="shared" si="35"/>
        <v>0.70799999999999996</v>
      </c>
      <c r="M359" s="3">
        <f t="shared" si="36"/>
        <v>0</v>
      </c>
      <c r="N359" s="3"/>
    </row>
    <row r="360" spans="1:16" x14ac:dyDescent="0.3">
      <c r="A360" s="3"/>
      <c r="B360" s="3" t="s">
        <v>202</v>
      </c>
      <c r="C360" s="3">
        <v>9</v>
      </c>
      <c r="D360" s="3" t="s">
        <v>306</v>
      </c>
      <c r="E360" s="3" t="s">
        <v>311</v>
      </c>
      <c r="F360" s="3">
        <v>64</v>
      </c>
      <c r="G360" s="3">
        <v>45</v>
      </c>
      <c r="H360" s="3">
        <v>76</v>
      </c>
      <c r="I360" s="3">
        <v>78</v>
      </c>
      <c r="J360" s="3">
        <v>71</v>
      </c>
      <c r="K360" s="3">
        <f t="shared" si="34"/>
        <v>334</v>
      </c>
      <c r="L360" s="8">
        <f t="shared" si="35"/>
        <v>0.66800000000000004</v>
      </c>
      <c r="M360" s="3">
        <f t="shared" si="36"/>
        <v>0</v>
      </c>
      <c r="N360" s="3"/>
    </row>
    <row r="361" spans="1:16" x14ac:dyDescent="0.3">
      <c r="A361" s="3"/>
      <c r="B361" s="3" t="s">
        <v>203</v>
      </c>
      <c r="C361" s="3">
        <v>11</v>
      </c>
      <c r="D361" s="3" t="s">
        <v>307</v>
      </c>
      <c r="E361" s="3" t="s">
        <v>312</v>
      </c>
      <c r="F361" s="3">
        <v>41</v>
      </c>
      <c r="G361" s="3">
        <v>24</v>
      </c>
      <c r="H361" s="3">
        <v>58</v>
      </c>
      <c r="I361" s="3">
        <v>64</v>
      </c>
      <c r="J361" s="3">
        <v>94</v>
      </c>
      <c r="K361" s="3">
        <f t="shared" si="34"/>
        <v>281</v>
      </c>
      <c r="L361" s="8">
        <f t="shared" si="35"/>
        <v>0.56200000000000006</v>
      </c>
      <c r="M361" s="3">
        <f t="shared" si="36"/>
        <v>0</v>
      </c>
      <c r="N361" s="3"/>
    </row>
    <row r="362" spans="1:16" x14ac:dyDescent="0.3">
      <c r="B362" s="26"/>
    </row>
    <row r="363" spans="1:16" x14ac:dyDescent="0.3">
      <c r="L363" s="32"/>
    </row>
    <row r="364" spans="1:16" x14ac:dyDescent="0.3">
      <c r="B364" s="3"/>
      <c r="C364" s="3" t="s">
        <v>314</v>
      </c>
      <c r="D364" s="3" t="s">
        <v>315</v>
      </c>
      <c r="E364" s="3" t="s">
        <v>316</v>
      </c>
      <c r="F364" s="3" t="s">
        <v>309</v>
      </c>
      <c r="G364" s="3" t="s">
        <v>297</v>
      </c>
      <c r="H364" s="3" t="s">
        <v>298</v>
      </c>
      <c r="I364" s="3" t="s">
        <v>299</v>
      </c>
      <c r="J364" s="3" t="s">
        <v>300</v>
      </c>
      <c r="K364" s="3" t="s">
        <v>301</v>
      </c>
      <c r="L364" s="3" t="s">
        <v>231</v>
      </c>
      <c r="M364" s="3" t="s">
        <v>317</v>
      </c>
      <c r="N364" s="3"/>
      <c r="O364" s="3"/>
      <c r="P364" s="3"/>
    </row>
    <row r="365" spans="1:16" x14ac:dyDescent="0.3">
      <c r="B365" s="3"/>
      <c r="C365" s="3" t="s">
        <v>199</v>
      </c>
      <c r="D365" s="3">
        <f>VLOOKUP(C365,B357:M361,2,0)</f>
        <v>1</v>
      </c>
      <c r="E365" s="3" t="str">
        <f>VLOOKUP(C365,B357:M361,3,0)</f>
        <v xml:space="preserve"> rishi</v>
      </c>
      <c r="F365" s="3" t="str">
        <f>VLOOKUP(C365,B357:M361,4,0)</f>
        <v>patna</v>
      </c>
      <c r="G365" s="3">
        <f>VLOOKUP(C365,B357:M361,5,0)</f>
        <v>90</v>
      </c>
      <c r="H365" s="3">
        <f>VLOOKUP(C365,B357:M361,6,0)</f>
        <v>85</v>
      </c>
      <c r="I365" s="3">
        <f>VLOOKUP(C365,B357:M361,7,0)</f>
        <v>85</v>
      </c>
      <c r="J365" s="3">
        <f>VLOOKUP(C365,B357:M361,8,0)</f>
        <v>95</v>
      </c>
      <c r="K365" s="3">
        <f>VLOOKUP(C365,B357:M361,9,0)</f>
        <v>96</v>
      </c>
      <c r="L365" s="3">
        <f>VLOOKUP(C365,B357:M361,10,0)</f>
        <v>451</v>
      </c>
      <c r="M365" s="8">
        <f>VLOOKUP(C365,B357:M361,11,0)</f>
        <v>0.90200000000000002</v>
      </c>
      <c r="N365" s="3">
        <f>VLOOKUP(C365,B357:M361,12,0)</f>
        <v>0</v>
      </c>
      <c r="O365" s="3"/>
      <c r="P365" s="3"/>
    </row>
    <row r="367" spans="1:16" x14ac:dyDescent="0.3">
      <c r="B367" s="2" t="s">
        <v>320</v>
      </c>
    </row>
    <row r="369" spans="1:12" x14ac:dyDescent="0.3">
      <c r="B369" s="3"/>
      <c r="C369" s="9" t="s">
        <v>318</v>
      </c>
      <c r="D369" s="9" t="s">
        <v>319</v>
      </c>
    </row>
    <row r="370" spans="1:12" x14ac:dyDescent="0.3">
      <c r="B370" s="3"/>
      <c r="C370" s="3">
        <v>10000</v>
      </c>
      <c r="D370" s="3">
        <v>10</v>
      </c>
      <c r="E370" s="12">
        <v>30000</v>
      </c>
      <c r="F370" s="12">
        <f>VLOOKUP(E370,C370:D378,2,1)</f>
        <v>30</v>
      </c>
    </row>
    <row r="371" spans="1:12" x14ac:dyDescent="0.3">
      <c r="B371" s="3"/>
      <c r="C371" s="3">
        <v>20000</v>
      </c>
      <c r="D371" s="3">
        <v>20</v>
      </c>
      <c r="E371" s="12">
        <v>19999</v>
      </c>
      <c r="F371" s="12">
        <f>VLOOKUP(E371,C370:D378,2,1)</f>
        <v>10</v>
      </c>
    </row>
    <row r="372" spans="1:12" x14ac:dyDescent="0.3">
      <c r="B372" s="3"/>
      <c r="C372" s="3">
        <v>30000</v>
      </c>
      <c r="D372" s="3">
        <v>30</v>
      </c>
    </row>
    <row r="373" spans="1:12" x14ac:dyDescent="0.3">
      <c r="B373" s="3"/>
      <c r="C373" s="3">
        <v>40000</v>
      </c>
      <c r="D373" s="3">
        <v>40</v>
      </c>
    </row>
    <row r="374" spans="1:12" x14ac:dyDescent="0.3">
      <c r="B374" s="3"/>
      <c r="C374" s="3">
        <v>50000</v>
      </c>
      <c r="D374" s="3">
        <v>50</v>
      </c>
    </row>
    <row r="375" spans="1:12" x14ac:dyDescent="0.3">
      <c r="B375" s="3"/>
      <c r="C375" s="3">
        <v>60000</v>
      </c>
      <c r="D375" s="3">
        <v>60</v>
      </c>
    </row>
    <row r="376" spans="1:12" x14ac:dyDescent="0.3">
      <c r="B376" s="3"/>
      <c r="C376" s="3">
        <v>70000</v>
      </c>
      <c r="D376" s="3">
        <v>70</v>
      </c>
    </row>
    <row r="377" spans="1:12" x14ac:dyDescent="0.3">
      <c r="B377" s="3"/>
      <c r="C377" s="3">
        <v>80000</v>
      </c>
      <c r="D377" s="3">
        <v>80</v>
      </c>
    </row>
    <row r="378" spans="1:12" x14ac:dyDescent="0.3">
      <c r="B378" s="3"/>
      <c r="C378" s="3">
        <v>90000</v>
      </c>
      <c r="D378" s="3">
        <v>90</v>
      </c>
    </row>
    <row r="382" spans="1:12" x14ac:dyDescent="0.3">
      <c r="A382" t="s">
        <v>324</v>
      </c>
      <c r="B382" s="2" t="s">
        <v>325</v>
      </c>
    </row>
    <row r="383" spans="1:12" x14ac:dyDescent="0.3">
      <c r="B383" s="33"/>
      <c r="C383" s="33" t="s">
        <v>131</v>
      </c>
      <c r="D383" s="33" t="s">
        <v>254</v>
      </c>
      <c r="E383" s="33" t="s">
        <v>255</v>
      </c>
      <c r="F383" s="33" t="s">
        <v>256</v>
      </c>
      <c r="G383" s="33" t="s">
        <v>288</v>
      </c>
      <c r="H383" s="33" t="s">
        <v>258</v>
      </c>
      <c r="I383" s="33" t="s">
        <v>259</v>
      </c>
      <c r="J383" s="33" t="s">
        <v>321</v>
      </c>
      <c r="K383" s="33" t="s">
        <v>322</v>
      </c>
      <c r="L383" s="33" t="s">
        <v>323</v>
      </c>
    </row>
    <row r="384" spans="1:12" x14ac:dyDescent="0.3">
      <c r="B384" s="33"/>
      <c r="C384" s="33" t="s">
        <v>286</v>
      </c>
      <c r="D384" s="33">
        <v>28</v>
      </c>
      <c r="E384" s="33">
        <v>25</v>
      </c>
      <c r="F384" s="33">
        <v>29</v>
      </c>
      <c r="G384" s="33">
        <v>45</v>
      </c>
      <c r="H384" s="33">
        <v>44</v>
      </c>
      <c r="I384" s="33">
        <v>19</v>
      </c>
      <c r="J384" s="33">
        <v>20</v>
      </c>
      <c r="K384" s="33">
        <v>47</v>
      </c>
      <c r="L384" s="33">
        <v>52</v>
      </c>
    </row>
    <row r="386" spans="1:5" x14ac:dyDescent="0.3">
      <c r="B386" s="3"/>
      <c r="C386" s="3" t="str">
        <f>HLOOKUP(D383,D383:L384,1,0)</f>
        <v>a</v>
      </c>
      <c r="D386" s="3">
        <f>HLOOKUP(D383,D383:L384,2,0)</f>
        <v>28</v>
      </c>
    </row>
    <row r="388" spans="1:5" x14ac:dyDescent="0.3">
      <c r="B388" s="3" t="s">
        <v>326</v>
      </c>
      <c r="C388" s="3" t="s">
        <v>327</v>
      </c>
      <c r="D388" s="3" t="s">
        <v>318</v>
      </c>
      <c r="E388" s="3" t="s">
        <v>270</v>
      </c>
    </row>
    <row r="389" spans="1:5" x14ac:dyDescent="0.3">
      <c r="A389" t="s">
        <v>324</v>
      </c>
      <c r="B389" s="3">
        <v>10245</v>
      </c>
      <c r="C389" s="3" t="s">
        <v>328</v>
      </c>
      <c r="D389" s="3">
        <v>11771</v>
      </c>
      <c r="E389" s="3">
        <v>45</v>
      </c>
    </row>
    <row r="390" spans="1:5" x14ac:dyDescent="0.3">
      <c r="B390" s="3">
        <v>10246</v>
      </c>
      <c r="C390" s="3" t="s">
        <v>329</v>
      </c>
      <c r="D390" s="3">
        <v>13046</v>
      </c>
      <c r="E390" s="3">
        <v>32</v>
      </c>
    </row>
    <row r="391" spans="1:5" x14ac:dyDescent="0.3">
      <c r="B391" s="3">
        <v>10247</v>
      </c>
      <c r="C391" s="3" t="s">
        <v>330</v>
      </c>
      <c r="D391" s="3">
        <v>18276</v>
      </c>
      <c r="E391" s="3">
        <v>54</v>
      </c>
    </row>
    <row r="392" spans="1:5" x14ac:dyDescent="0.3">
      <c r="B392" s="3">
        <v>10248</v>
      </c>
      <c r="C392" s="3" t="s">
        <v>331</v>
      </c>
      <c r="D392" s="3">
        <v>18966</v>
      </c>
      <c r="E392" s="3">
        <v>26</v>
      </c>
    </row>
    <row r="393" spans="1:5" x14ac:dyDescent="0.3">
      <c r="B393" s="3">
        <v>10249</v>
      </c>
      <c r="C393" s="3" t="s">
        <v>332</v>
      </c>
      <c r="D393" s="3">
        <v>54578</v>
      </c>
      <c r="E393" s="3">
        <v>47</v>
      </c>
    </row>
    <row r="394" spans="1:5" x14ac:dyDescent="0.3">
      <c r="B394" s="3">
        <v>10250</v>
      </c>
      <c r="C394" s="3" t="s">
        <v>333</v>
      </c>
      <c r="D394" s="3">
        <v>65897</v>
      </c>
      <c r="E394" s="3">
        <v>54</v>
      </c>
    </row>
    <row r="395" spans="1:5" x14ac:dyDescent="0.3">
      <c r="B395" s="3">
        <v>10251</v>
      </c>
      <c r="C395" s="3" t="s">
        <v>289</v>
      </c>
      <c r="D395" s="3">
        <v>12354</v>
      </c>
      <c r="E395" s="3">
        <v>26</v>
      </c>
    </row>
    <row r="396" spans="1:5" x14ac:dyDescent="0.3">
      <c r="B396" s="3">
        <v>10252</v>
      </c>
      <c r="C396" s="3" t="s">
        <v>334</v>
      </c>
      <c r="D396" s="3">
        <v>45698</v>
      </c>
      <c r="E396" s="3">
        <v>27</v>
      </c>
    </row>
    <row r="399" spans="1:5" x14ac:dyDescent="0.3">
      <c r="B399" t="s">
        <v>335</v>
      </c>
    </row>
    <row r="400" spans="1:5" x14ac:dyDescent="0.3">
      <c r="A400" s="3"/>
      <c r="B400" s="3" t="s">
        <v>336</v>
      </c>
      <c r="C400" s="3" t="s">
        <v>327</v>
      </c>
      <c r="D400" s="3" t="s">
        <v>318</v>
      </c>
      <c r="E400" s="3" t="s">
        <v>270</v>
      </c>
    </row>
    <row r="401" spans="1:7" x14ac:dyDescent="0.3">
      <c r="A401" s="3"/>
      <c r="B401" s="3">
        <v>10252</v>
      </c>
      <c r="C401" s="3" t="str">
        <f>LOOKUP($B$401,$B$389:C396)</f>
        <v>japan</v>
      </c>
      <c r="D401" s="3">
        <f>LOOKUP($B$401,$B$389:D396)</f>
        <v>45698</v>
      </c>
      <c r="E401" s="3">
        <f>LOOKUP($B$401,$B$389:E396)</f>
        <v>27</v>
      </c>
    </row>
    <row r="403" spans="1:7" x14ac:dyDescent="0.3">
      <c r="A403" s="3"/>
      <c r="B403" s="9" t="s">
        <v>337</v>
      </c>
      <c r="C403" s="3"/>
      <c r="D403" s="3"/>
      <c r="E403" s="3"/>
    </row>
    <row r="404" spans="1:7" x14ac:dyDescent="0.3">
      <c r="A404" s="3"/>
      <c r="B404" s="3">
        <f>VLOOKUP(B389,B389:E396,1,0)</f>
        <v>10245</v>
      </c>
      <c r="C404" s="3" t="str">
        <f t="shared" ref="C404:E404" si="37">VLOOKUP(C389,C389:F396,1,0)</f>
        <v>berlin</v>
      </c>
      <c r="D404" s="3">
        <f t="shared" si="37"/>
        <v>11771</v>
      </c>
      <c r="E404" s="3">
        <f t="shared" si="37"/>
        <v>45</v>
      </c>
    </row>
    <row r="406" spans="1:7" x14ac:dyDescent="0.3">
      <c r="B406" s="3" t="s">
        <v>338</v>
      </c>
      <c r="C406" s="3"/>
      <c r="D406" s="3"/>
      <c r="E406" s="3"/>
    </row>
    <row r="407" spans="1:7" x14ac:dyDescent="0.3">
      <c r="B407" s="3">
        <f>LOOKUP($B$389,$B$389:B396)</f>
        <v>10245</v>
      </c>
      <c r="C407" s="3" t="str">
        <f>LOOKUP($B$389,$B$389:C396)</f>
        <v>berlin</v>
      </c>
      <c r="D407" s="3">
        <f>LOOKUP($B$389,$B$389:D396)</f>
        <v>11771</v>
      </c>
      <c r="E407" s="3">
        <f>LOOKUP($B$389,$B$389:E396)</f>
        <v>45</v>
      </c>
    </row>
    <row r="409" spans="1:7" x14ac:dyDescent="0.3">
      <c r="E409" t="s">
        <v>408</v>
      </c>
      <c r="F409" t="s">
        <v>409</v>
      </c>
      <c r="G409" t="s">
        <v>410</v>
      </c>
    </row>
    <row r="410" spans="1:7" x14ac:dyDescent="0.3">
      <c r="A410" t="s">
        <v>324</v>
      </c>
      <c r="B410" t="s">
        <v>405</v>
      </c>
      <c r="C410">
        <v>2000000</v>
      </c>
      <c r="D410">
        <f>2000000-70000-50000</f>
        <v>1880000</v>
      </c>
      <c r="E410" s="32">
        <f>IF(D410&lt;=1000000,5%,IF(D410&lt;=1500000,10%,IF(D410&lt;=2000000,20%,IF(D410&lt;=3000000,30%,0%))))</f>
        <v>0.2</v>
      </c>
      <c r="F410" s="43">
        <f>(D410*E410)/100</f>
        <v>3760</v>
      </c>
      <c r="G410" s="43">
        <f>D410-F410</f>
        <v>1876240</v>
      </c>
    </row>
    <row r="411" spans="1:7" x14ac:dyDescent="0.3">
      <c r="B411" t="s">
        <v>406</v>
      </c>
      <c r="C411">
        <v>70000</v>
      </c>
    </row>
    <row r="412" spans="1:7" x14ac:dyDescent="0.3">
      <c r="B412" t="s">
        <v>407</v>
      </c>
      <c r="C412">
        <v>50000</v>
      </c>
    </row>
    <row r="416" spans="1:7" x14ac:dyDescent="0.3">
      <c r="B416" t="s">
        <v>450</v>
      </c>
    </row>
    <row r="417" spans="1:4" x14ac:dyDescent="0.3">
      <c r="B417" s="3"/>
      <c r="C417" s="3"/>
      <c r="D417" s="3"/>
    </row>
    <row r="418" spans="1:4" x14ac:dyDescent="0.3">
      <c r="B418" s="3"/>
      <c r="C418" s="3">
        <v>30</v>
      </c>
      <c r="D418" s="3"/>
    </row>
    <row r="419" spans="1:4" x14ac:dyDescent="0.3">
      <c r="B419" s="3"/>
      <c r="C419" s="3">
        <v>40</v>
      </c>
      <c r="D419" s="3"/>
    </row>
    <row r="420" spans="1:4" x14ac:dyDescent="0.3">
      <c r="B420" s="3"/>
      <c r="C420" s="3">
        <v>60</v>
      </c>
      <c r="D420" s="3"/>
    </row>
    <row r="421" spans="1:4" x14ac:dyDescent="0.3">
      <c r="B421" s="3"/>
      <c r="C421" s="3" t="s">
        <v>451</v>
      </c>
      <c r="D421" s="3">
        <f>COUNTIF(C418:C420,"&gt;30")</f>
        <v>2</v>
      </c>
    </row>
    <row r="422" spans="1:4" x14ac:dyDescent="0.3">
      <c r="B422" s="3"/>
      <c r="C422" s="3" t="s">
        <v>451</v>
      </c>
      <c r="D422" s="3">
        <f>COUNTIF(C418:C420,"&lt;56")</f>
        <v>2</v>
      </c>
    </row>
    <row r="423" spans="1:4" x14ac:dyDescent="0.3">
      <c r="B423" s="3"/>
      <c r="C423" s="3" t="s">
        <v>451</v>
      </c>
      <c r="D423" s="3">
        <f>COUNTIF(C418:C420,"&lt;80")</f>
        <v>3</v>
      </c>
    </row>
    <row r="424" spans="1:4" x14ac:dyDescent="0.3">
      <c r="B424" s="3"/>
      <c r="C424" s="3"/>
      <c r="D424" s="3"/>
    </row>
    <row r="425" spans="1:4" x14ac:dyDescent="0.3">
      <c r="B425" t="s">
        <v>452</v>
      </c>
    </row>
    <row r="426" spans="1:4" x14ac:dyDescent="0.3">
      <c r="A426" s="3"/>
      <c r="B426" s="3" t="s">
        <v>199</v>
      </c>
      <c r="C426" s="3" t="s">
        <v>200</v>
      </c>
    </row>
    <row r="427" spans="1:4" x14ac:dyDescent="0.3">
      <c r="A427" s="3"/>
      <c r="B427" s="3" t="s">
        <v>453</v>
      </c>
      <c r="C427" s="3">
        <v>50</v>
      </c>
    </row>
    <row r="428" spans="1:4" x14ac:dyDescent="0.3">
      <c r="A428" s="3"/>
      <c r="B428" s="3" t="s">
        <v>454</v>
      </c>
      <c r="C428" s="3">
        <v>70</v>
      </c>
    </row>
    <row r="429" spans="1:4" x14ac:dyDescent="0.3">
      <c r="A429" s="3"/>
      <c r="B429" s="3" t="s">
        <v>453</v>
      </c>
      <c r="C429" s="3">
        <v>100</v>
      </c>
    </row>
    <row r="430" spans="1:4" x14ac:dyDescent="0.3">
      <c r="A430" s="3"/>
      <c r="B430" s="3" t="s">
        <v>455</v>
      </c>
      <c r="C430" s="3">
        <f>SUMIF(B427:B429,"apple",C427:C429)</f>
        <v>150</v>
      </c>
    </row>
    <row r="431" spans="1:4" x14ac:dyDescent="0.3">
      <c r="A431" s="3"/>
      <c r="B431" s="3" t="s">
        <v>456</v>
      </c>
      <c r="C431" s="3">
        <f>SUMIF(B427:B429,"banana",C427:C429)</f>
        <v>70</v>
      </c>
    </row>
    <row r="434" spans="1:4" x14ac:dyDescent="0.3">
      <c r="A434" s="3"/>
      <c r="B434" s="3" t="s">
        <v>458</v>
      </c>
      <c r="C434" s="3" t="s">
        <v>457</v>
      </c>
    </row>
    <row r="435" spans="1:4" x14ac:dyDescent="0.3">
      <c r="A435" s="3"/>
      <c r="B435" s="3" t="s">
        <v>459</v>
      </c>
      <c r="C435" s="3">
        <f>LEN(C434)</f>
        <v>5</v>
      </c>
    </row>
    <row r="437" spans="1:4" x14ac:dyDescent="0.3">
      <c r="A437" s="3"/>
      <c r="B437" s="3" t="s">
        <v>460</v>
      </c>
      <c r="C437" s="3"/>
      <c r="D437" s="3"/>
    </row>
    <row r="438" spans="1:4" x14ac:dyDescent="0.3">
      <c r="A438" s="3"/>
      <c r="B438" s="3" t="s">
        <v>461</v>
      </c>
      <c r="C438" s="3">
        <v>34511.449999999997</v>
      </c>
      <c r="D438" s="3">
        <f>ROUND(C438,1)</f>
        <v>34511.5</v>
      </c>
    </row>
    <row r="441" spans="1:4" x14ac:dyDescent="0.3">
      <c r="A441" s="3"/>
      <c r="B441" s="3" t="s">
        <v>462</v>
      </c>
      <c r="C441" s="46">
        <f ca="1">TODAY()</f>
        <v>45601</v>
      </c>
    </row>
  </sheetData>
  <phoneticPr fontId="7" type="noConversion"/>
  <dataValidations count="17">
    <dataValidation type="list" allowBlank="1" showInputMessage="1" showErrorMessage="1" sqref="F346" xr:uid="{9330C25E-5FE2-47DC-B5E0-D8871EB044D1}">
      <formula1>$B$347:$B$351</formula1>
    </dataValidation>
    <dataValidation type="list" allowBlank="1" showInputMessage="1" showErrorMessage="1" sqref="B363 C365" xr:uid="{43DA8DDB-C718-4902-8AEE-F299E70699AC}">
      <formula1>$B$357:$B$361</formula1>
    </dataValidation>
    <dataValidation type="list" allowBlank="1" showInputMessage="1" showErrorMessage="1" sqref="C363 D365" xr:uid="{AC5D2E2C-B9CC-43BE-97AA-26FA8041A11F}">
      <formula1>$C$357:$C$361</formula1>
    </dataValidation>
    <dataValidation type="list" allowBlank="1" showInputMessage="1" showErrorMessage="1" sqref="D363 E365" xr:uid="{6AB1246E-5A9F-4653-ADA6-C0241092DD3A}">
      <formula1>$D$357:$D$361</formula1>
    </dataValidation>
    <dataValidation type="list" allowBlank="1" showInputMessage="1" showErrorMessage="1" sqref="E363 F365" xr:uid="{D7F05853-2D0B-44E8-A299-1A75E3749028}">
      <formula1>$E$357:$E$361</formula1>
    </dataValidation>
    <dataValidation type="list" allowBlank="1" showInputMessage="1" showErrorMessage="1" sqref="F363 G365" xr:uid="{350164AA-0019-4838-B42C-21E87B730105}">
      <formula1>$F$357:$F$361</formula1>
    </dataValidation>
    <dataValidation type="list" allowBlank="1" showInputMessage="1" showErrorMessage="1" sqref="G363 H365" xr:uid="{35DEED86-24B3-40C8-9D4D-0A413EB46470}">
      <formula1>$G$357:$G$361</formula1>
    </dataValidation>
    <dataValidation type="list" allowBlank="1" showInputMessage="1" showErrorMessage="1" sqref="H363 I365" xr:uid="{96E679F3-97A9-4ADA-8FA8-ECD667A17113}">
      <formula1>$H$357:$H$361</formula1>
    </dataValidation>
    <dataValidation type="list" allowBlank="1" showInputMessage="1" showErrorMessage="1" sqref="I363 J365" xr:uid="{EBFADD59-7A96-4A1E-8C89-675F7DD19AAE}">
      <formula1>$I$357:$I$361</formula1>
    </dataValidation>
    <dataValidation type="list" allowBlank="1" showInputMessage="1" showErrorMessage="1" sqref="J363 K365" xr:uid="{237AEA9B-76DA-41DA-A0D0-361129D69C78}">
      <formula1>$J$357:$J$361</formula1>
    </dataValidation>
    <dataValidation type="list" allowBlank="1" showInputMessage="1" showErrorMessage="1" sqref="K363 L365" xr:uid="{58DD0017-920D-48C2-B913-2BDA996EB64D}">
      <formula1>$K$357:$K$361</formula1>
    </dataValidation>
    <dataValidation type="list" allowBlank="1" showInputMessage="1" showErrorMessage="1" sqref="L363 M365" xr:uid="{3748DEC7-4D8D-4B6D-9E91-09D1CDA32833}">
      <formula1>$L$357:$L$361</formula1>
    </dataValidation>
    <dataValidation type="list" allowBlank="1" showInputMessage="1" showErrorMessage="1" sqref="M357" xr:uid="{850B3CE7-BFB0-45D6-821A-375E4CAB7E69}">
      <formula1>$M$357:$M$361</formula1>
    </dataValidation>
    <dataValidation type="list" allowBlank="1" showInputMessage="1" showErrorMessage="1" sqref="D345 G346" xr:uid="{A9FD7037-8756-4219-BBAF-C2FFEECE2357}">
      <formula1>$D$347:$D$351</formula1>
    </dataValidation>
    <dataValidation type="list" allowBlank="1" showInputMessage="1" showErrorMessage="1" sqref="H346" xr:uid="{2851C457-9643-48E7-B88E-DF12DF1910D5}">
      <formula1>$C$347:$C$351</formula1>
    </dataValidation>
    <dataValidation type="list" allowBlank="1" showInputMessage="1" showErrorMessage="1" sqref="E370" xr:uid="{D65B1D90-0927-4A44-980F-6D5882C67263}">
      <formula1>$C$370:$C$378</formula1>
    </dataValidation>
    <dataValidation type="list" allowBlank="1" showInputMessage="1" showErrorMessage="1" sqref="F370" xr:uid="{D357A5D0-27B2-4DAA-94A9-8000A72323B9}">
      <formula1>$D$370:$D$378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E281-EBC6-4D43-B6F8-0A958CCE2A29}">
  <dimension ref="A1:R60"/>
  <sheetViews>
    <sheetView tabSelected="1" zoomScale="76" zoomScaleNormal="114" workbookViewId="0">
      <selection activeCell="I20" sqref="I20"/>
    </sheetView>
  </sheetViews>
  <sheetFormatPr defaultRowHeight="14.4" x14ac:dyDescent="0.3"/>
  <cols>
    <col min="3" max="3" width="14.109375" customWidth="1"/>
    <col min="9" max="9" width="12.109375" customWidth="1"/>
    <col min="17" max="17" width="12.77734375" customWidth="1"/>
  </cols>
  <sheetData>
    <row r="1" spans="1:18" ht="28.8" x14ac:dyDescent="0.55000000000000004">
      <c r="I1" s="21" t="s">
        <v>411</v>
      </c>
    </row>
    <row r="2" spans="1:18" x14ac:dyDescent="0.3">
      <c r="D2" s="12" t="s">
        <v>438</v>
      </c>
      <c r="E2" s="12"/>
    </row>
    <row r="3" spans="1:18" x14ac:dyDescent="0.3">
      <c r="C3" s="37" t="s">
        <v>437</v>
      </c>
      <c r="D3" s="37"/>
      <c r="E3" s="37" t="s">
        <v>430</v>
      </c>
      <c r="F3" s="37"/>
      <c r="O3" s="3"/>
      <c r="P3" s="3"/>
      <c r="Q3" s="3"/>
    </row>
    <row r="4" spans="1:18" x14ac:dyDescent="0.3">
      <c r="A4" s="2" t="s">
        <v>324</v>
      </c>
      <c r="C4" s="3" t="s">
        <v>424</v>
      </c>
      <c r="D4" s="3">
        <v>50000</v>
      </c>
      <c r="E4" s="3">
        <f>SUM(D4:D9)</f>
        <v>2094000</v>
      </c>
      <c r="F4" s="3"/>
      <c r="O4" s="3" t="s">
        <v>412</v>
      </c>
      <c r="P4" s="3"/>
      <c r="Q4" s="3"/>
    </row>
    <row r="5" spans="1:18" x14ac:dyDescent="0.3">
      <c r="C5" s="3" t="s">
        <v>425</v>
      </c>
      <c r="D5" s="3">
        <v>8000</v>
      </c>
      <c r="E5" s="3"/>
      <c r="F5" s="3"/>
      <c r="O5" s="3"/>
      <c r="P5" s="3"/>
      <c r="Q5" s="3"/>
    </row>
    <row r="6" spans="1:18" x14ac:dyDescent="0.3">
      <c r="C6" s="3" t="s">
        <v>426</v>
      </c>
      <c r="D6" s="3">
        <v>2000000</v>
      </c>
      <c r="E6" s="3"/>
      <c r="F6" s="3"/>
      <c r="O6" s="3" t="s">
        <v>413</v>
      </c>
      <c r="P6" s="3"/>
      <c r="Q6" s="3" t="s">
        <v>414</v>
      </c>
    </row>
    <row r="7" spans="1:18" x14ac:dyDescent="0.3">
      <c r="C7" s="3" t="s">
        <v>427</v>
      </c>
      <c r="D7" s="3">
        <v>20000</v>
      </c>
      <c r="E7" s="3"/>
      <c r="F7" s="3"/>
      <c r="O7" s="3">
        <v>250001</v>
      </c>
      <c r="P7" s="3">
        <v>500000</v>
      </c>
      <c r="Q7" s="44">
        <v>0.05</v>
      </c>
    </row>
    <row r="8" spans="1:18" x14ac:dyDescent="0.3">
      <c r="C8" s="3" t="s">
        <v>428</v>
      </c>
      <c r="D8" s="3">
        <v>12000</v>
      </c>
      <c r="E8" s="3"/>
      <c r="F8" s="3"/>
      <c r="O8" s="3">
        <v>500001</v>
      </c>
      <c r="P8" s="3">
        <v>1000000</v>
      </c>
      <c r="Q8" s="44">
        <v>0.2</v>
      </c>
    </row>
    <row r="9" spans="1:18" x14ac:dyDescent="0.3">
      <c r="C9" s="3" t="s">
        <v>429</v>
      </c>
      <c r="D9" s="3">
        <v>4000</v>
      </c>
      <c r="E9" s="3"/>
      <c r="F9" s="3"/>
      <c r="O9" s="3" t="s">
        <v>415</v>
      </c>
      <c r="P9" s="3"/>
      <c r="Q9" s="44">
        <v>0.3</v>
      </c>
    </row>
    <row r="10" spans="1:18" x14ac:dyDescent="0.3">
      <c r="C10" s="3"/>
      <c r="D10" s="3"/>
      <c r="E10" s="3"/>
      <c r="F10" s="3"/>
    </row>
    <row r="11" spans="1:18" x14ac:dyDescent="0.3">
      <c r="C11" s="3" t="s">
        <v>406</v>
      </c>
      <c r="D11" s="3">
        <v>50000</v>
      </c>
      <c r="E11" s="3"/>
      <c r="F11" s="3"/>
    </row>
    <row r="12" spans="1:18" x14ac:dyDescent="0.3">
      <c r="C12" s="3"/>
      <c r="D12" s="3"/>
      <c r="E12" s="3"/>
      <c r="F12" s="3"/>
      <c r="N12" s="3"/>
      <c r="O12" s="3"/>
      <c r="P12" s="3" t="s">
        <v>416</v>
      </c>
      <c r="Q12" s="3"/>
      <c r="R12" s="3"/>
    </row>
    <row r="13" spans="1:18" x14ac:dyDescent="0.3">
      <c r="C13" s="3"/>
      <c r="D13" s="3"/>
      <c r="E13" s="3"/>
      <c r="F13" s="3"/>
      <c r="N13" s="3"/>
      <c r="O13" s="3" t="s">
        <v>417</v>
      </c>
      <c r="P13" s="3"/>
      <c r="Q13" s="3" t="s">
        <v>420</v>
      </c>
      <c r="R13" s="3"/>
    </row>
    <row r="14" spans="1:18" x14ac:dyDescent="0.3">
      <c r="C14" s="3" t="s">
        <v>433</v>
      </c>
      <c r="D14" s="3">
        <v>12000</v>
      </c>
      <c r="E14" s="3"/>
      <c r="F14" s="3"/>
      <c r="N14" s="3"/>
      <c r="O14" s="3" t="s">
        <v>418</v>
      </c>
      <c r="P14" s="3"/>
      <c r="Q14" s="3" t="s">
        <v>421</v>
      </c>
      <c r="R14" s="3"/>
    </row>
    <row r="15" spans="1:18" x14ac:dyDescent="0.3">
      <c r="C15" s="3" t="s">
        <v>442</v>
      </c>
      <c r="D15" s="8">
        <f>D19+F15</f>
        <v>0.33999999999999997</v>
      </c>
      <c r="E15" s="3"/>
      <c r="F15" s="44">
        <v>0.04</v>
      </c>
      <c r="N15" s="3"/>
      <c r="O15" s="3" t="s">
        <v>419</v>
      </c>
      <c r="P15" s="3"/>
      <c r="Q15" s="3" t="s">
        <v>422</v>
      </c>
      <c r="R15" s="3"/>
    </row>
    <row r="16" spans="1:18" x14ac:dyDescent="0.3">
      <c r="C16" s="3" t="s">
        <v>441</v>
      </c>
      <c r="D16" s="8">
        <f>IF(D17&lt;5000000,0%)</f>
        <v>0</v>
      </c>
      <c r="E16" s="3"/>
      <c r="F16" s="3"/>
      <c r="N16" s="3"/>
      <c r="O16" s="3" t="s">
        <v>423</v>
      </c>
      <c r="P16" s="3"/>
      <c r="Q16" s="3"/>
      <c r="R16" s="3"/>
    </row>
    <row r="17" spans="1:17" x14ac:dyDescent="0.3">
      <c r="C17" s="3" t="s">
        <v>432</v>
      </c>
      <c r="D17" s="3">
        <v>2094000</v>
      </c>
      <c r="E17" s="3" t="s">
        <v>37</v>
      </c>
      <c r="F17" s="3"/>
    </row>
    <row r="18" spans="1:17" x14ac:dyDescent="0.3">
      <c r="C18" s="3" t="s">
        <v>435</v>
      </c>
      <c r="D18" s="3">
        <f>D17-D11-D14</f>
        <v>2032000</v>
      </c>
      <c r="E18" s="3"/>
      <c r="F18" s="3"/>
      <c r="O18" t="s">
        <v>439</v>
      </c>
      <c r="Q18" s="30">
        <v>0.04</v>
      </c>
    </row>
    <row r="19" spans="1:17" x14ac:dyDescent="0.3">
      <c r="C19" s="3" t="s">
        <v>434</v>
      </c>
      <c r="D19" s="8">
        <f>IF(D18&lt;=250000,0%,IF(D18&lt;=500000,5%,IF(D18&lt;=1000000,20%,IF(D18&gt;1000001,30%))))</f>
        <v>0.3</v>
      </c>
      <c r="E19" s="3"/>
      <c r="F19" s="3"/>
    </row>
    <row r="20" spans="1:17" x14ac:dyDescent="0.3">
      <c r="C20" s="3" t="s">
        <v>409</v>
      </c>
      <c r="D20" s="3">
        <f>D18*D15</f>
        <v>690879.99999999988</v>
      </c>
      <c r="E20" s="3"/>
      <c r="F20" s="3"/>
    </row>
    <row r="21" spans="1:17" x14ac:dyDescent="0.3">
      <c r="C21" s="3" t="s">
        <v>436</v>
      </c>
      <c r="D21" s="3"/>
      <c r="E21" s="3">
        <f>D17-D20</f>
        <v>1403120</v>
      </c>
      <c r="F21" s="3"/>
      <c r="M21" s="3"/>
      <c r="N21" s="3" t="s">
        <v>440</v>
      </c>
      <c r="O21" s="3"/>
      <c r="P21" s="3"/>
      <c r="Q21" s="3"/>
    </row>
    <row r="22" spans="1:17" x14ac:dyDescent="0.3">
      <c r="M22" s="3"/>
      <c r="N22" s="3" t="s">
        <v>447</v>
      </c>
      <c r="O22" s="3"/>
      <c r="P22" s="3" t="s">
        <v>448</v>
      </c>
      <c r="Q22" s="3"/>
    </row>
    <row r="23" spans="1:17" x14ac:dyDescent="0.3">
      <c r="M23" s="3"/>
      <c r="N23" s="3">
        <v>300001</v>
      </c>
      <c r="O23" s="3">
        <v>600000</v>
      </c>
      <c r="P23" s="44">
        <v>0.05</v>
      </c>
      <c r="Q23" s="3"/>
    </row>
    <row r="24" spans="1:17" x14ac:dyDescent="0.3">
      <c r="M24" s="3"/>
      <c r="N24" s="3">
        <v>600001</v>
      </c>
      <c r="O24" s="3">
        <v>900000</v>
      </c>
      <c r="P24" s="44">
        <v>0.1</v>
      </c>
      <c r="Q24" s="3"/>
    </row>
    <row r="25" spans="1:17" x14ac:dyDescent="0.3">
      <c r="D25" s="45" t="s">
        <v>443</v>
      </c>
      <c r="E25" s="12"/>
      <c r="M25" s="3"/>
      <c r="N25" s="3">
        <v>900001</v>
      </c>
      <c r="O25" s="3">
        <v>120000</v>
      </c>
      <c r="P25" s="44">
        <v>0.15</v>
      </c>
      <c r="Q25" s="3"/>
    </row>
    <row r="26" spans="1:17" x14ac:dyDescent="0.3">
      <c r="A26" t="s">
        <v>324</v>
      </c>
      <c r="C26" s="37" t="s">
        <v>437</v>
      </c>
      <c r="D26" s="3"/>
      <c r="E26" s="3"/>
      <c r="M26" s="3"/>
      <c r="N26" s="3">
        <v>1200001</v>
      </c>
      <c r="O26" s="3">
        <v>1500000</v>
      </c>
      <c r="P26" s="44">
        <v>0.2</v>
      </c>
      <c r="Q26" s="3"/>
    </row>
    <row r="27" spans="1:17" x14ac:dyDescent="0.3">
      <c r="C27" s="3" t="s">
        <v>424</v>
      </c>
      <c r="D27" s="3">
        <v>1200000</v>
      </c>
      <c r="E27" s="3"/>
      <c r="M27" s="3"/>
      <c r="N27" s="3" t="s">
        <v>449</v>
      </c>
      <c r="O27" s="3"/>
      <c r="P27" s="44">
        <v>0.3</v>
      </c>
      <c r="Q27" s="3"/>
    </row>
    <row r="28" spans="1:17" x14ac:dyDescent="0.3">
      <c r="C28" s="3" t="s">
        <v>425</v>
      </c>
      <c r="D28" s="3">
        <v>400000</v>
      </c>
      <c r="E28" s="3"/>
    </row>
    <row r="29" spans="1:17" x14ac:dyDescent="0.3">
      <c r="C29" s="3" t="s">
        <v>426</v>
      </c>
      <c r="D29" s="3">
        <v>1000000</v>
      </c>
      <c r="E29" s="3"/>
    </row>
    <row r="30" spans="1:17" x14ac:dyDescent="0.3">
      <c r="C30" s="3" t="s">
        <v>427</v>
      </c>
      <c r="D30" s="3">
        <v>4000000</v>
      </c>
      <c r="E30" s="3"/>
    </row>
    <row r="31" spans="1:17" x14ac:dyDescent="0.3">
      <c r="C31" s="3" t="s">
        <v>428</v>
      </c>
      <c r="D31" s="3">
        <v>450000</v>
      </c>
      <c r="E31" s="3"/>
    </row>
    <row r="32" spans="1:17" x14ac:dyDescent="0.3">
      <c r="C32" s="3" t="s">
        <v>429</v>
      </c>
      <c r="D32" s="3">
        <v>100000</v>
      </c>
      <c r="E32" s="3"/>
    </row>
    <row r="33" spans="3:5" x14ac:dyDescent="0.3">
      <c r="C33" s="3"/>
      <c r="D33" s="3"/>
      <c r="E33" s="3"/>
    </row>
    <row r="34" spans="3:5" x14ac:dyDescent="0.3">
      <c r="C34" s="3" t="s">
        <v>444</v>
      </c>
      <c r="D34" s="3">
        <v>89000</v>
      </c>
      <c r="E34" s="3"/>
    </row>
    <row r="35" spans="3:5" x14ac:dyDescent="0.3">
      <c r="C35" s="3"/>
      <c r="D35" s="3"/>
      <c r="E35" s="3"/>
    </row>
    <row r="36" spans="3:5" x14ac:dyDescent="0.3">
      <c r="C36" s="3" t="s">
        <v>445</v>
      </c>
      <c r="D36" s="3">
        <v>50000</v>
      </c>
      <c r="E36" s="3"/>
    </row>
    <row r="37" spans="3:5" x14ac:dyDescent="0.3">
      <c r="C37" s="3"/>
      <c r="D37" s="3"/>
      <c r="E37" s="3"/>
    </row>
    <row r="38" spans="3:5" x14ac:dyDescent="0.3">
      <c r="C38" s="3" t="s">
        <v>431</v>
      </c>
      <c r="D38" s="3">
        <f>SUM(D27:D32)</f>
        <v>7150000</v>
      </c>
      <c r="E38" s="3"/>
    </row>
    <row r="39" spans="3:5" x14ac:dyDescent="0.3">
      <c r="C39" s="3" t="s">
        <v>435</v>
      </c>
      <c r="D39" s="3">
        <f>D38-D34-D36</f>
        <v>7011000</v>
      </c>
      <c r="E39" s="3"/>
    </row>
    <row r="40" spans="3:5" x14ac:dyDescent="0.3">
      <c r="C40" s="3" t="s">
        <v>408</v>
      </c>
      <c r="D40" s="8">
        <f>IF(D39&lt;=1000000,15%,IF(D39&lt;=2000000,30%,IF(D39&lt;=3000000,30%,IF(D39&lt;=4000000,30%,IF(D39&lt;N39=5000000,30%,IF(D39&gt;=6000000,30%,IF(D39&gt;=7000000,30%,0%)))))))</f>
        <v>0.3</v>
      </c>
      <c r="E40" s="3"/>
    </row>
    <row r="41" spans="3:5" x14ac:dyDescent="0.3">
      <c r="C41" s="3" t="s">
        <v>441</v>
      </c>
      <c r="D41" s="8">
        <f>IF(D39&lt;=1000000,10%,IF(D39&lt;=2000000,15%,IF(D39&lt;=50000000,25%,IF(D39&gt;50000000,37%,0%))))</f>
        <v>0.25</v>
      </c>
      <c r="E41" s="3"/>
    </row>
    <row r="42" spans="3:5" x14ac:dyDescent="0.3">
      <c r="C42" s="3" t="s">
        <v>442</v>
      </c>
      <c r="D42" s="8">
        <f>D41+4%</f>
        <v>0.28999999999999998</v>
      </c>
      <c r="E42" s="3"/>
    </row>
    <row r="43" spans="3:5" x14ac:dyDescent="0.3">
      <c r="C43" s="3" t="s">
        <v>446</v>
      </c>
      <c r="D43" s="44">
        <f>D40+D42</f>
        <v>0.59</v>
      </c>
      <c r="E43" s="3"/>
    </row>
    <row r="44" spans="3:5" x14ac:dyDescent="0.3">
      <c r="C44" s="3" t="s">
        <v>409</v>
      </c>
      <c r="D44" s="3">
        <f>D39*D43</f>
        <v>4136490</v>
      </c>
      <c r="E44" s="3"/>
    </row>
    <row r="45" spans="3:5" x14ac:dyDescent="0.3">
      <c r="C45" s="3" t="s">
        <v>436</v>
      </c>
      <c r="D45" s="3"/>
      <c r="E45" s="3">
        <f>D39-D44</f>
        <v>2874510</v>
      </c>
    </row>
    <row r="52" spans="3:10" x14ac:dyDescent="0.3">
      <c r="J52" t="s">
        <v>463</v>
      </c>
    </row>
    <row r="54" spans="3:10" x14ac:dyDescent="0.3">
      <c r="D54" t="s">
        <v>463</v>
      </c>
      <c r="E54" t="s">
        <v>464</v>
      </c>
    </row>
    <row r="55" spans="3:10" x14ac:dyDescent="0.3">
      <c r="C55" t="s">
        <v>465</v>
      </c>
      <c r="D55">
        <f>IF(J52="old",D17,0)</f>
        <v>2094000</v>
      </c>
      <c r="E55">
        <f>IF(J52="new",D38,0)</f>
        <v>0</v>
      </c>
    </row>
    <row r="56" spans="3:10" x14ac:dyDescent="0.3">
      <c r="C56" t="s">
        <v>466</v>
      </c>
      <c r="D56">
        <f>IF(J52="old",D18,0)</f>
        <v>2032000</v>
      </c>
      <c r="E56">
        <f>IF(J52="new",D39,0)</f>
        <v>0</v>
      </c>
    </row>
    <row r="57" spans="3:10" x14ac:dyDescent="0.3">
      <c r="C57" t="s">
        <v>467</v>
      </c>
      <c r="D57" s="30">
        <f>IF(J52="old",D40,0)</f>
        <v>0.3</v>
      </c>
      <c r="E57" s="30">
        <f>IF(J52="new",D19,0)</f>
        <v>0</v>
      </c>
    </row>
    <row r="58" spans="3:10" x14ac:dyDescent="0.3">
      <c r="C58" t="s">
        <v>468</v>
      </c>
      <c r="D58" s="30">
        <f>IF(J52="old",D41,0)</f>
        <v>0.25</v>
      </c>
      <c r="E58" s="30">
        <f>IF(J52="new",D16,0)</f>
        <v>0</v>
      </c>
    </row>
    <row r="59" spans="3:10" x14ac:dyDescent="0.3">
      <c r="C59" t="s">
        <v>469</v>
      </c>
      <c r="D59" s="30">
        <f>IF(J52="old",D15,0)</f>
        <v>0.33999999999999997</v>
      </c>
      <c r="E59" s="30">
        <f>IF(J52="new",D42,0)</f>
        <v>0</v>
      </c>
    </row>
    <row r="60" spans="3:10" x14ac:dyDescent="0.3">
      <c r="C60" t="s">
        <v>470</v>
      </c>
      <c r="D60">
        <f>IF(J52="old",E21,0)</f>
        <v>1403120</v>
      </c>
      <c r="E60">
        <f>IF(J52="new",E45,0)</f>
        <v>0</v>
      </c>
    </row>
  </sheetData>
  <phoneticPr fontId="7" type="noConversion"/>
  <dataValidations count="2">
    <dataValidation type="list" allowBlank="1" showInputMessage="1" showErrorMessage="1" sqref="L46" xr:uid="{591E6A8C-4946-4B4D-A1D8-9B6AFE7C932B}">
      <formula1>#REF!</formula1>
    </dataValidation>
    <dataValidation type="list" allowBlank="1" showInputMessage="1" showErrorMessage="1" sqref="J52" xr:uid="{F07F2E02-B86E-4B87-99BB-99E8A0AE9EC8}">
      <formula1>$D$54:$E$54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FD6E-8549-496D-BE62-F5809BBD17E4}">
  <dimension ref="A1:S380"/>
  <sheetViews>
    <sheetView topLeftCell="A369" workbookViewId="0">
      <selection activeCell="A380" sqref="A380"/>
    </sheetView>
  </sheetViews>
  <sheetFormatPr defaultRowHeight="14.4" x14ac:dyDescent="0.3"/>
  <cols>
    <col min="1" max="1" width="17.44140625" customWidth="1"/>
    <col min="3" max="3" width="10.44140625" bestFit="1" customWidth="1"/>
    <col min="4" max="4" width="10.5546875" bestFit="1" customWidth="1"/>
    <col min="5" max="5" width="14.21875" customWidth="1"/>
    <col min="6" max="6" width="15.21875" customWidth="1"/>
    <col min="10" max="10" width="10.88671875" customWidth="1"/>
  </cols>
  <sheetData>
    <row r="1" spans="1:8" x14ac:dyDescent="0.3">
      <c r="A1" t="s">
        <v>339</v>
      </c>
    </row>
    <row r="2" spans="1:8" x14ac:dyDescent="0.3">
      <c r="A2" s="3"/>
      <c r="B2" s="3"/>
      <c r="C2" s="3"/>
      <c r="D2" s="3"/>
      <c r="E2" s="3"/>
      <c r="F2" s="3"/>
    </row>
    <row r="3" spans="1:8" x14ac:dyDescent="0.3">
      <c r="A3" s="3" t="s">
        <v>340</v>
      </c>
      <c r="B3" s="3" t="s">
        <v>346</v>
      </c>
      <c r="C3" s="3" t="s">
        <v>347</v>
      </c>
      <c r="D3" s="3" t="s">
        <v>348</v>
      </c>
      <c r="E3" s="3" t="s">
        <v>5</v>
      </c>
      <c r="F3" s="3" t="s">
        <v>15</v>
      </c>
    </row>
    <row r="4" spans="1:8" x14ac:dyDescent="0.3">
      <c r="A4" s="3" t="s">
        <v>341</v>
      </c>
      <c r="B4" s="3">
        <v>2000</v>
      </c>
      <c r="C4" s="3">
        <v>1000</v>
      </c>
      <c r="D4" s="3">
        <v>800</v>
      </c>
      <c r="E4" s="3">
        <f>B4+C4+D4</f>
        <v>3800</v>
      </c>
      <c r="F4" s="8">
        <f>E4/$E$9</f>
        <v>8.0811517767900812E-2</v>
      </c>
      <c r="H4" t="s">
        <v>349</v>
      </c>
    </row>
    <row r="5" spans="1:8" x14ac:dyDescent="0.3">
      <c r="A5" s="3" t="s">
        <v>342</v>
      </c>
      <c r="B5" s="3">
        <v>4000</v>
      </c>
      <c r="C5" s="3">
        <v>2000</v>
      </c>
      <c r="D5" s="3">
        <v>1500</v>
      </c>
      <c r="E5" s="3">
        <f t="shared" ref="E5:E8" si="0">B5+C5+D5</f>
        <v>7500</v>
      </c>
      <c r="F5" s="8">
        <f t="shared" ref="F5:F9" si="1">E5/$E$9</f>
        <v>0.15949641664717265</v>
      </c>
    </row>
    <row r="6" spans="1:8" x14ac:dyDescent="0.3">
      <c r="A6" s="3" t="s">
        <v>343</v>
      </c>
      <c r="B6" s="3">
        <v>4123</v>
      </c>
      <c r="C6" s="3">
        <v>800</v>
      </c>
      <c r="D6" s="3">
        <v>800</v>
      </c>
      <c r="E6" s="3">
        <f t="shared" si="0"/>
        <v>5723</v>
      </c>
      <c r="F6" s="8">
        <f t="shared" si="1"/>
        <v>0.12170639899623588</v>
      </c>
    </row>
    <row r="7" spans="1:8" x14ac:dyDescent="0.3">
      <c r="A7" s="3" t="s">
        <v>344</v>
      </c>
      <c r="B7" s="3">
        <v>1000</v>
      </c>
      <c r="C7" s="3">
        <v>500</v>
      </c>
      <c r="D7" s="3">
        <v>500</v>
      </c>
      <c r="E7" s="3">
        <f t="shared" si="0"/>
        <v>2000</v>
      </c>
      <c r="F7" s="8">
        <f t="shared" si="1"/>
        <v>4.2532377772579379E-2</v>
      </c>
    </row>
    <row r="8" spans="1:8" x14ac:dyDescent="0.3">
      <c r="A8" s="3" t="s">
        <v>345</v>
      </c>
      <c r="B8" s="3">
        <v>15000</v>
      </c>
      <c r="C8" s="3">
        <v>8000</v>
      </c>
      <c r="D8" s="3">
        <v>5000</v>
      </c>
      <c r="E8" s="3">
        <f t="shared" si="0"/>
        <v>28000</v>
      </c>
      <c r="F8" s="8">
        <f t="shared" si="1"/>
        <v>0.59545328881611126</v>
      </c>
    </row>
    <row r="9" spans="1:8" x14ac:dyDescent="0.3">
      <c r="A9" s="3" t="s">
        <v>5</v>
      </c>
      <c r="B9" s="3">
        <f>B4+B5+B6+B7+B8</f>
        <v>26123</v>
      </c>
      <c r="C9" s="3">
        <f t="shared" ref="C9:E9" si="2">C4+C5+C6+C7+C8</f>
        <v>12300</v>
      </c>
      <c r="D9" s="3">
        <f t="shared" si="2"/>
        <v>8600</v>
      </c>
      <c r="E9" s="3">
        <f t="shared" si="2"/>
        <v>47023</v>
      </c>
      <c r="F9" s="8">
        <f t="shared" si="1"/>
        <v>1</v>
      </c>
    </row>
    <row r="11" spans="1:8" x14ac:dyDescent="0.3">
      <c r="B11" s="3"/>
      <c r="C11" s="3"/>
      <c r="D11" s="3"/>
      <c r="E11" s="3"/>
      <c r="F11" s="3"/>
    </row>
    <row r="12" spans="1:8" x14ac:dyDescent="0.3">
      <c r="A12" t="s">
        <v>350</v>
      </c>
      <c r="B12" s="3"/>
      <c r="C12" s="3" t="s">
        <v>20</v>
      </c>
      <c r="D12" s="3" t="s">
        <v>352</v>
      </c>
      <c r="E12" s="3" t="s">
        <v>351</v>
      </c>
      <c r="F12" s="3">
        <v>45</v>
      </c>
    </row>
    <row r="13" spans="1:8" x14ac:dyDescent="0.3">
      <c r="A13" t="s">
        <v>353</v>
      </c>
      <c r="B13" s="3"/>
      <c r="C13" s="3">
        <v>24</v>
      </c>
      <c r="D13" s="3">
        <v>27</v>
      </c>
      <c r="E13" s="3">
        <v>54</v>
      </c>
      <c r="F13" s="3">
        <v>12</v>
      </c>
    </row>
    <row r="14" spans="1:8" x14ac:dyDescent="0.3">
      <c r="B14" s="3"/>
      <c r="C14" s="3">
        <f>C13*$B$15+$B$16</f>
        <v>74</v>
      </c>
      <c r="D14" s="3">
        <f t="shared" ref="D14:F14" si="3">D13*$B$15+$B$16</f>
        <v>83</v>
      </c>
      <c r="E14" s="3">
        <f t="shared" si="3"/>
        <v>164</v>
      </c>
      <c r="F14" s="3">
        <f t="shared" si="3"/>
        <v>38</v>
      </c>
    </row>
    <row r="15" spans="1:8" x14ac:dyDescent="0.3">
      <c r="A15" t="s">
        <v>354</v>
      </c>
      <c r="B15" s="3">
        <v>3</v>
      </c>
      <c r="C15" s="3"/>
      <c r="D15" s="3"/>
      <c r="E15" s="3"/>
      <c r="F15" s="3"/>
    </row>
    <row r="16" spans="1:8" x14ac:dyDescent="0.3">
      <c r="B16" s="3">
        <v>2</v>
      </c>
      <c r="C16" s="3"/>
      <c r="D16" s="3"/>
      <c r="E16" s="3"/>
      <c r="F16" s="3"/>
    </row>
    <row r="19" spans="1:10" x14ac:dyDescent="0.3">
      <c r="A19" s="5" t="s">
        <v>52</v>
      </c>
      <c r="B19" s="5" t="s">
        <v>24</v>
      </c>
      <c r="C19" s="5"/>
      <c r="D19" s="5"/>
      <c r="E19" s="5"/>
    </row>
    <row r="20" spans="1:10" x14ac:dyDescent="0.3">
      <c r="B20" s="3"/>
      <c r="C20" s="3"/>
      <c r="D20" s="3"/>
      <c r="E20" s="3"/>
    </row>
    <row r="21" spans="1:10" x14ac:dyDescent="0.3">
      <c r="B21" s="3"/>
      <c r="C21" s="3" t="s">
        <v>25</v>
      </c>
      <c r="D21" s="3" t="s">
        <v>26</v>
      </c>
      <c r="E21" s="3" t="s">
        <v>174</v>
      </c>
      <c r="H21" t="s">
        <v>355</v>
      </c>
      <c r="J21">
        <v>12.5</v>
      </c>
    </row>
    <row r="22" spans="1:10" x14ac:dyDescent="0.3">
      <c r="B22" s="3"/>
      <c r="C22" s="3" t="s">
        <v>28</v>
      </c>
      <c r="D22" s="3">
        <v>25000</v>
      </c>
      <c r="E22" s="3">
        <f>D22*$J$21</f>
        <v>312500</v>
      </c>
    </row>
    <row r="23" spans="1:10" x14ac:dyDescent="0.3">
      <c r="B23" s="3"/>
      <c r="C23" s="3" t="s">
        <v>29</v>
      </c>
      <c r="D23" s="3">
        <v>19000</v>
      </c>
      <c r="E23" s="3">
        <f t="shared" ref="E23:E30" si="4">D23*$J$21</f>
        <v>237500</v>
      </c>
    </row>
    <row r="24" spans="1:10" x14ac:dyDescent="0.3">
      <c r="B24" s="3"/>
      <c r="C24" s="3" t="s">
        <v>30</v>
      </c>
      <c r="D24" s="3">
        <v>27500</v>
      </c>
      <c r="E24" s="3">
        <f t="shared" si="4"/>
        <v>343750</v>
      </c>
    </row>
    <row r="25" spans="1:10" x14ac:dyDescent="0.3">
      <c r="B25" s="3"/>
      <c r="C25" s="3" t="s">
        <v>31</v>
      </c>
      <c r="D25" s="3">
        <v>14000</v>
      </c>
      <c r="E25" s="3">
        <f t="shared" si="4"/>
        <v>175000</v>
      </c>
    </row>
    <row r="26" spans="1:10" x14ac:dyDescent="0.3">
      <c r="B26" s="3"/>
      <c r="C26" s="3" t="s">
        <v>32</v>
      </c>
      <c r="D26" s="3">
        <v>33300</v>
      </c>
      <c r="E26" s="3">
        <f t="shared" si="4"/>
        <v>416250</v>
      </c>
    </row>
    <row r="27" spans="1:10" x14ac:dyDescent="0.3">
      <c r="B27" s="3"/>
      <c r="C27" s="3" t="s">
        <v>33</v>
      </c>
      <c r="D27" s="3">
        <v>41800</v>
      </c>
      <c r="E27" s="3">
        <f t="shared" si="4"/>
        <v>522500</v>
      </c>
    </row>
    <row r="28" spans="1:10" x14ac:dyDescent="0.3">
      <c r="B28" s="3"/>
      <c r="C28" s="3" t="s">
        <v>34</v>
      </c>
      <c r="D28" s="3">
        <v>17300</v>
      </c>
      <c r="E28" s="3">
        <f t="shared" si="4"/>
        <v>216250</v>
      </c>
    </row>
    <row r="29" spans="1:10" x14ac:dyDescent="0.3">
      <c r="B29" s="3"/>
      <c r="C29" s="3" t="s">
        <v>35</v>
      </c>
      <c r="D29" s="3">
        <v>23800</v>
      </c>
      <c r="E29" s="3">
        <f t="shared" si="4"/>
        <v>297500</v>
      </c>
    </row>
    <row r="30" spans="1:10" x14ac:dyDescent="0.3">
      <c r="B30" s="3"/>
      <c r="C30" s="3" t="s">
        <v>36</v>
      </c>
      <c r="D30" s="3">
        <f>D22+D23+D24+D25+D26+D27+D28+D29</f>
        <v>201700</v>
      </c>
      <c r="E30" s="3">
        <f t="shared" si="4"/>
        <v>2521250</v>
      </c>
    </row>
    <row r="34" spans="1:9" x14ac:dyDescent="0.3">
      <c r="A34" s="2" t="s">
        <v>54</v>
      </c>
    </row>
    <row r="35" spans="1:9" x14ac:dyDescent="0.3">
      <c r="A35" s="5" t="s">
        <v>38</v>
      </c>
    </row>
    <row r="38" spans="1:9" x14ac:dyDescent="0.3">
      <c r="A38" s="3" t="s">
        <v>39</v>
      </c>
      <c r="B38" s="3"/>
      <c r="C38" s="3" t="s">
        <v>40</v>
      </c>
      <c r="D38" s="3" t="s">
        <v>356</v>
      </c>
      <c r="E38" s="3" t="s">
        <v>357</v>
      </c>
    </row>
    <row r="39" spans="1:9" x14ac:dyDescent="0.3">
      <c r="A39" s="3" t="s">
        <v>41</v>
      </c>
      <c r="B39" s="3"/>
      <c r="C39" s="3">
        <v>500</v>
      </c>
      <c r="D39" s="34">
        <f>'# Practise sheet'!C39*'# Practise sheet'!H39</f>
        <v>475</v>
      </c>
      <c r="E39" s="35">
        <f>C39*$H$40</f>
        <v>15075</v>
      </c>
      <c r="G39" s="3" t="s">
        <v>49</v>
      </c>
      <c r="H39" s="3">
        <f>0.95</f>
        <v>0.95</v>
      </c>
      <c r="I39" s="3"/>
    </row>
    <row r="40" spans="1:9" x14ac:dyDescent="0.3">
      <c r="A40" s="3" t="s">
        <v>42</v>
      </c>
      <c r="B40" s="3"/>
      <c r="C40" s="3">
        <v>500</v>
      </c>
      <c r="D40" s="36">
        <f t="shared" ref="D40:D46" si="5">C40*$H$39</f>
        <v>475</v>
      </c>
      <c r="E40" s="35">
        <f t="shared" ref="E40:E46" si="6">C40*$H$40</f>
        <v>15075</v>
      </c>
      <c r="G40" s="3" t="s">
        <v>50</v>
      </c>
      <c r="H40" s="3">
        <f xml:space="preserve"> 30.15</f>
        <v>30.15</v>
      </c>
      <c r="I40" s="3"/>
    </row>
    <row r="41" spans="1:9" x14ac:dyDescent="0.3">
      <c r="A41" s="3" t="s">
        <v>43</v>
      </c>
      <c r="B41" s="3"/>
      <c r="C41" s="3">
        <v>150</v>
      </c>
      <c r="D41" s="36">
        <f t="shared" si="5"/>
        <v>142.5</v>
      </c>
      <c r="E41" s="35">
        <f t="shared" si="6"/>
        <v>4522.5</v>
      </c>
      <c r="G41" s="3"/>
      <c r="H41" s="3"/>
      <c r="I41" s="3"/>
    </row>
    <row r="42" spans="1:9" x14ac:dyDescent="0.3">
      <c r="A42" s="3" t="s">
        <v>44</v>
      </c>
      <c r="B42" s="3"/>
      <c r="C42" s="3">
        <v>150</v>
      </c>
      <c r="D42" s="36">
        <f t="shared" si="5"/>
        <v>142.5</v>
      </c>
      <c r="E42" s="35">
        <f t="shared" si="6"/>
        <v>4522.5</v>
      </c>
    </row>
    <row r="43" spans="1:9" x14ac:dyDescent="0.3">
      <c r="A43" s="3" t="s">
        <v>45</v>
      </c>
      <c r="B43" s="3"/>
      <c r="C43" s="3">
        <v>200</v>
      </c>
      <c r="D43" s="36">
        <f t="shared" si="5"/>
        <v>190</v>
      </c>
      <c r="E43" s="35">
        <f t="shared" si="6"/>
        <v>6030</v>
      </c>
    </row>
    <row r="44" spans="1:9" x14ac:dyDescent="0.3">
      <c r="A44" s="3" t="s">
        <v>46</v>
      </c>
      <c r="B44" s="3"/>
      <c r="C44" s="3">
        <v>300</v>
      </c>
      <c r="D44" s="36">
        <f t="shared" si="5"/>
        <v>285</v>
      </c>
      <c r="E44" s="35">
        <f t="shared" si="6"/>
        <v>9045</v>
      </c>
    </row>
    <row r="45" spans="1:9" x14ac:dyDescent="0.3">
      <c r="A45" s="3" t="s">
        <v>47</v>
      </c>
      <c r="B45" s="3"/>
      <c r="C45" s="3">
        <v>300</v>
      </c>
      <c r="D45" s="36">
        <f t="shared" si="5"/>
        <v>285</v>
      </c>
      <c r="E45" s="35">
        <f t="shared" si="6"/>
        <v>9045</v>
      </c>
    </row>
    <row r="46" spans="1:9" x14ac:dyDescent="0.3">
      <c r="A46" s="3" t="s">
        <v>48</v>
      </c>
      <c r="B46" s="3"/>
      <c r="C46" s="3">
        <f>C39+C40+C41+C42+C43+C44+C45</f>
        <v>2100</v>
      </c>
      <c r="D46" s="36">
        <f t="shared" si="5"/>
        <v>1995</v>
      </c>
      <c r="E46" s="35">
        <f t="shared" si="6"/>
        <v>63315</v>
      </c>
    </row>
    <row r="50" spans="1:19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3">
      <c r="A51" s="3" t="s">
        <v>57</v>
      </c>
      <c r="B51" s="3"/>
      <c r="C51" s="37" t="s">
        <v>57</v>
      </c>
      <c r="D51" s="3" t="s">
        <v>358</v>
      </c>
      <c r="E51" s="37" t="s">
        <v>57</v>
      </c>
      <c r="F51" s="3"/>
      <c r="G51" s="3"/>
      <c r="H51" s="37" t="s">
        <v>57</v>
      </c>
      <c r="I51" s="3"/>
      <c r="J51" s="3">
        <v>1</v>
      </c>
      <c r="K51" s="3"/>
      <c r="L51" s="3">
        <v>1</v>
      </c>
      <c r="M51" s="3"/>
      <c r="N51" s="3" t="s">
        <v>83</v>
      </c>
      <c r="O51" s="3"/>
      <c r="P51" s="3" t="s">
        <v>309</v>
      </c>
      <c r="Q51" s="3"/>
      <c r="R51" s="3"/>
      <c r="S51" s="3"/>
    </row>
    <row r="52" spans="1:19" x14ac:dyDescent="0.3">
      <c r="A52" s="3" t="s">
        <v>58</v>
      </c>
      <c r="B52" s="3"/>
      <c r="C52" s="3" t="s">
        <v>58</v>
      </c>
      <c r="D52" s="3"/>
      <c r="E52" s="37" t="s">
        <v>58</v>
      </c>
      <c r="F52" s="3"/>
      <c r="G52" s="3"/>
      <c r="H52" s="3"/>
      <c r="I52" s="3"/>
      <c r="J52" s="3">
        <v>1</v>
      </c>
      <c r="K52" s="3"/>
      <c r="L52" s="3">
        <v>2</v>
      </c>
      <c r="M52" s="3"/>
      <c r="N52" s="3" t="s">
        <v>359</v>
      </c>
      <c r="O52" s="3"/>
      <c r="P52" s="3" t="s">
        <v>363</v>
      </c>
      <c r="Q52" s="3"/>
      <c r="R52" s="3"/>
      <c r="S52" s="3"/>
    </row>
    <row r="53" spans="1:19" x14ac:dyDescent="0.3">
      <c r="A53" s="3" t="s">
        <v>59</v>
      </c>
      <c r="B53" s="3"/>
      <c r="C53" s="3" t="s">
        <v>59</v>
      </c>
      <c r="D53" s="3"/>
      <c r="E53" s="37" t="s">
        <v>59</v>
      </c>
      <c r="F53" s="3"/>
      <c r="G53" s="3"/>
      <c r="H53" s="3"/>
      <c r="I53" s="3"/>
      <c r="J53" s="3">
        <v>1</v>
      </c>
      <c r="K53" s="3"/>
      <c r="L53" s="3">
        <v>3</v>
      </c>
      <c r="M53" s="3"/>
      <c r="N53" s="3" t="s">
        <v>360</v>
      </c>
      <c r="O53" s="3"/>
      <c r="P53" s="3" t="s">
        <v>364</v>
      </c>
      <c r="Q53" s="3"/>
      <c r="R53" s="3"/>
      <c r="S53" s="3"/>
    </row>
    <row r="54" spans="1:19" x14ac:dyDescent="0.3">
      <c r="A54" s="3" t="s">
        <v>60</v>
      </c>
      <c r="B54" s="3"/>
      <c r="C54" s="3" t="s">
        <v>60</v>
      </c>
      <c r="D54" s="3"/>
      <c r="E54" s="37" t="s">
        <v>60</v>
      </c>
      <c r="F54" s="3"/>
      <c r="G54" s="3"/>
      <c r="H54" s="3"/>
      <c r="I54" s="3"/>
      <c r="J54" s="3">
        <v>1</v>
      </c>
      <c r="K54" s="3"/>
      <c r="L54" s="3">
        <v>4</v>
      </c>
      <c r="M54" s="3"/>
      <c r="N54" s="3" t="s">
        <v>361</v>
      </c>
      <c r="O54" s="3"/>
      <c r="P54" s="3" t="s">
        <v>365</v>
      </c>
      <c r="Q54" s="3"/>
      <c r="R54" s="3"/>
      <c r="S54" s="3"/>
    </row>
    <row r="55" spans="1:19" x14ac:dyDescent="0.3">
      <c r="A55" s="3" t="s">
        <v>61</v>
      </c>
      <c r="B55" s="3"/>
      <c r="C55" s="3" t="s">
        <v>61</v>
      </c>
      <c r="D55" s="3"/>
      <c r="E55" s="37" t="s">
        <v>61</v>
      </c>
      <c r="F55" s="3"/>
      <c r="G55" s="3"/>
      <c r="H55" s="3"/>
      <c r="I55" s="3"/>
      <c r="J55" s="3">
        <v>1</v>
      </c>
      <c r="K55" s="3"/>
      <c r="L55" s="3">
        <v>5</v>
      </c>
      <c r="M55" s="3"/>
      <c r="N55" s="3" t="s">
        <v>275</v>
      </c>
      <c r="O55" s="3"/>
      <c r="P55" s="3" t="s">
        <v>366</v>
      </c>
      <c r="Q55" s="3"/>
      <c r="R55" s="3"/>
      <c r="S55" s="3"/>
    </row>
    <row r="56" spans="1:19" x14ac:dyDescent="0.3">
      <c r="A56" s="3" t="s">
        <v>62</v>
      </c>
      <c r="B56" s="3"/>
      <c r="C56" s="3" t="s">
        <v>62</v>
      </c>
      <c r="D56" s="3"/>
      <c r="E56" s="37" t="s">
        <v>62</v>
      </c>
      <c r="F56" s="3"/>
      <c r="G56" s="3"/>
      <c r="H56" s="3"/>
      <c r="I56" s="3"/>
      <c r="J56" s="3">
        <v>1</v>
      </c>
      <c r="K56" s="3"/>
      <c r="L56" s="3">
        <v>6</v>
      </c>
      <c r="M56" s="3"/>
      <c r="N56" s="3" t="s">
        <v>360</v>
      </c>
      <c r="O56" s="3"/>
      <c r="P56" s="3" t="s">
        <v>367</v>
      </c>
      <c r="Q56" s="3"/>
      <c r="R56" s="3"/>
      <c r="S56" s="3"/>
    </row>
    <row r="57" spans="1:19" x14ac:dyDescent="0.3">
      <c r="A57" s="3" t="s">
        <v>63</v>
      </c>
      <c r="B57" s="3"/>
      <c r="C57" s="3" t="s">
        <v>63</v>
      </c>
      <c r="D57" s="3"/>
      <c r="E57" s="37" t="s">
        <v>63</v>
      </c>
      <c r="F57" s="3"/>
      <c r="G57" s="3"/>
      <c r="H57" s="3"/>
      <c r="I57" s="3"/>
      <c r="J57" s="3">
        <v>1</v>
      </c>
      <c r="K57" s="3"/>
      <c r="L57" s="3">
        <v>7</v>
      </c>
      <c r="M57" s="3"/>
      <c r="N57" s="3" t="s">
        <v>362</v>
      </c>
      <c r="O57" s="3"/>
      <c r="P57" s="3" t="s">
        <v>368</v>
      </c>
      <c r="Q57" s="3"/>
      <c r="R57" s="3"/>
      <c r="S57" s="3"/>
    </row>
    <row r="58" spans="1:19" x14ac:dyDescent="0.3">
      <c r="A58" s="3" t="s">
        <v>57</v>
      </c>
      <c r="B58" s="3"/>
      <c r="C58" s="3"/>
      <c r="D58" s="3"/>
      <c r="E58" s="3"/>
      <c r="F58" s="3"/>
      <c r="G58" s="3"/>
      <c r="H58" s="3"/>
      <c r="I58" s="3"/>
      <c r="J58" s="3">
        <v>1</v>
      </c>
      <c r="K58" s="3"/>
      <c r="L58" s="3">
        <v>8</v>
      </c>
      <c r="M58" s="3"/>
      <c r="N58" s="3" t="s">
        <v>83</v>
      </c>
      <c r="O58" s="3"/>
      <c r="P58" s="3" t="s">
        <v>309</v>
      </c>
      <c r="Q58" s="3"/>
      <c r="R58" s="3"/>
      <c r="S58" s="3"/>
    </row>
    <row r="59" spans="1:19" x14ac:dyDescent="0.3">
      <c r="A59" s="3"/>
      <c r="B59" s="3"/>
      <c r="C59" s="3"/>
      <c r="D59" s="3"/>
      <c r="E59" s="3"/>
      <c r="F59" s="3"/>
      <c r="G59" s="3"/>
      <c r="H59" s="3"/>
      <c r="I59" s="3"/>
      <c r="J59" s="3">
        <v>1</v>
      </c>
      <c r="K59" s="3"/>
      <c r="L59" s="3">
        <v>9</v>
      </c>
      <c r="M59" s="3"/>
      <c r="N59" s="3" t="s">
        <v>359</v>
      </c>
      <c r="O59" s="3"/>
      <c r="P59" s="3"/>
      <c r="Q59" s="3"/>
      <c r="R59" s="3"/>
      <c r="S59" s="3"/>
    </row>
    <row r="60" spans="1:19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>
        <v>10</v>
      </c>
      <c r="M60" s="3"/>
      <c r="N60" s="3" t="s">
        <v>360</v>
      </c>
      <c r="O60" s="3"/>
      <c r="P60" s="3"/>
      <c r="Q60" s="3"/>
      <c r="R60" s="3"/>
      <c r="S60" s="3"/>
    </row>
    <row r="63" spans="1:19" x14ac:dyDescent="0.3">
      <c r="A63" t="s">
        <v>369</v>
      </c>
    </row>
    <row r="64" spans="1:19" x14ac:dyDescent="0.3">
      <c r="B64" t="s">
        <v>370</v>
      </c>
      <c r="C64" t="s">
        <v>371</v>
      </c>
      <c r="D64" t="s">
        <v>372</v>
      </c>
      <c r="E64" t="s">
        <v>373</v>
      </c>
      <c r="F64" t="s">
        <v>374</v>
      </c>
      <c r="G64" t="s">
        <v>375</v>
      </c>
    </row>
    <row r="65" spans="1:10" x14ac:dyDescent="0.3">
      <c r="B65">
        <v>12</v>
      </c>
      <c r="C65">
        <v>85</v>
      </c>
      <c r="D65">
        <v>0</v>
      </c>
      <c r="E65">
        <v>1</v>
      </c>
      <c r="F65">
        <v>1</v>
      </c>
      <c r="G65">
        <v>1</v>
      </c>
      <c r="J65" t="s">
        <v>376</v>
      </c>
    </row>
    <row r="66" spans="1:10" x14ac:dyDescent="0.3">
      <c r="B66">
        <v>45</v>
      </c>
      <c r="C66">
        <v>45</v>
      </c>
      <c r="D66">
        <v>4</v>
      </c>
      <c r="E66">
        <v>5</v>
      </c>
      <c r="F66">
        <v>5</v>
      </c>
      <c r="G66">
        <v>5</v>
      </c>
      <c r="J66" t="s">
        <v>377</v>
      </c>
    </row>
    <row r="67" spans="1:10" x14ac:dyDescent="0.3">
      <c r="B67">
        <v>78</v>
      </c>
      <c r="C67">
        <v>12</v>
      </c>
      <c r="D67">
        <v>56</v>
      </c>
      <c r="J67" t="s">
        <v>378</v>
      </c>
    </row>
    <row r="68" spans="1:10" x14ac:dyDescent="0.3">
      <c r="B68">
        <v>56</v>
      </c>
      <c r="C68">
        <v>98</v>
      </c>
      <c r="D68">
        <v>89</v>
      </c>
      <c r="E68" t="s">
        <v>159</v>
      </c>
      <c r="F68" t="s">
        <v>159</v>
      </c>
      <c r="G68" t="s">
        <v>159</v>
      </c>
    </row>
    <row r="69" spans="1:10" x14ac:dyDescent="0.3">
      <c r="B69">
        <f>SUM(B65:B68)</f>
        <v>191</v>
      </c>
      <c r="C69">
        <f>MAX(C65:C68)</f>
        <v>98</v>
      </c>
      <c r="D69">
        <f>MIN(D65:D68)</f>
        <v>0</v>
      </c>
      <c r="E69">
        <f>COUNT(E65:E68)</f>
        <v>2</v>
      </c>
      <c r="F69">
        <f>COUNTA(F65:F68)</f>
        <v>3</v>
      </c>
      <c r="G69">
        <f>COUNTBLANK(G65:G68)</f>
        <v>1</v>
      </c>
    </row>
    <row r="73" spans="1:10" x14ac:dyDescent="0.3">
      <c r="A73" s="2" t="s">
        <v>101</v>
      </c>
      <c r="B73" s="2"/>
      <c r="C73" s="2"/>
      <c r="D73" s="2"/>
      <c r="E73" s="2"/>
      <c r="F73" s="2"/>
    </row>
    <row r="74" spans="1:10" x14ac:dyDescent="0.3">
      <c r="A74" s="2" t="s">
        <v>102</v>
      </c>
      <c r="B74" s="2"/>
      <c r="C74" s="2"/>
      <c r="D74" s="2"/>
      <c r="E74" s="2"/>
    </row>
    <row r="75" spans="1:10" x14ac:dyDescent="0.3">
      <c r="A75" s="9" t="s">
        <v>103</v>
      </c>
      <c r="B75" s="9" t="s">
        <v>113</v>
      </c>
      <c r="C75" s="9" t="s">
        <v>114</v>
      </c>
      <c r="D75" s="3" t="s">
        <v>115</v>
      </c>
    </row>
    <row r="76" spans="1:10" x14ac:dyDescent="0.3">
      <c r="A76" s="3" t="s">
        <v>104</v>
      </c>
      <c r="B76" s="13">
        <v>45309</v>
      </c>
      <c r="C76" s="3">
        <v>152</v>
      </c>
      <c r="D76" s="3"/>
    </row>
    <row r="77" spans="1:10" x14ac:dyDescent="0.3">
      <c r="A77" s="3" t="s">
        <v>105</v>
      </c>
      <c r="B77" s="13">
        <v>45309</v>
      </c>
      <c r="C77" s="3">
        <v>171</v>
      </c>
      <c r="D77" s="3"/>
    </row>
    <row r="78" spans="1:10" x14ac:dyDescent="0.3">
      <c r="A78" s="3" t="s">
        <v>106</v>
      </c>
      <c r="B78" s="13">
        <v>45309</v>
      </c>
      <c r="C78" s="3">
        <v>110</v>
      </c>
      <c r="D78" s="3"/>
    </row>
    <row r="79" spans="1:10" x14ac:dyDescent="0.3">
      <c r="A79" s="3" t="s">
        <v>107</v>
      </c>
      <c r="B79" s="13">
        <v>45340</v>
      </c>
      <c r="C79" s="3">
        <v>173</v>
      </c>
      <c r="D79" s="3"/>
    </row>
    <row r="80" spans="1:10" x14ac:dyDescent="0.3">
      <c r="A80" s="3" t="s">
        <v>108</v>
      </c>
      <c r="B80" s="13">
        <v>45340</v>
      </c>
      <c r="C80" s="3">
        <v>128</v>
      </c>
      <c r="D80" s="3"/>
    </row>
    <row r="81" spans="1:7" x14ac:dyDescent="0.3">
      <c r="A81" s="3" t="s">
        <v>109</v>
      </c>
      <c r="B81" s="13">
        <v>45340</v>
      </c>
      <c r="C81" s="3">
        <v>107</v>
      </c>
      <c r="D81" s="3"/>
    </row>
    <row r="82" spans="1:7" x14ac:dyDescent="0.3">
      <c r="A82" s="3" t="s">
        <v>110</v>
      </c>
      <c r="B82" s="13">
        <v>45369</v>
      </c>
      <c r="C82" s="3">
        <v>213</v>
      </c>
      <c r="D82" s="3"/>
    </row>
    <row r="83" spans="1:7" x14ac:dyDescent="0.3">
      <c r="A83" s="3" t="s">
        <v>111</v>
      </c>
      <c r="B83" s="13">
        <v>45369</v>
      </c>
      <c r="C83" s="3">
        <v>238</v>
      </c>
      <c r="D83" s="3"/>
    </row>
    <row r="84" spans="1:7" x14ac:dyDescent="0.3">
      <c r="A84" s="3" t="s">
        <v>112</v>
      </c>
      <c r="B84" s="13">
        <v>45369</v>
      </c>
      <c r="C84" s="3">
        <v>131</v>
      </c>
      <c r="D84" s="3"/>
    </row>
    <row r="86" spans="1:7" x14ac:dyDescent="0.3">
      <c r="A86" s="2"/>
      <c r="B86" s="2"/>
      <c r="C86" s="2"/>
      <c r="D86" s="2"/>
      <c r="E86" s="2"/>
    </row>
    <row r="87" spans="1:7" x14ac:dyDescent="0.3">
      <c r="A87" s="2" t="s">
        <v>116</v>
      </c>
      <c r="B87" s="2"/>
      <c r="C87" s="2"/>
      <c r="D87" s="2"/>
      <c r="E87" s="2"/>
    </row>
    <row r="89" spans="1:7" x14ac:dyDescent="0.3">
      <c r="C89" t="s">
        <v>379</v>
      </c>
      <c r="D89">
        <f>AVERAGE(C76:C84)</f>
        <v>158.11111111111111</v>
      </c>
    </row>
    <row r="91" spans="1:7" x14ac:dyDescent="0.3">
      <c r="F91">
        <v>35</v>
      </c>
      <c r="G91">
        <v>25</v>
      </c>
    </row>
    <row r="93" spans="1:7" x14ac:dyDescent="0.3">
      <c r="A93" s="2" t="s">
        <v>119</v>
      </c>
    </row>
    <row r="94" spans="1:7" x14ac:dyDescent="0.3">
      <c r="B94" t="s">
        <v>120</v>
      </c>
      <c r="C94" t="b">
        <f>F91=G91</f>
        <v>0</v>
      </c>
    </row>
    <row r="95" spans="1:7" x14ac:dyDescent="0.3">
      <c r="B95" t="s">
        <v>121</v>
      </c>
      <c r="C95" t="b">
        <f>F91&gt;G91</f>
        <v>1</v>
      </c>
    </row>
    <row r="96" spans="1:7" x14ac:dyDescent="0.3">
      <c r="B96" t="s">
        <v>122</v>
      </c>
      <c r="C96" t="b">
        <f>F91&lt;G91</f>
        <v>0</v>
      </c>
    </row>
    <row r="97" spans="1:7" x14ac:dyDescent="0.3">
      <c r="B97" t="s">
        <v>123</v>
      </c>
      <c r="C97" t="b">
        <f>F91&gt;=G91</f>
        <v>1</v>
      </c>
    </row>
    <row r="98" spans="1:7" x14ac:dyDescent="0.3">
      <c r="B98" t="s">
        <v>124</v>
      </c>
      <c r="C98" t="b">
        <f>F91&lt;=G91</f>
        <v>0</v>
      </c>
    </row>
    <row r="99" spans="1:7" x14ac:dyDescent="0.3">
      <c r="B99" t="s">
        <v>125</v>
      </c>
      <c r="C99" t="b">
        <f>F91&lt;&gt;G91</f>
        <v>1</v>
      </c>
    </row>
    <row r="103" spans="1:7" x14ac:dyDescent="0.3">
      <c r="A103" t="s">
        <v>244</v>
      </c>
      <c r="F103">
        <v>25</v>
      </c>
      <c r="G103">
        <v>45</v>
      </c>
    </row>
    <row r="104" spans="1:7" x14ac:dyDescent="0.3">
      <c r="A104" s="2" t="s">
        <v>127</v>
      </c>
      <c r="B104" t="b">
        <f>F103=G103</f>
        <v>0</v>
      </c>
    </row>
    <row r="105" spans="1:7" x14ac:dyDescent="0.3">
      <c r="A105" s="2" t="s">
        <v>128</v>
      </c>
      <c r="B105" t="str">
        <f>IF(F103=G103,"yes","no")</f>
        <v>no</v>
      </c>
    </row>
    <row r="106" spans="1:7" x14ac:dyDescent="0.3">
      <c r="A106" s="14" t="s">
        <v>129</v>
      </c>
      <c r="B106">
        <f>IF(F103=G103,1,0)</f>
        <v>0</v>
      </c>
    </row>
    <row r="107" spans="1:7" x14ac:dyDescent="0.3">
      <c r="A107" t="s">
        <v>130</v>
      </c>
      <c r="B107" t="str">
        <f>IF(F103=G103,"pass","fail")</f>
        <v>fail</v>
      </c>
    </row>
    <row r="110" spans="1:7" x14ac:dyDescent="0.3">
      <c r="A110" s="3"/>
      <c r="B110" s="3"/>
      <c r="C110" s="3"/>
      <c r="D110" s="3"/>
      <c r="E110" s="3"/>
      <c r="F110" s="3"/>
      <c r="G110" s="3"/>
    </row>
    <row r="111" spans="1:7" x14ac:dyDescent="0.3">
      <c r="A111" s="3">
        <v>1</v>
      </c>
      <c r="B111" s="3" t="s">
        <v>131</v>
      </c>
      <c r="C111" s="3" t="s">
        <v>141</v>
      </c>
      <c r="D111" s="3" t="s">
        <v>5</v>
      </c>
      <c r="E111" s="3" t="s">
        <v>145</v>
      </c>
      <c r="F111" s="3"/>
      <c r="G111" s="3" t="s">
        <v>147</v>
      </c>
    </row>
    <row r="112" spans="1:7" x14ac:dyDescent="0.3">
      <c r="A112" s="3">
        <v>2</v>
      </c>
      <c r="B112" s="3" t="s">
        <v>140</v>
      </c>
      <c r="C112" s="3" t="s">
        <v>142</v>
      </c>
      <c r="D112" s="3">
        <v>318</v>
      </c>
      <c r="E112" s="3" t="str">
        <f>IF(D112&gt;500,"yes","no")</f>
        <v>no</v>
      </c>
      <c r="F112" s="3"/>
      <c r="G112" s="3" t="str">
        <f>IF(C112=D112,"true","false")</f>
        <v>false</v>
      </c>
    </row>
    <row r="113" spans="1:7" x14ac:dyDescent="0.3">
      <c r="A113" s="3">
        <v>3</v>
      </c>
      <c r="B113" s="3" t="s">
        <v>132</v>
      </c>
      <c r="C113" s="3" t="s">
        <v>142</v>
      </c>
      <c r="D113" s="3">
        <v>405</v>
      </c>
      <c r="E113" s="3" t="str">
        <f t="shared" ref="E113:E120" si="7">IF(D113&gt;500,"yes","no")</f>
        <v>no</v>
      </c>
      <c r="F113" s="3"/>
      <c r="G113" s="3" t="str">
        <f t="shared" ref="G113:G119" si="8">IF(C113=D113,"true","false")</f>
        <v>false</v>
      </c>
    </row>
    <row r="114" spans="1:7" x14ac:dyDescent="0.3">
      <c r="A114" s="3">
        <v>4</v>
      </c>
      <c r="B114" s="3" t="s">
        <v>139</v>
      </c>
      <c r="C114" s="3" t="s">
        <v>142</v>
      </c>
      <c r="D114" s="3">
        <v>525</v>
      </c>
      <c r="E114" s="3" t="str">
        <f t="shared" si="7"/>
        <v>yes</v>
      </c>
      <c r="F114" s="3"/>
      <c r="G114" s="3" t="str">
        <f t="shared" si="8"/>
        <v>false</v>
      </c>
    </row>
    <row r="115" spans="1:7" x14ac:dyDescent="0.3">
      <c r="A115" s="3">
        <v>5</v>
      </c>
      <c r="B115" s="3" t="s">
        <v>133</v>
      </c>
      <c r="C115" s="3" t="s">
        <v>143</v>
      </c>
      <c r="D115" s="3">
        <v>309</v>
      </c>
      <c r="E115" s="3" t="str">
        <f t="shared" si="7"/>
        <v>no</v>
      </c>
      <c r="F115" s="3"/>
      <c r="G115" s="3" t="str">
        <f t="shared" si="8"/>
        <v>false</v>
      </c>
    </row>
    <row r="116" spans="1:7" x14ac:dyDescent="0.3">
      <c r="A116" s="3">
        <v>6</v>
      </c>
      <c r="B116" s="3" t="s">
        <v>134</v>
      </c>
      <c r="C116" s="3" t="s">
        <v>143</v>
      </c>
      <c r="D116" s="3">
        <v>405</v>
      </c>
      <c r="E116" s="3" t="str">
        <f t="shared" si="7"/>
        <v>no</v>
      </c>
      <c r="F116" s="3"/>
      <c r="G116" s="3" t="str">
        <f t="shared" si="8"/>
        <v>false</v>
      </c>
    </row>
    <row r="117" spans="1:7" x14ac:dyDescent="0.3">
      <c r="A117" s="3">
        <v>7</v>
      </c>
      <c r="B117" s="3" t="s">
        <v>135</v>
      </c>
      <c r="C117" s="3" t="s">
        <v>143</v>
      </c>
      <c r="D117" s="3">
        <v>534</v>
      </c>
      <c r="E117" s="3" t="str">
        <f t="shared" si="7"/>
        <v>yes</v>
      </c>
      <c r="F117" s="3"/>
      <c r="G117" s="3" t="str">
        <f t="shared" si="8"/>
        <v>false</v>
      </c>
    </row>
    <row r="118" spans="1:7" x14ac:dyDescent="0.3">
      <c r="A118" s="3">
        <v>8</v>
      </c>
      <c r="B118" s="3" t="s">
        <v>136</v>
      </c>
      <c r="C118" s="3" t="s">
        <v>144</v>
      </c>
      <c r="D118" s="3">
        <v>314</v>
      </c>
      <c r="E118" s="3" t="str">
        <f t="shared" si="7"/>
        <v>no</v>
      </c>
      <c r="F118" s="3"/>
      <c r="G118" s="3" t="str">
        <f t="shared" si="8"/>
        <v>false</v>
      </c>
    </row>
    <row r="119" spans="1:7" x14ac:dyDescent="0.3">
      <c r="A119" s="3">
        <v>9</v>
      </c>
      <c r="B119" s="3" t="s">
        <v>137</v>
      </c>
      <c r="C119" s="3" t="s">
        <v>144</v>
      </c>
      <c r="D119" s="3">
        <v>405</v>
      </c>
      <c r="E119" s="3" t="str">
        <f t="shared" si="7"/>
        <v>no</v>
      </c>
      <c r="F119" s="3"/>
      <c r="G119" s="3" t="str">
        <f t="shared" si="8"/>
        <v>false</v>
      </c>
    </row>
    <row r="120" spans="1:7" x14ac:dyDescent="0.3">
      <c r="A120" s="3">
        <v>10</v>
      </c>
      <c r="B120" s="3" t="s">
        <v>138</v>
      </c>
      <c r="C120" s="3" t="s">
        <v>144</v>
      </c>
      <c r="D120" s="3">
        <v>530</v>
      </c>
      <c r="E120" s="3" t="str">
        <f t="shared" si="7"/>
        <v>yes</v>
      </c>
      <c r="F120" s="3"/>
      <c r="G120" s="3" t="str">
        <f>IF(C120=D120,"true","false")</f>
        <v>false</v>
      </c>
    </row>
    <row r="125" spans="1:7" x14ac:dyDescent="0.3">
      <c r="A125" s="2" t="s">
        <v>146</v>
      </c>
      <c r="D125" t="s">
        <v>148</v>
      </c>
    </row>
    <row r="126" spans="1:7" x14ac:dyDescent="0.3">
      <c r="D126">
        <v>25</v>
      </c>
      <c r="E126">
        <v>35</v>
      </c>
    </row>
    <row r="127" spans="1:7" x14ac:dyDescent="0.3">
      <c r="D127" t="str">
        <f>IF(D126+E126&gt;(50)*10%,"TRUE","FALSE")</f>
        <v>TRUE</v>
      </c>
    </row>
    <row r="129" spans="2:13" x14ac:dyDescent="0.3">
      <c r="B129" t="s">
        <v>149</v>
      </c>
      <c r="C129" t="s">
        <v>150</v>
      </c>
    </row>
    <row r="130" spans="2:13" x14ac:dyDescent="0.3">
      <c r="C130" t="s">
        <v>151</v>
      </c>
    </row>
    <row r="131" spans="2:13" x14ac:dyDescent="0.3">
      <c r="C131" t="s">
        <v>152</v>
      </c>
    </row>
    <row r="132" spans="2:13" x14ac:dyDescent="0.3">
      <c r="C132" t="s">
        <v>153</v>
      </c>
      <c r="M132">
        <v>75</v>
      </c>
    </row>
    <row r="133" spans="2:13" x14ac:dyDescent="0.3">
      <c r="E133" t="s">
        <v>165</v>
      </c>
    </row>
    <row r="135" spans="2:13" x14ac:dyDescent="0.3">
      <c r="B135" s="9" t="s">
        <v>154</v>
      </c>
      <c r="C135" s="3"/>
      <c r="D135" s="9" t="s">
        <v>166</v>
      </c>
      <c r="E135" s="9" t="s">
        <v>167</v>
      </c>
      <c r="F135" s="9" t="s">
        <v>168</v>
      </c>
      <c r="G135" s="9" t="s">
        <v>169</v>
      </c>
      <c r="H135" s="3" t="s">
        <v>180</v>
      </c>
      <c r="I135" s="9" t="s">
        <v>231</v>
      </c>
      <c r="J135" s="9" t="s">
        <v>380</v>
      </c>
      <c r="K135" s="3"/>
      <c r="L135" s="3"/>
    </row>
    <row r="136" spans="2:13" x14ac:dyDescent="0.3">
      <c r="B136" s="3" t="s">
        <v>155</v>
      </c>
      <c r="C136" s="3"/>
      <c r="D136" s="3">
        <v>25</v>
      </c>
      <c r="E136" s="3">
        <v>17</v>
      </c>
      <c r="F136" s="3">
        <v>84</v>
      </c>
      <c r="G136" s="3">
        <v>45</v>
      </c>
      <c r="H136" s="3">
        <v>84</v>
      </c>
      <c r="I136" s="3">
        <f>SUM(D136:H136)</f>
        <v>255</v>
      </c>
      <c r="J136" s="8">
        <f>I136/500</f>
        <v>0.51</v>
      </c>
      <c r="K136" s="3" t="str">
        <f>IF(J136&gt;=M132,"distinction","need Improvement")</f>
        <v>need Improvement</v>
      </c>
      <c r="L136" s="3"/>
    </row>
    <row r="137" spans="2:13" x14ac:dyDescent="0.3">
      <c r="B137" s="3" t="s">
        <v>156</v>
      </c>
      <c r="C137" s="3"/>
      <c r="D137" s="3">
        <v>45</v>
      </c>
      <c r="E137" s="3">
        <v>100</v>
      </c>
      <c r="F137" s="3">
        <v>54</v>
      </c>
      <c r="G137" s="3">
        <v>47</v>
      </c>
      <c r="H137" s="3">
        <v>54</v>
      </c>
      <c r="I137" s="3">
        <f>SUM(D137:H137)</f>
        <v>300</v>
      </c>
      <c r="J137" s="8">
        <f t="shared" ref="J137:J145" si="9">I137/500</f>
        <v>0.6</v>
      </c>
      <c r="K137" s="3" t="str">
        <f>IF(J137&gt;=$M$132,"distinction","need Improvement")</f>
        <v>need Improvement</v>
      </c>
      <c r="L137" s="3"/>
    </row>
    <row r="138" spans="2:13" x14ac:dyDescent="0.3">
      <c r="B138" s="3" t="s">
        <v>157</v>
      </c>
      <c r="C138" s="3"/>
      <c r="D138" s="3">
        <v>78</v>
      </c>
      <c r="E138" s="3">
        <v>90</v>
      </c>
      <c r="F138" s="3">
        <v>45</v>
      </c>
      <c r="G138" s="3">
        <v>74</v>
      </c>
      <c r="H138" s="3">
        <v>45</v>
      </c>
      <c r="I138" s="3">
        <f t="shared" ref="I138:I142" si="10">SUM(D138:H138)</f>
        <v>332</v>
      </c>
      <c r="J138" s="8">
        <f t="shared" si="9"/>
        <v>0.66400000000000003</v>
      </c>
      <c r="K138" s="3" t="str">
        <f t="shared" ref="K138:K145" si="11">IF(J138&gt;=$M$132,"distinction","need Improvement")</f>
        <v>need Improvement</v>
      </c>
      <c r="L138" s="3"/>
    </row>
    <row r="139" spans="2:13" x14ac:dyDescent="0.3">
      <c r="B139" s="3" t="s">
        <v>158</v>
      </c>
      <c r="C139" s="3"/>
      <c r="D139" s="3">
        <v>54</v>
      </c>
      <c r="E139" s="3">
        <v>33</v>
      </c>
      <c r="F139" s="3">
        <v>82</v>
      </c>
      <c r="G139" s="3">
        <v>98</v>
      </c>
      <c r="H139" s="3">
        <v>54</v>
      </c>
      <c r="I139" s="3">
        <f t="shared" si="10"/>
        <v>321</v>
      </c>
      <c r="J139" s="8">
        <f t="shared" si="9"/>
        <v>0.64200000000000002</v>
      </c>
      <c r="K139" s="3" t="str">
        <f t="shared" si="11"/>
        <v>need Improvement</v>
      </c>
      <c r="L139" s="3"/>
    </row>
    <row r="140" spans="2:13" x14ac:dyDescent="0.3">
      <c r="B140" s="3" t="s">
        <v>159</v>
      </c>
      <c r="C140" s="3"/>
      <c r="D140" s="3">
        <v>95</v>
      </c>
      <c r="E140" s="3">
        <v>84</v>
      </c>
      <c r="F140" s="3">
        <v>94</v>
      </c>
      <c r="G140" s="3">
        <v>100</v>
      </c>
      <c r="H140" s="3">
        <v>86</v>
      </c>
      <c r="I140" s="3">
        <f t="shared" si="10"/>
        <v>459</v>
      </c>
      <c r="J140" s="8">
        <f t="shared" si="9"/>
        <v>0.91800000000000004</v>
      </c>
      <c r="K140" s="3" t="str">
        <f t="shared" si="11"/>
        <v>need Improvement</v>
      </c>
      <c r="L140" s="3"/>
    </row>
    <row r="141" spans="2:13" x14ac:dyDescent="0.3">
      <c r="B141" s="3" t="s">
        <v>160</v>
      </c>
      <c r="C141" s="3"/>
      <c r="D141" s="3">
        <v>85</v>
      </c>
      <c r="E141" s="3">
        <v>26</v>
      </c>
      <c r="F141" s="3">
        <v>47</v>
      </c>
      <c r="G141" s="3">
        <v>56</v>
      </c>
      <c r="H141" s="3">
        <v>54</v>
      </c>
      <c r="I141" s="3">
        <f t="shared" si="10"/>
        <v>268</v>
      </c>
      <c r="J141" s="8">
        <f t="shared" si="9"/>
        <v>0.53600000000000003</v>
      </c>
      <c r="K141" s="3" t="str">
        <f t="shared" si="11"/>
        <v>need Improvement</v>
      </c>
      <c r="L141" s="3"/>
    </row>
    <row r="142" spans="2:13" x14ac:dyDescent="0.3">
      <c r="B142" s="3" t="s">
        <v>161</v>
      </c>
      <c r="C142" s="3"/>
      <c r="D142" s="3">
        <v>100</v>
      </c>
      <c r="E142" s="3">
        <v>5</v>
      </c>
      <c r="F142" s="3">
        <v>56</v>
      </c>
      <c r="G142" s="3">
        <v>84</v>
      </c>
      <c r="H142" s="3">
        <v>12</v>
      </c>
      <c r="I142" s="3">
        <f t="shared" si="10"/>
        <v>257</v>
      </c>
      <c r="J142" s="8">
        <f t="shared" si="9"/>
        <v>0.51400000000000001</v>
      </c>
      <c r="K142" s="3" t="str">
        <f t="shared" si="11"/>
        <v>need Improvement</v>
      </c>
      <c r="L142" s="3"/>
    </row>
    <row r="143" spans="2:13" x14ac:dyDescent="0.3">
      <c r="B143" s="3" t="s">
        <v>162</v>
      </c>
      <c r="C143" s="3"/>
      <c r="D143" s="3">
        <v>25</v>
      </c>
      <c r="E143" s="3">
        <v>48</v>
      </c>
      <c r="F143" s="3">
        <v>35</v>
      </c>
      <c r="G143" s="3">
        <v>54</v>
      </c>
      <c r="H143" s="3">
        <v>5</v>
      </c>
      <c r="I143" s="3">
        <f>SUM(D143:H143)</f>
        <v>167</v>
      </c>
      <c r="J143" s="8">
        <f t="shared" si="9"/>
        <v>0.33400000000000002</v>
      </c>
      <c r="K143" s="3" t="str">
        <f t="shared" si="11"/>
        <v>need Improvement</v>
      </c>
      <c r="L143" s="3"/>
    </row>
    <row r="144" spans="2:13" x14ac:dyDescent="0.3">
      <c r="B144" s="3" t="s">
        <v>163</v>
      </c>
      <c r="C144" s="3"/>
      <c r="D144" s="3">
        <v>65</v>
      </c>
      <c r="E144" s="3">
        <v>59</v>
      </c>
      <c r="F144" s="3">
        <v>60</v>
      </c>
      <c r="G144" s="3">
        <v>94</v>
      </c>
      <c r="H144" s="3">
        <v>47</v>
      </c>
      <c r="I144" s="3">
        <f>SUM(D144:H144)</f>
        <v>325</v>
      </c>
      <c r="J144" s="8">
        <f t="shared" si="9"/>
        <v>0.65</v>
      </c>
      <c r="K144" s="3" t="str">
        <f t="shared" si="11"/>
        <v>need Improvement</v>
      </c>
      <c r="L144" s="3"/>
    </row>
    <row r="145" spans="2:12" x14ac:dyDescent="0.3">
      <c r="B145" s="3" t="s">
        <v>164</v>
      </c>
      <c r="C145" s="3"/>
      <c r="D145" s="3">
        <v>7</v>
      </c>
      <c r="E145" s="3">
        <v>5</v>
      </c>
      <c r="F145" s="3">
        <v>8</v>
      </c>
      <c r="G145" s="3">
        <v>3</v>
      </c>
      <c r="H145" s="3">
        <v>3</v>
      </c>
      <c r="I145" s="3">
        <f t="shared" ref="I145" si="12">SUM(D145:H145)</f>
        <v>26</v>
      </c>
      <c r="J145" s="8">
        <f t="shared" si="9"/>
        <v>5.1999999999999998E-2</v>
      </c>
      <c r="K145" s="3" t="str">
        <f t="shared" si="11"/>
        <v>need Improvement</v>
      </c>
      <c r="L145" s="3"/>
    </row>
    <row r="153" spans="2:12" ht="28.8" x14ac:dyDescent="0.55000000000000004">
      <c r="G153" s="21" t="s">
        <v>181</v>
      </c>
    </row>
    <row r="155" spans="2:12" x14ac:dyDescent="0.3">
      <c r="B155" s="2" t="s">
        <v>178</v>
      </c>
    </row>
    <row r="157" spans="2:12" x14ac:dyDescent="0.3">
      <c r="C157" s="2" t="s">
        <v>170</v>
      </c>
      <c r="F157" s="3"/>
      <c r="G157" s="3" t="s">
        <v>184</v>
      </c>
      <c r="H157" s="3" t="s">
        <v>185</v>
      </c>
    </row>
    <row r="158" spans="2:12" x14ac:dyDescent="0.3">
      <c r="C158" s="2" t="s">
        <v>171</v>
      </c>
      <c r="F158" s="3"/>
      <c r="G158" s="3">
        <v>78</v>
      </c>
      <c r="H158" s="3" t="str">
        <f>IF(G158&gt;=60,"good",IF(G158&gt;=40,"ok","bad"))</f>
        <v>good</v>
      </c>
    </row>
    <row r="159" spans="2:12" x14ac:dyDescent="0.3">
      <c r="C159" s="2" t="s">
        <v>172</v>
      </c>
      <c r="F159" s="3"/>
      <c r="G159" s="3">
        <v>45</v>
      </c>
      <c r="H159" s="3" t="str">
        <f t="shared" ref="H159:H162" si="13">IF(G159&gt;=60,"good",IF(G159&gt;=40,"ok","bad"))</f>
        <v>ok</v>
      </c>
    </row>
    <row r="160" spans="2:12" x14ac:dyDescent="0.3">
      <c r="C160">
        <f>C161</f>
        <v>0</v>
      </c>
      <c r="F160" s="3"/>
      <c r="G160" s="3">
        <v>20</v>
      </c>
      <c r="H160" s="3" t="str">
        <f t="shared" si="13"/>
        <v>bad</v>
      </c>
    </row>
    <row r="161" spans="2:14" x14ac:dyDescent="0.3">
      <c r="C161" s="2"/>
      <c r="F161" s="3"/>
      <c r="G161" s="3">
        <v>0</v>
      </c>
      <c r="H161" s="3" t="str">
        <f t="shared" si="13"/>
        <v>bad</v>
      </c>
    </row>
    <row r="162" spans="2:14" x14ac:dyDescent="0.3">
      <c r="F162" s="3"/>
      <c r="G162" s="3">
        <v>40</v>
      </c>
      <c r="H162" s="3" t="str">
        <f t="shared" si="13"/>
        <v>ok</v>
      </c>
    </row>
    <row r="163" spans="2:14" x14ac:dyDescent="0.3">
      <c r="F163" s="3"/>
      <c r="G163" s="3"/>
      <c r="H163" s="3"/>
    </row>
    <row r="165" spans="2:14" x14ac:dyDescent="0.3">
      <c r="B165" t="s">
        <v>381</v>
      </c>
      <c r="L165" t="s">
        <v>280</v>
      </c>
      <c r="N165" t="s">
        <v>232</v>
      </c>
    </row>
    <row r="166" spans="2:14" x14ac:dyDescent="0.3">
      <c r="L166" t="s">
        <v>382</v>
      </c>
      <c r="N166" s="30">
        <v>0.05</v>
      </c>
    </row>
    <row r="167" spans="2:14" x14ac:dyDescent="0.3">
      <c r="D167" s="3" t="s">
        <v>173</v>
      </c>
      <c r="E167" s="3" t="s">
        <v>232</v>
      </c>
      <c r="F167" s="3"/>
      <c r="G167" s="3"/>
      <c r="L167" t="s">
        <v>383</v>
      </c>
      <c r="N167" s="30">
        <v>7.0000000000000007E-2</v>
      </c>
    </row>
    <row r="168" spans="2:14" x14ac:dyDescent="0.3">
      <c r="D168" s="15">
        <v>419262</v>
      </c>
      <c r="E168" s="39">
        <f>IF(D168&gt;=400000,D168*0.05,IF(D168&gt;=500000,D168*0.07,IF(D168&gt;=600000,D168*0.1)))</f>
        <v>20963.100000000002</v>
      </c>
      <c r="F168" s="8">
        <f>IF(D168&gt;=400000,5%,IF(D168&gt;=500000,7%,10%))</f>
        <v>0.05</v>
      </c>
      <c r="G168" s="3"/>
      <c r="L168" t="s">
        <v>384</v>
      </c>
      <c r="N168" s="30">
        <v>0.1</v>
      </c>
    </row>
    <row r="169" spans="2:14" x14ac:dyDescent="0.3">
      <c r="D169" s="15">
        <v>423663</v>
      </c>
      <c r="E169" s="39">
        <f t="shared" ref="E169:E187" si="14">IF(D169&gt;=400000,D169*0.05,IF(D169&gt;=500000,D169*0.07,IF(D169&gt;=600000,D169*0.1)))</f>
        <v>21183.15</v>
      </c>
      <c r="F169" s="8">
        <f t="shared" ref="F169:F187" si="15">IF(D169&gt;=400000,5%,IF(D169&gt;=500000,7%,10%))</f>
        <v>0.05</v>
      </c>
      <c r="G169" s="3"/>
    </row>
    <row r="170" spans="2:14" x14ac:dyDescent="0.3">
      <c r="D170" s="15">
        <v>475483</v>
      </c>
      <c r="E170" s="39">
        <f t="shared" si="14"/>
        <v>23774.15</v>
      </c>
      <c r="F170" s="8">
        <f t="shared" si="15"/>
        <v>0.05</v>
      </c>
      <c r="G170" s="3"/>
    </row>
    <row r="171" spans="2:14" x14ac:dyDescent="0.3">
      <c r="C171" s="12"/>
      <c r="D171" s="38">
        <v>590162</v>
      </c>
      <c r="E171" s="40">
        <f t="shared" si="14"/>
        <v>29508.100000000002</v>
      </c>
      <c r="F171" s="41">
        <f>IF(D171&gt;=400000,5%,IF(D171&gt;=500000,7%,10%))</f>
        <v>0.05</v>
      </c>
      <c r="G171" s="37"/>
    </row>
    <row r="172" spans="2:14" x14ac:dyDescent="0.3">
      <c r="D172" s="15">
        <v>377299</v>
      </c>
      <c r="E172" s="39" t="b">
        <f t="shared" si="14"/>
        <v>0</v>
      </c>
      <c r="F172" s="8">
        <f t="shared" si="15"/>
        <v>0.1</v>
      </c>
      <c r="G172" s="3"/>
    </row>
    <row r="173" spans="2:14" x14ac:dyDescent="0.3">
      <c r="D173" s="15">
        <v>356292</v>
      </c>
      <c r="E173" s="39" t="b">
        <f t="shared" si="14"/>
        <v>0</v>
      </c>
      <c r="F173" s="8">
        <f t="shared" si="15"/>
        <v>0.1</v>
      </c>
      <c r="G173" s="3"/>
      <c r="H173" t="s">
        <v>385</v>
      </c>
    </row>
    <row r="174" spans="2:14" x14ac:dyDescent="0.3">
      <c r="C174" s="12"/>
      <c r="D174" s="38">
        <v>703105</v>
      </c>
      <c r="E174" s="40">
        <f t="shared" si="14"/>
        <v>35155.25</v>
      </c>
      <c r="F174" s="41">
        <f t="shared" si="15"/>
        <v>0.05</v>
      </c>
      <c r="G174" s="37"/>
    </row>
    <row r="175" spans="2:14" x14ac:dyDescent="0.3">
      <c r="D175" s="15">
        <v>261922</v>
      </c>
      <c r="E175" s="39" t="b">
        <f t="shared" si="14"/>
        <v>0</v>
      </c>
      <c r="F175" s="8">
        <f t="shared" si="15"/>
        <v>0.1</v>
      </c>
      <c r="G175" s="3"/>
    </row>
    <row r="176" spans="2:14" x14ac:dyDescent="0.3">
      <c r="D176" s="38">
        <v>703719</v>
      </c>
      <c r="E176" s="40">
        <f t="shared" si="14"/>
        <v>35185.950000000004</v>
      </c>
      <c r="F176" s="41">
        <f t="shared" si="15"/>
        <v>0.05</v>
      </c>
      <c r="G176" s="3"/>
    </row>
    <row r="177" spans="1:9" x14ac:dyDescent="0.3">
      <c r="D177" s="15">
        <v>472484</v>
      </c>
      <c r="E177" s="39">
        <f t="shared" si="14"/>
        <v>23624.2</v>
      </c>
      <c r="F177" s="8">
        <f t="shared" si="15"/>
        <v>0.05</v>
      </c>
      <c r="G177" s="3"/>
    </row>
    <row r="178" spans="1:9" x14ac:dyDescent="0.3">
      <c r="C178" s="12"/>
      <c r="D178" s="38">
        <v>732013</v>
      </c>
      <c r="E178" s="40">
        <f t="shared" si="14"/>
        <v>36600.65</v>
      </c>
      <c r="F178" s="41">
        <f t="shared" si="15"/>
        <v>0.05</v>
      </c>
      <c r="G178" s="37"/>
    </row>
    <row r="179" spans="1:9" x14ac:dyDescent="0.3">
      <c r="D179" s="15">
        <v>275532</v>
      </c>
      <c r="E179" s="39" t="b">
        <f t="shared" si="14"/>
        <v>0</v>
      </c>
      <c r="F179" s="8">
        <f t="shared" si="15"/>
        <v>0.1</v>
      </c>
      <c r="G179" s="3"/>
    </row>
    <row r="180" spans="1:9" x14ac:dyDescent="0.3">
      <c r="C180" s="12"/>
      <c r="D180" s="38">
        <v>672019</v>
      </c>
      <c r="E180" s="40">
        <f t="shared" si="14"/>
        <v>33600.950000000004</v>
      </c>
      <c r="F180" s="41">
        <f t="shared" si="15"/>
        <v>0.05</v>
      </c>
      <c r="G180" s="37"/>
    </row>
    <row r="181" spans="1:9" x14ac:dyDescent="0.3">
      <c r="C181" s="12"/>
      <c r="D181" s="38">
        <v>687345</v>
      </c>
      <c r="E181" s="40">
        <f t="shared" si="14"/>
        <v>34367.25</v>
      </c>
      <c r="F181" s="41">
        <f t="shared" si="15"/>
        <v>0.05</v>
      </c>
      <c r="G181" s="37"/>
    </row>
    <row r="182" spans="1:9" x14ac:dyDescent="0.3">
      <c r="D182" s="15">
        <v>419057</v>
      </c>
      <c r="E182" s="39">
        <f t="shared" si="14"/>
        <v>20952.850000000002</v>
      </c>
      <c r="F182" s="8">
        <f t="shared" si="15"/>
        <v>0.05</v>
      </c>
      <c r="G182" s="3"/>
    </row>
    <row r="183" spans="1:9" x14ac:dyDescent="0.3">
      <c r="C183" s="12"/>
      <c r="D183" s="38">
        <v>655596</v>
      </c>
      <c r="E183" s="40">
        <f t="shared" si="14"/>
        <v>32779.800000000003</v>
      </c>
      <c r="F183" s="41">
        <f t="shared" si="15"/>
        <v>0.05</v>
      </c>
      <c r="G183" s="37"/>
      <c r="H183" s="12"/>
      <c r="I183" s="12"/>
    </row>
    <row r="184" spans="1:9" x14ac:dyDescent="0.3">
      <c r="C184" s="12"/>
      <c r="D184" s="38">
        <v>726994</v>
      </c>
      <c r="E184" s="40">
        <f t="shared" si="14"/>
        <v>36349.700000000004</v>
      </c>
      <c r="F184" s="41">
        <f t="shared" si="15"/>
        <v>0.05</v>
      </c>
      <c r="G184" s="37"/>
      <c r="H184" s="12"/>
      <c r="I184" s="12"/>
    </row>
    <row r="185" spans="1:9" x14ac:dyDescent="0.3">
      <c r="C185" s="12"/>
      <c r="D185" s="38">
        <v>484599</v>
      </c>
      <c r="E185" s="40">
        <f t="shared" si="14"/>
        <v>24229.95</v>
      </c>
      <c r="F185" s="41">
        <f t="shared" si="15"/>
        <v>0.05</v>
      </c>
      <c r="G185" s="37"/>
      <c r="H185" s="12"/>
      <c r="I185" s="12"/>
    </row>
    <row r="186" spans="1:9" x14ac:dyDescent="0.3">
      <c r="C186" s="12"/>
      <c r="D186" s="38">
        <v>509739</v>
      </c>
      <c r="E186" s="40">
        <f t="shared" si="14"/>
        <v>25486.95</v>
      </c>
      <c r="F186" s="41">
        <f t="shared" si="15"/>
        <v>0.05</v>
      </c>
      <c r="G186" s="37"/>
      <c r="H186" s="12"/>
      <c r="I186" s="12"/>
    </row>
    <row r="187" spans="1:9" x14ac:dyDescent="0.3">
      <c r="C187" s="12"/>
      <c r="D187" s="38">
        <v>814556</v>
      </c>
      <c r="E187" s="40">
        <f t="shared" si="14"/>
        <v>40727.800000000003</v>
      </c>
      <c r="F187" s="41">
        <f t="shared" si="15"/>
        <v>0.05</v>
      </c>
      <c r="G187" s="37"/>
      <c r="H187" s="12"/>
      <c r="I187" s="12"/>
    </row>
    <row r="188" spans="1:9" x14ac:dyDescent="0.3">
      <c r="C188" s="12"/>
      <c r="D188" s="12"/>
      <c r="E188" s="12"/>
      <c r="F188" s="12"/>
      <c r="G188" s="12"/>
      <c r="H188" s="12"/>
      <c r="I188" s="12"/>
    </row>
    <row r="192" spans="1:9" x14ac:dyDescent="0.3">
      <c r="A192" t="s">
        <v>386</v>
      </c>
    </row>
    <row r="193" spans="2:14" x14ac:dyDescent="0.3">
      <c r="B193" s="22" t="s">
        <v>183</v>
      </c>
      <c r="C193" s="9" t="s">
        <v>184</v>
      </c>
      <c r="D193" s="3" t="s">
        <v>185</v>
      </c>
      <c r="M193" s="2" t="s">
        <v>209</v>
      </c>
    </row>
    <row r="194" spans="2:14" x14ac:dyDescent="0.3">
      <c r="B194" s="3" t="s">
        <v>199</v>
      </c>
      <c r="C194" s="3">
        <v>579</v>
      </c>
      <c r="D194" s="3" t="str">
        <f>IF(C194&gt;=575,"distinction",IF(C194&gt;=500,"first division",IF(C194&gt;=400,"second division",IF('# Practise sheet'!C194&gt;=300,"third division",IF(C194&gt;=200,"pass","fail")))))</f>
        <v>distinction</v>
      </c>
      <c r="M194" s="3" t="s">
        <v>186</v>
      </c>
      <c r="N194" s="3"/>
    </row>
    <row r="195" spans="2:14" x14ac:dyDescent="0.3">
      <c r="B195" s="3" t="s">
        <v>200</v>
      </c>
      <c r="C195" s="3">
        <v>515</v>
      </c>
      <c r="D195" s="3" t="str">
        <f>IF(C195&gt;=575,"distinction",IF(C195&gt;=500,"first division",IF(C195&gt;=400,"second division",IF('# Practise sheet'!C195&gt;=300,"third division",IF(C195&gt;=200,"pass","fail")))))</f>
        <v>first division</v>
      </c>
      <c r="M195" s="3" t="s">
        <v>189</v>
      </c>
      <c r="N195" s="3" t="s">
        <v>187</v>
      </c>
    </row>
    <row r="196" spans="2:14" x14ac:dyDescent="0.3">
      <c r="B196" s="16" t="s">
        <v>201</v>
      </c>
      <c r="C196" s="3">
        <v>100</v>
      </c>
      <c r="D196" s="3" t="str">
        <f>IF(C196&gt;=575,"distinction",IF(C196&gt;=500,"first division",IF(C196&gt;=400,"second division",IF('# Practise sheet'!C196&gt;=300,"third division",IF(C196&gt;=200,"pass","fail")))))</f>
        <v>fail</v>
      </c>
      <c r="M196" s="3" t="s">
        <v>190</v>
      </c>
      <c r="N196" s="3" t="s">
        <v>191</v>
      </c>
    </row>
    <row r="197" spans="2:14" x14ac:dyDescent="0.3">
      <c r="B197" s="16" t="s">
        <v>202</v>
      </c>
      <c r="C197" s="3">
        <v>212</v>
      </c>
      <c r="D197" s="3" t="str">
        <f>IF(C197&gt;=575,"distinction",IF(C197&gt;=500,"first division",IF(C197&gt;=400,"second division",IF('# Practise sheet'!C197&gt;=300,"third division",IF(C197&gt;=200,"pass","fail")))))</f>
        <v>pass</v>
      </c>
      <c r="M197" s="3" t="s">
        <v>188</v>
      </c>
      <c r="N197" s="3" t="s">
        <v>192</v>
      </c>
    </row>
    <row r="198" spans="2:14" x14ac:dyDescent="0.3">
      <c r="B198" s="3" t="s">
        <v>203</v>
      </c>
      <c r="C198" s="3">
        <v>405</v>
      </c>
      <c r="D198" s="3" t="str">
        <f>IF(C198&gt;=575,"distinction",IF(C198&gt;=500,"first division",IF(C198&gt;=400,"second division",IF('# Practise sheet'!C198&gt;=300,"third division",IF(C198&gt;=200,"pass","fail")))))</f>
        <v>second division</v>
      </c>
      <c r="M198" s="3" t="s">
        <v>193</v>
      </c>
      <c r="N198" s="3" t="s">
        <v>194</v>
      </c>
    </row>
    <row r="199" spans="2:14" x14ac:dyDescent="0.3">
      <c r="B199" s="3" t="s">
        <v>204</v>
      </c>
      <c r="C199" s="3">
        <v>325</v>
      </c>
      <c r="D199" s="3" t="str">
        <f>IF(C199&gt;=575,"distinction",IF(C199&gt;=500,"first division",IF(C199&gt;=400,"second division",IF('# Practise sheet'!C199&gt;=300,"third division",IF(C199&gt;=200,"pass","fail")))))</f>
        <v>third division</v>
      </c>
      <c r="M199" s="3" t="s">
        <v>195</v>
      </c>
      <c r="N199" s="3" t="s">
        <v>196</v>
      </c>
    </row>
    <row r="200" spans="2:14" x14ac:dyDescent="0.3">
      <c r="B200" s="3" t="s">
        <v>205</v>
      </c>
      <c r="C200" s="3">
        <v>250</v>
      </c>
      <c r="D200" s="3" t="str">
        <f>IF(C200&gt;=575,"distinction",IF(C200&gt;=500,"first division",IF(C200&gt;=400,"second division",IF('# Practise sheet'!C200&gt;=300,"third division",IF(C200&gt;=200,"pass","fail")))))</f>
        <v>pass</v>
      </c>
      <c r="M200" s="3" t="s">
        <v>197</v>
      </c>
      <c r="N200" s="3" t="s">
        <v>198</v>
      </c>
    </row>
    <row r="201" spans="2:14" x14ac:dyDescent="0.3">
      <c r="B201" s="3" t="s">
        <v>206</v>
      </c>
      <c r="C201" s="3">
        <v>645</v>
      </c>
      <c r="D201" s="3" t="str">
        <f>IF(C201&gt;=575,"distinction",IF(C201&gt;=500,"first division",IF(C201&gt;=400,"second division",IF('# Practise sheet'!C201&gt;=300,"third division",IF(C201&gt;=200,"pass","fail")))))</f>
        <v>distinction</v>
      </c>
    </row>
    <row r="202" spans="2:14" x14ac:dyDescent="0.3">
      <c r="B202" s="3" t="s">
        <v>207</v>
      </c>
      <c r="C202" s="3">
        <v>374</v>
      </c>
      <c r="D202" s="3" t="str">
        <f>IF(C202&gt;=575,"distinction",IF(C202&gt;=500,"first division",IF(C202&gt;=400,"second division",IF('# Practise sheet'!C202&gt;=300,"third division",IF(C202&gt;=200,"pass","fail")))))</f>
        <v>third division</v>
      </c>
    </row>
    <row r="203" spans="2:14" x14ac:dyDescent="0.3">
      <c r="B203" s="3" t="s">
        <v>208</v>
      </c>
      <c r="C203" s="3">
        <v>225</v>
      </c>
      <c r="D203" s="3" t="str">
        <f>IF(C203&gt;=575,"distinction",IF(C203&gt;=500,"first division",IF(C203&gt;=400,"second division",IF('# Practise sheet'!C203&gt;=300,"third division",IF(C203&gt;=200,"pass","fail")))))</f>
        <v>pass</v>
      </c>
    </row>
    <row r="206" spans="2:14" x14ac:dyDescent="0.3">
      <c r="D206" s="23" t="s">
        <v>210</v>
      </c>
    </row>
    <row r="207" spans="2:14" x14ac:dyDescent="0.3">
      <c r="D207" s="17">
        <v>10</v>
      </c>
      <c r="E207">
        <f t="shared" ref="E207:E226" si="16">IF(D207&gt;=10,50000,IF(D207=5,45000,IF(D207&lt;3,0,IF(D207&gt;=3,2500))))</f>
        <v>50000</v>
      </c>
    </row>
    <row r="208" spans="2:14" x14ac:dyDescent="0.3">
      <c r="D208" s="17">
        <v>9</v>
      </c>
      <c r="E208">
        <f t="shared" si="16"/>
        <v>2500</v>
      </c>
    </row>
    <row r="209" spans="4:5" x14ac:dyDescent="0.3">
      <c r="D209" s="17">
        <v>4</v>
      </c>
      <c r="E209">
        <f t="shared" si="16"/>
        <v>2500</v>
      </c>
    </row>
    <row r="210" spans="4:5" x14ac:dyDescent="0.3">
      <c r="D210" s="17">
        <v>7</v>
      </c>
      <c r="E210">
        <f t="shared" si="16"/>
        <v>2500</v>
      </c>
    </row>
    <row r="211" spans="4:5" x14ac:dyDescent="0.3">
      <c r="D211" s="17">
        <v>11</v>
      </c>
      <c r="E211">
        <f t="shared" si="16"/>
        <v>50000</v>
      </c>
    </row>
    <row r="212" spans="4:5" x14ac:dyDescent="0.3">
      <c r="D212" s="17">
        <v>1</v>
      </c>
      <c r="E212">
        <f t="shared" si="16"/>
        <v>0</v>
      </c>
    </row>
    <row r="213" spans="4:5" x14ac:dyDescent="0.3">
      <c r="D213" s="17">
        <v>8</v>
      </c>
      <c r="E213">
        <f t="shared" si="16"/>
        <v>2500</v>
      </c>
    </row>
    <row r="214" spans="4:5" x14ac:dyDescent="0.3">
      <c r="D214" s="17">
        <v>5</v>
      </c>
      <c r="E214">
        <f t="shared" si="16"/>
        <v>45000</v>
      </c>
    </row>
    <row r="215" spans="4:5" x14ac:dyDescent="0.3">
      <c r="D215" s="17">
        <v>4</v>
      </c>
      <c r="E215">
        <f t="shared" si="16"/>
        <v>2500</v>
      </c>
    </row>
    <row r="216" spans="4:5" x14ac:dyDescent="0.3">
      <c r="D216" s="17">
        <v>6</v>
      </c>
      <c r="E216">
        <f t="shared" si="16"/>
        <v>2500</v>
      </c>
    </row>
    <row r="217" spans="4:5" x14ac:dyDescent="0.3">
      <c r="D217" s="17">
        <v>8</v>
      </c>
      <c r="E217">
        <f t="shared" si="16"/>
        <v>2500</v>
      </c>
    </row>
    <row r="218" spans="4:5" x14ac:dyDescent="0.3">
      <c r="D218" s="17">
        <v>1</v>
      </c>
      <c r="E218">
        <f t="shared" si="16"/>
        <v>0</v>
      </c>
    </row>
    <row r="219" spans="4:5" x14ac:dyDescent="0.3">
      <c r="D219" s="17">
        <v>1</v>
      </c>
      <c r="E219">
        <f t="shared" si="16"/>
        <v>0</v>
      </c>
    </row>
    <row r="220" spans="4:5" x14ac:dyDescent="0.3">
      <c r="D220" s="17">
        <v>3</v>
      </c>
      <c r="E220">
        <f t="shared" si="16"/>
        <v>2500</v>
      </c>
    </row>
    <row r="221" spans="4:5" x14ac:dyDescent="0.3">
      <c r="D221" s="17">
        <v>10</v>
      </c>
      <c r="E221">
        <f t="shared" si="16"/>
        <v>50000</v>
      </c>
    </row>
    <row r="222" spans="4:5" x14ac:dyDescent="0.3">
      <c r="D222" s="17">
        <v>2</v>
      </c>
      <c r="E222">
        <f t="shared" si="16"/>
        <v>0</v>
      </c>
    </row>
    <row r="223" spans="4:5" x14ac:dyDescent="0.3">
      <c r="D223" s="17">
        <v>5</v>
      </c>
      <c r="E223">
        <f t="shared" si="16"/>
        <v>45000</v>
      </c>
    </row>
    <row r="224" spans="4:5" x14ac:dyDescent="0.3">
      <c r="D224" s="17">
        <v>1</v>
      </c>
      <c r="E224">
        <f t="shared" si="16"/>
        <v>0</v>
      </c>
    </row>
    <row r="225" spans="1:7" x14ac:dyDescent="0.3">
      <c r="D225" s="3">
        <v>3</v>
      </c>
      <c r="E225">
        <f t="shared" si="16"/>
        <v>2500</v>
      </c>
    </row>
    <row r="226" spans="1:7" x14ac:dyDescent="0.3">
      <c r="D226" s="3">
        <v>11</v>
      </c>
      <c r="E226">
        <f t="shared" si="16"/>
        <v>50000</v>
      </c>
    </row>
    <row r="228" spans="1:7" x14ac:dyDescent="0.3">
      <c r="E228" t="s">
        <v>217</v>
      </c>
      <c r="F228" t="s">
        <v>218</v>
      </c>
      <c r="G228" t="s">
        <v>219</v>
      </c>
    </row>
    <row r="230" spans="1:7" x14ac:dyDescent="0.3">
      <c r="A230" s="2" t="s">
        <v>269</v>
      </c>
    </row>
    <row r="231" spans="1:7" x14ac:dyDescent="0.3">
      <c r="A231" s="3"/>
      <c r="B231" s="3" t="s">
        <v>215</v>
      </c>
      <c r="C231" s="3" t="s">
        <v>387</v>
      </c>
      <c r="D231" s="3" t="s">
        <v>231</v>
      </c>
    </row>
    <row r="232" spans="1:7" x14ac:dyDescent="0.3">
      <c r="A232" s="3"/>
      <c r="B232" s="3">
        <v>69</v>
      </c>
      <c r="C232" s="3">
        <f>IF(B232&gt;=50,5,IF(B232&gt;=30,3,IF(B232&gt;=20,1)))</f>
        <v>5</v>
      </c>
      <c r="D232" s="3">
        <f>SUM(B232:C232)</f>
        <v>74</v>
      </c>
    </row>
    <row r="233" spans="1:7" x14ac:dyDescent="0.3">
      <c r="A233" s="3"/>
      <c r="B233" s="3">
        <v>17</v>
      </c>
      <c r="C233" s="3">
        <v>1</v>
      </c>
      <c r="D233" s="3">
        <f t="shared" ref="D233:D239" si="17">SUM(B233:C233)</f>
        <v>18</v>
      </c>
    </row>
    <row r="234" spans="1:7" x14ac:dyDescent="0.3">
      <c r="A234" s="3"/>
      <c r="B234" s="3">
        <v>29</v>
      </c>
      <c r="C234" s="3">
        <f t="shared" ref="C234:C239" si="18">IF(B234&gt;=50,5,IF(B234&gt;=30,3,IF(B234&gt;=20,1)))</f>
        <v>1</v>
      </c>
      <c r="D234" s="3">
        <f t="shared" si="17"/>
        <v>30</v>
      </c>
    </row>
    <row r="235" spans="1:7" x14ac:dyDescent="0.3">
      <c r="A235" s="3"/>
      <c r="B235" s="3">
        <v>32</v>
      </c>
      <c r="C235" s="3">
        <f t="shared" si="18"/>
        <v>3</v>
      </c>
      <c r="D235" s="3">
        <f t="shared" si="17"/>
        <v>35</v>
      </c>
    </row>
    <row r="236" spans="1:7" x14ac:dyDescent="0.3">
      <c r="A236" s="3"/>
      <c r="B236" s="3">
        <v>27</v>
      </c>
      <c r="C236" s="3">
        <f t="shared" si="18"/>
        <v>1</v>
      </c>
      <c r="D236" s="3">
        <f t="shared" si="17"/>
        <v>28</v>
      </c>
    </row>
    <row r="237" spans="1:7" x14ac:dyDescent="0.3">
      <c r="A237" s="3"/>
      <c r="B237" s="3">
        <v>53</v>
      </c>
      <c r="C237" s="3">
        <f t="shared" si="18"/>
        <v>5</v>
      </c>
      <c r="D237" s="3">
        <f t="shared" si="17"/>
        <v>58</v>
      </c>
    </row>
    <row r="238" spans="1:7" x14ac:dyDescent="0.3">
      <c r="A238" s="3"/>
      <c r="B238" s="3">
        <v>82</v>
      </c>
      <c r="C238" s="3">
        <f t="shared" si="18"/>
        <v>5</v>
      </c>
      <c r="D238" s="3">
        <f t="shared" si="17"/>
        <v>87</v>
      </c>
    </row>
    <row r="239" spans="1:7" x14ac:dyDescent="0.3">
      <c r="A239" s="3"/>
      <c r="B239" s="3">
        <v>79</v>
      </c>
      <c r="C239" s="3">
        <f t="shared" si="18"/>
        <v>5</v>
      </c>
      <c r="D239" s="3">
        <f t="shared" si="17"/>
        <v>84</v>
      </c>
    </row>
    <row r="242" spans="1:13" x14ac:dyDescent="0.3">
      <c r="B242" t="s">
        <v>386</v>
      </c>
      <c r="C242" s="3"/>
      <c r="D242" s="3"/>
      <c r="E242" s="3" t="s">
        <v>165</v>
      </c>
      <c r="F242" s="3"/>
      <c r="G242" s="3"/>
      <c r="H242" s="3"/>
      <c r="I242" s="3"/>
      <c r="J242" s="3"/>
      <c r="K242" s="3"/>
      <c r="L242" s="3"/>
      <c r="M242" s="3"/>
    </row>
    <row r="243" spans="1:13" x14ac:dyDescent="0.3">
      <c r="D243" s="3" t="s">
        <v>221</v>
      </c>
      <c r="E243" s="3" t="s">
        <v>166</v>
      </c>
      <c r="F243" s="3" t="s">
        <v>169</v>
      </c>
      <c r="G243" s="3" t="s">
        <v>167</v>
      </c>
      <c r="H243" s="3" t="s">
        <v>222</v>
      </c>
      <c r="I243" s="3" t="s">
        <v>223</v>
      </c>
      <c r="J243" s="3" t="s">
        <v>36</v>
      </c>
      <c r="K243" s="3" t="s">
        <v>224</v>
      </c>
      <c r="L243" s="3"/>
      <c r="M243" s="3" t="s">
        <v>225</v>
      </c>
    </row>
    <row r="244" spans="1:13" x14ac:dyDescent="0.3">
      <c r="C244" s="3"/>
      <c r="D244" s="3" t="s">
        <v>199</v>
      </c>
      <c r="E244" s="3">
        <v>89</v>
      </c>
      <c r="F244" s="3">
        <v>98</v>
      </c>
      <c r="G244" s="3">
        <v>100</v>
      </c>
      <c r="H244" s="3">
        <v>45</v>
      </c>
      <c r="I244" s="3">
        <v>96</v>
      </c>
      <c r="J244" s="3">
        <f>SUM(E244:I244)</f>
        <v>428</v>
      </c>
      <c r="K244" s="8">
        <f>J244/500</f>
        <v>0.85599999999999998</v>
      </c>
      <c r="L244" s="3"/>
      <c r="M244" s="3" t="str">
        <f>IF(K244&gt;=90%,"A",IF(K244&gt;=85%,"B",IF(K244&gt;=75%,"C",IF(K244&gt;=60%,"D",IF(K244&gt;=50%,"E","F")))))</f>
        <v>B</v>
      </c>
    </row>
    <row r="245" spans="1:13" x14ac:dyDescent="0.3">
      <c r="C245" s="3"/>
      <c r="D245" s="3" t="s">
        <v>200</v>
      </c>
      <c r="E245" s="3">
        <v>54</v>
      </c>
      <c r="F245" s="3">
        <v>45</v>
      </c>
      <c r="G245" s="3">
        <v>56</v>
      </c>
      <c r="H245" s="3">
        <v>78</v>
      </c>
      <c r="I245" s="3">
        <v>54</v>
      </c>
      <c r="J245" s="3">
        <f t="shared" ref="J245:J248" si="19">SUM(E245:I245)</f>
        <v>287</v>
      </c>
      <c r="K245" s="8">
        <f t="shared" ref="K245:K248" si="20">J245/500</f>
        <v>0.57399999999999995</v>
      </c>
      <c r="L245" s="3"/>
      <c r="M245" s="3" t="str">
        <f t="shared" ref="M245:M248" si="21">IF(K245&gt;=90%,"A",IF(K245&gt;=85%,"B",IF(K245&gt;=75%,"C",IF(K245&gt;=60%,"D",IF(K245&gt;=50%,"E","F")))))</f>
        <v>E</v>
      </c>
    </row>
    <row r="246" spans="1:13" x14ac:dyDescent="0.3">
      <c r="C246" s="3"/>
      <c r="D246" s="3" t="s">
        <v>201</v>
      </c>
      <c r="E246" s="3">
        <v>24</v>
      </c>
      <c r="F246" s="3">
        <v>72</v>
      </c>
      <c r="G246" s="3">
        <v>78</v>
      </c>
      <c r="H246" s="3">
        <v>45</v>
      </c>
      <c r="I246" s="3">
        <v>27</v>
      </c>
      <c r="J246" s="3">
        <f t="shared" si="19"/>
        <v>246</v>
      </c>
      <c r="K246" s="8">
        <f t="shared" si="20"/>
        <v>0.49199999999999999</v>
      </c>
      <c r="L246" s="3"/>
      <c r="M246" s="3" t="str">
        <f>IF(K246&gt;=90%,"A",IF(K246&gt;=85%,"B",IF(K246&gt;=75%,"C",IF(K246&gt;=60%,"D",IF(K246&gt;=50%,"E","F")))))</f>
        <v>F</v>
      </c>
    </row>
    <row r="247" spans="1:13" x14ac:dyDescent="0.3">
      <c r="C247" s="3"/>
      <c r="D247" s="3" t="s">
        <v>202</v>
      </c>
      <c r="E247" s="3">
        <v>65</v>
      </c>
      <c r="F247" s="3">
        <v>24</v>
      </c>
      <c r="G247" s="3">
        <v>56</v>
      </c>
      <c r="H247" s="3">
        <v>84</v>
      </c>
      <c r="I247" s="3">
        <v>95</v>
      </c>
      <c r="J247" s="3">
        <f t="shared" si="19"/>
        <v>324</v>
      </c>
      <c r="K247" s="8">
        <f t="shared" si="20"/>
        <v>0.64800000000000002</v>
      </c>
      <c r="L247" s="3"/>
      <c r="M247" s="3" t="str">
        <f t="shared" si="21"/>
        <v>D</v>
      </c>
    </row>
    <row r="248" spans="1:13" x14ac:dyDescent="0.3">
      <c r="C248" s="3"/>
      <c r="D248" s="3" t="s">
        <v>203</v>
      </c>
      <c r="E248" s="3">
        <v>71</v>
      </c>
      <c r="F248" s="3">
        <v>85</v>
      </c>
      <c r="G248" s="3">
        <v>65</v>
      </c>
      <c r="H248" s="3">
        <v>24</v>
      </c>
      <c r="I248" s="3">
        <v>10</v>
      </c>
      <c r="J248" s="3">
        <f t="shared" si="19"/>
        <v>255</v>
      </c>
      <c r="K248" s="8">
        <f t="shared" si="20"/>
        <v>0.51</v>
      </c>
      <c r="L248" s="3"/>
      <c r="M248" s="3" t="str">
        <f t="shared" si="21"/>
        <v>E</v>
      </c>
    </row>
    <row r="250" spans="1:13" x14ac:dyDescent="0.3">
      <c r="B250" s="37"/>
      <c r="C250" s="37"/>
    </row>
    <row r="251" spans="1:13" x14ac:dyDescent="0.3">
      <c r="A251" t="s">
        <v>388</v>
      </c>
      <c r="B251" s="37" t="s">
        <v>173</v>
      </c>
      <c r="C251" s="37" t="s">
        <v>389</v>
      </c>
    </row>
    <row r="252" spans="1:13" x14ac:dyDescent="0.3">
      <c r="B252" s="37">
        <v>25000</v>
      </c>
      <c r="C252" s="37">
        <f>IF(B252&gt;=10000,B252*0.1,IF(B252&gt;5000,B252*0.07,IF(B252&gt;2000,0.05,IF(B252&lt;2000,B252*0.02))))</f>
        <v>2500</v>
      </c>
    </row>
    <row r="253" spans="1:13" x14ac:dyDescent="0.3">
      <c r="B253" s="37">
        <v>45000</v>
      </c>
      <c r="C253" s="37">
        <f>IF(B253&gt;=10000,B253*0.1,IF(B253&gt;5000,B253*0.07,IF(B253&gt;2000,0.05,IF(B253&lt;2000,B253*0.02))))</f>
        <v>4500</v>
      </c>
    </row>
    <row r="254" spans="1:13" x14ac:dyDescent="0.3">
      <c r="B254" s="37">
        <v>5000</v>
      </c>
      <c r="C254" s="37">
        <f t="shared" ref="C254:C256" si="22">IF(B254&gt;=10000,B254*0.1,IF(B254&gt;5000,B254*0.07,IF(B254&gt;2000,0.05,IF(B254&lt;2000,B254*0.02))))</f>
        <v>0.05</v>
      </c>
    </row>
    <row r="255" spans="1:13" x14ac:dyDescent="0.3">
      <c r="B255" s="37">
        <v>8000</v>
      </c>
      <c r="C255" s="37">
        <f t="shared" si="22"/>
        <v>560</v>
      </c>
    </row>
    <row r="256" spans="1:13" x14ac:dyDescent="0.3">
      <c r="B256" s="37">
        <v>256</v>
      </c>
      <c r="C256" s="37">
        <f t="shared" si="22"/>
        <v>5.12</v>
      </c>
    </row>
    <row r="260" spans="2:8" x14ac:dyDescent="0.3">
      <c r="B260" s="3"/>
      <c r="C260" s="3"/>
      <c r="D260" s="3"/>
      <c r="E260" s="3"/>
      <c r="F260" s="3"/>
      <c r="G260" s="3"/>
      <c r="H260" s="3"/>
    </row>
    <row r="261" spans="2:8" x14ac:dyDescent="0.3">
      <c r="B261" s="9" t="s">
        <v>54</v>
      </c>
      <c r="C261" s="3" t="s">
        <v>228</v>
      </c>
      <c r="D261" s="3" t="s">
        <v>229</v>
      </c>
      <c r="E261" s="3" t="s">
        <v>230</v>
      </c>
      <c r="F261" s="3" t="s">
        <v>36</v>
      </c>
      <c r="G261" s="3" t="s">
        <v>390</v>
      </c>
      <c r="H261" s="3" t="s">
        <v>391</v>
      </c>
    </row>
    <row r="262" spans="2:8" x14ac:dyDescent="0.3">
      <c r="B262" s="3"/>
      <c r="C262" s="3" t="s">
        <v>199</v>
      </c>
      <c r="D262" s="3">
        <v>45</v>
      </c>
      <c r="E262" s="3">
        <v>20</v>
      </c>
      <c r="F262" s="3">
        <f>D262*E262</f>
        <v>900</v>
      </c>
      <c r="G262" s="3">
        <f>IF(D262&gt;=50,F262*0.2,IF(D262&gt;30,F262*0.5,IF(D262&gt;20,F262*0.1,0)))</f>
        <v>450</v>
      </c>
      <c r="H262" s="3">
        <f>F262-G262</f>
        <v>450</v>
      </c>
    </row>
    <row r="263" spans="2:8" x14ac:dyDescent="0.3">
      <c r="B263" s="3"/>
      <c r="C263" s="3" t="s">
        <v>200</v>
      </c>
      <c r="D263" s="3">
        <v>89</v>
      </c>
      <c r="E263" s="3">
        <v>50</v>
      </c>
      <c r="F263" s="3">
        <f t="shared" ref="F263:F268" si="23">D263*E263</f>
        <v>4450</v>
      </c>
      <c r="G263" s="3">
        <f t="shared" ref="G263:G268" si="24">IF(D263&gt;=50,F263*0.2,IF(D263&gt;30,F263*0.5,IF(D263&gt;20,F263*0.1,0)))</f>
        <v>890</v>
      </c>
      <c r="H263" s="3">
        <f t="shared" ref="H263:H268" si="25">F263-G263</f>
        <v>3560</v>
      </c>
    </row>
    <row r="264" spans="2:8" x14ac:dyDescent="0.3">
      <c r="B264" s="3"/>
      <c r="C264" s="3" t="s">
        <v>201</v>
      </c>
      <c r="D264" s="3">
        <v>50</v>
      </c>
      <c r="E264" s="3">
        <v>45</v>
      </c>
      <c r="F264" s="3">
        <f t="shared" si="23"/>
        <v>2250</v>
      </c>
      <c r="G264" s="3">
        <f t="shared" si="24"/>
        <v>450</v>
      </c>
      <c r="H264" s="3">
        <f t="shared" si="25"/>
        <v>1800</v>
      </c>
    </row>
    <row r="265" spans="2:8" x14ac:dyDescent="0.3">
      <c r="B265" s="3"/>
      <c r="C265" s="3" t="s">
        <v>202</v>
      </c>
      <c r="D265" s="3">
        <v>30</v>
      </c>
      <c r="E265" s="3">
        <v>50</v>
      </c>
      <c r="F265" s="3">
        <f t="shared" si="23"/>
        <v>1500</v>
      </c>
      <c r="G265" s="3">
        <f t="shared" si="24"/>
        <v>150</v>
      </c>
      <c r="H265" s="3">
        <f t="shared" si="25"/>
        <v>1350</v>
      </c>
    </row>
    <row r="266" spans="2:8" x14ac:dyDescent="0.3">
      <c r="B266" s="3"/>
      <c r="C266" s="3" t="s">
        <v>203</v>
      </c>
      <c r="D266" s="3">
        <v>20</v>
      </c>
      <c r="E266" s="3">
        <v>70</v>
      </c>
      <c r="F266" s="3">
        <f t="shared" si="23"/>
        <v>1400</v>
      </c>
      <c r="G266" s="3">
        <f t="shared" si="24"/>
        <v>0</v>
      </c>
      <c r="H266" s="3">
        <f t="shared" si="25"/>
        <v>1400</v>
      </c>
    </row>
    <row r="267" spans="2:8" x14ac:dyDescent="0.3">
      <c r="B267" s="3"/>
      <c r="C267" s="3" t="s">
        <v>204</v>
      </c>
      <c r="D267" s="3">
        <v>65</v>
      </c>
      <c r="E267" s="3">
        <v>65</v>
      </c>
      <c r="F267" s="3">
        <f t="shared" si="23"/>
        <v>4225</v>
      </c>
      <c r="G267" s="3">
        <f t="shared" si="24"/>
        <v>845</v>
      </c>
      <c r="H267" s="3">
        <f t="shared" si="25"/>
        <v>3380</v>
      </c>
    </row>
    <row r="268" spans="2:8" x14ac:dyDescent="0.3">
      <c r="B268" s="3"/>
      <c r="C268" s="3" t="s">
        <v>205</v>
      </c>
      <c r="D268" s="3">
        <v>85</v>
      </c>
      <c r="E268" s="3">
        <v>12</v>
      </c>
      <c r="F268" s="3">
        <f t="shared" si="23"/>
        <v>1020</v>
      </c>
      <c r="G268" s="3">
        <f t="shared" si="24"/>
        <v>204</v>
      </c>
      <c r="H268" s="3">
        <f t="shared" si="25"/>
        <v>816</v>
      </c>
    </row>
    <row r="271" spans="2:8" x14ac:dyDescent="0.3">
      <c r="B271" s="3" t="s">
        <v>235</v>
      </c>
      <c r="C271" s="3" t="s">
        <v>236</v>
      </c>
      <c r="D271" s="3" t="s">
        <v>237</v>
      </c>
      <c r="E271" s="42" t="s">
        <v>392</v>
      </c>
    </row>
    <row r="272" spans="2:8" x14ac:dyDescent="0.3">
      <c r="B272" s="3"/>
      <c r="C272" s="29">
        <v>980000</v>
      </c>
      <c r="D272" s="8">
        <f>IF(C272&gt;100000,0.3,IF(C272&gt;=50000,0.2,IF(C272&gt;=20000,0.1)))</f>
        <v>0.3</v>
      </c>
      <c r="E272">
        <f>IF(C272&gt;=1000000,C272-C272*0.3,IF(C272&gt;=500000,C272-C272*0.2,IF(C272&gt;=100000,C272-C272*0.1)))</f>
        <v>784000</v>
      </c>
    </row>
    <row r="273" spans="1:7" x14ac:dyDescent="0.3">
      <c r="B273" s="3"/>
      <c r="C273" s="29">
        <v>345780</v>
      </c>
      <c r="D273" s="8">
        <f t="shared" ref="D273:D276" si="26">IF(C273&gt;100000,0.3,IF(C273&gt;=50000,0.2,IF(C273&gt;=20000,0.1)))</f>
        <v>0.3</v>
      </c>
      <c r="E273">
        <f t="shared" ref="E273:E276" si="27">IF(C273&gt;=1000000,C273-C273*0.3,IF(C273&gt;=500000,C273-C273*0.2,IF(C273&gt;=100000,C273-C273*0.1)))</f>
        <v>311202</v>
      </c>
    </row>
    <row r="274" spans="1:7" x14ac:dyDescent="0.3">
      <c r="B274" s="3"/>
      <c r="C274" s="29">
        <v>546580</v>
      </c>
      <c r="D274" s="8">
        <f t="shared" si="26"/>
        <v>0.3</v>
      </c>
      <c r="E274">
        <f t="shared" si="27"/>
        <v>437264</v>
      </c>
    </row>
    <row r="275" spans="1:7" x14ac:dyDescent="0.3">
      <c r="B275" s="3"/>
      <c r="C275" s="29">
        <v>99999</v>
      </c>
      <c r="D275" s="8">
        <f t="shared" si="26"/>
        <v>0.2</v>
      </c>
      <c r="E275" t="b">
        <f t="shared" si="27"/>
        <v>0</v>
      </c>
    </row>
    <row r="276" spans="1:7" x14ac:dyDescent="0.3">
      <c r="B276" s="3"/>
      <c r="C276" s="29">
        <v>5465802</v>
      </c>
      <c r="D276" s="8">
        <f t="shared" si="26"/>
        <v>0.3</v>
      </c>
      <c r="E276">
        <f t="shared" si="27"/>
        <v>3826061.4000000004</v>
      </c>
    </row>
    <row r="278" spans="1:7" x14ac:dyDescent="0.3">
      <c r="A278" s="3"/>
      <c r="B278" s="3"/>
      <c r="C278" s="3"/>
      <c r="D278" s="3"/>
      <c r="E278" s="3"/>
      <c r="F278" s="3"/>
      <c r="G278" s="3"/>
    </row>
    <row r="279" spans="1:7" x14ac:dyDescent="0.3">
      <c r="A279" s="3"/>
      <c r="B279" s="3" t="s">
        <v>393</v>
      </c>
      <c r="C279" s="3"/>
      <c r="D279" s="3"/>
      <c r="E279" s="3"/>
      <c r="F279" s="3"/>
      <c r="G279" s="3"/>
    </row>
    <row r="280" spans="1:7" x14ac:dyDescent="0.3">
      <c r="A280" s="3"/>
      <c r="B280" s="3"/>
      <c r="C280" s="3"/>
      <c r="D280" s="3"/>
      <c r="E280" s="3" t="s">
        <v>397</v>
      </c>
      <c r="F280" s="3" t="s">
        <v>244</v>
      </c>
      <c r="G280" s="3"/>
    </row>
    <row r="281" spans="1:7" x14ac:dyDescent="0.3">
      <c r="A281" s="3"/>
      <c r="B281" s="3" t="s">
        <v>394</v>
      </c>
      <c r="C281" s="3">
        <v>5</v>
      </c>
      <c r="D281" s="3"/>
      <c r="E281" s="3">
        <f>C282*C282-4*C281*C283</f>
        <v>9</v>
      </c>
      <c r="F281" s="3" t="str">
        <f>IF(E281&gt;0,"REAL AND DISTINCT",E281="REAL AND EQUAL")</f>
        <v>REAL AND DISTINCT</v>
      </c>
      <c r="G281" s="3"/>
    </row>
    <row r="282" spans="1:7" x14ac:dyDescent="0.3">
      <c r="A282" s="3"/>
      <c r="B282" s="3" t="s">
        <v>395</v>
      </c>
      <c r="C282" s="3">
        <v>7</v>
      </c>
      <c r="D282" s="3"/>
      <c r="E282" s="3"/>
      <c r="F282" s="3"/>
      <c r="G282" s="3"/>
    </row>
    <row r="283" spans="1:7" x14ac:dyDescent="0.3">
      <c r="A283" s="3"/>
      <c r="B283" s="3" t="s">
        <v>396</v>
      </c>
      <c r="C283" s="3">
        <v>2</v>
      </c>
      <c r="D283" s="3"/>
      <c r="E283" s="3"/>
      <c r="F283" s="3"/>
      <c r="G283" s="3"/>
    </row>
    <row r="285" spans="1:7" x14ac:dyDescent="0.3">
      <c r="B285" s="3" t="s">
        <v>398</v>
      </c>
      <c r="C285" s="3"/>
      <c r="D285" s="3" t="s">
        <v>399</v>
      </c>
      <c r="E285" s="3" t="s">
        <v>400</v>
      </c>
      <c r="F285" s="3" t="s">
        <v>401</v>
      </c>
    </row>
    <row r="286" spans="1:7" x14ac:dyDescent="0.3">
      <c r="B286" s="3">
        <v>50</v>
      </c>
      <c r="C286" s="3"/>
      <c r="D286" s="3">
        <v>30</v>
      </c>
      <c r="E286" s="3" t="str">
        <f>IF(OR(B286&lt;75,D286&lt;=75),"DEBBARED", "NOT DEBARRRED")</f>
        <v>DEBBARED</v>
      </c>
      <c r="F286" s="3" t="str">
        <f>IF(AND(B286&lt;=75,D286&lt;=35),"DEBBARED","NOTDEBARRED")</f>
        <v>DEBBARED</v>
      </c>
    </row>
    <row r="287" spans="1:7" x14ac:dyDescent="0.3">
      <c r="B287" s="3">
        <v>45</v>
      </c>
      <c r="C287" s="3"/>
      <c r="D287" s="3">
        <v>65</v>
      </c>
      <c r="E287" s="3" t="str">
        <f t="shared" ref="E287:E291" si="28">IF(OR(B287&lt;75,D287&lt;=75),"DEBBARED", "NOT DEBARRRED")</f>
        <v>DEBBARED</v>
      </c>
      <c r="F287" s="3" t="str">
        <f t="shared" ref="F287:F291" si="29">IF(AND(B287&lt;=75,D287&lt;=35),"DEBBARED","NOTDEBARRED")</f>
        <v>NOTDEBARRED</v>
      </c>
    </row>
    <row r="288" spans="1:7" x14ac:dyDescent="0.3">
      <c r="B288" s="3">
        <v>25</v>
      </c>
      <c r="C288" s="3"/>
      <c r="D288" s="3">
        <v>64</v>
      </c>
      <c r="E288" s="3" t="str">
        <f t="shared" si="28"/>
        <v>DEBBARED</v>
      </c>
      <c r="F288" s="3" t="str">
        <f t="shared" si="29"/>
        <v>NOTDEBARRED</v>
      </c>
    </row>
    <row r="289" spans="1:6" x14ac:dyDescent="0.3">
      <c r="B289" s="3">
        <v>84</v>
      </c>
      <c r="C289" s="3"/>
      <c r="D289" s="3">
        <v>89</v>
      </c>
      <c r="E289" s="3" t="str">
        <f t="shared" si="28"/>
        <v>NOT DEBARRRED</v>
      </c>
      <c r="F289" s="3" t="str">
        <f t="shared" si="29"/>
        <v>NOTDEBARRED</v>
      </c>
    </row>
    <row r="290" spans="1:6" x14ac:dyDescent="0.3">
      <c r="B290" s="3">
        <v>99</v>
      </c>
      <c r="C290" s="3"/>
      <c r="D290" s="3">
        <v>78</v>
      </c>
      <c r="E290" s="3" t="str">
        <f t="shared" si="28"/>
        <v>NOT DEBARRRED</v>
      </c>
      <c r="F290" s="3" t="str">
        <f t="shared" si="29"/>
        <v>NOTDEBARRED</v>
      </c>
    </row>
    <row r="291" spans="1:6" x14ac:dyDescent="0.3">
      <c r="B291" s="3">
        <v>13</v>
      </c>
      <c r="C291" s="3"/>
      <c r="D291" s="3">
        <v>5</v>
      </c>
      <c r="E291" s="3" t="str">
        <f t="shared" si="28"/>
        <v>DEBBARED</v>
      </c>
      <c r="F291" s="3" t="str">
        <f t="shared" si="29"/>
        <v>DEBBARED</v>
      </c>
    </row>
    <row r="292" spans="1:6" x14ac:dyDescent="0.3">
      <c r="B292" s="3"/>
      <c r="C292" s="3"/>
      <c r="D292" s="3"/>
      <c r="E292" s="3"/>
      <c r="F292" s="3"/>
    </row>
    <row r="295" spans="1:6" x14ac:dyDescent="0.3">
      <c r="A295" t="s">
        <v>324</v>
      </c>
      <c r="B295" t="s">
        <v>246</v>
      </c>
      <c r="C295" t="s">
        <v>402</v>
      </c>
    </row>
    <row r="296" spans="1:6" x14ac:dyDescent="0.3">
      <c r="B296">
        <v>2</v>
      </c>
      <c r="C296" t="str">
        <f>IF(AND(B296&gt;=0,MOD(B296,2)=0),"positive and even","not positive nor even")</f>
        <v>positive and even</v>
      </c>
    </row>
    <row r="297" spans="1:6" x14ac:dyDescent="0.3">
      <c r="B297">
        <v>1</v>
      </c>
      <c r="C297" t="str">
        <f t="shared" ref="C297:C300" si="30">IF(AND(B297&gt;=0,MOD(B297,2)=0),"positive and even","not positive nor even")</f>
        <v>not positive nor even</v>
      </c>
    </row>
    <row r="298" spans="1:6" x14ac:dyDescent="0.3">
      <c r="B298">
        <v>5</v>
      </c>
      <c r="C298" t="str">
        <f t="shared" si="30"/>
        <v>not positive nor even</v>
      </c>
    </row>
    <row r="299" spans="1:6" x14ac:dyDescent="0.3">
      <c r="B299">
        <v>8</v>
      </c>
      <c r="C299" t="str">
        <f t="shared" si="30"/>
        <v>positive and even</v>
      </c>
    </row>
    <row r="300" spans="1:6" x14ac:dyDescent="0.3">
      <c r="B300">
        <v>7</v>
      </c>
      <c r="C300" t="str">
        <f t="shared" si="30"/>
        <v>not positive nor even</v>
      </c>
    </row>
    <row r="305" spans="2:9" x14ac:dyDescent="0.3">
      <c r="C305" s="3"/>
      <c r="D305" s="3"/>
      <c r="E305" s="3"/>
    </row>
    <row r="306" spans="2:9" x14ac:dyDescent="0.3">
      <c r="B306" t="s">
        <v>285</v>
      </c>
      <c r="C306" s="3" t="s">
        <v>131</v>
      </c>
      <c r="D306" s="3" t="s">
        <v>286</v>
      </c>
      <c r="E306" s="3" t="s">
        <v>287</v>
      </c>
    </row>
    <row r="307" spans="2:9" x14ac:dyDescent="0.3">
      <c r="C307" s="3" t="s">
        <v>254</v>
      </c>
      <c r="D307" s="3">
        <v>32</v>
      </c>
      <c r="E307" s="3" t="s">
        <v>273</v>
      </c>
      <c r="F307" t="s">
        <v>254</v>
      </c>
      <c r="G307" t="s">
        <v>254</v>
      </c>
      <c r="H307">
        <f>VLOOKUP(G307,C307:E311,2,0)</f>
        <v>32</v>
      </c>
      <c r="I307" t="str">
        <f>VLOOKUP(G307,C307:E311,3,0)</f>
        <v>indian</v>
      </c>
    </row>
    <row r="308" spans="2:9" x14ac:dyDescent="0.3">
      <c r="C308" s="3" t="s">
        <v>255</v>
      </c>
      <c r="D308" s="3">
        <v>34</v>
      </c>
      <c r="E308" s="3" t="s">
        <v>274</v>
      </c>
    </row>
    <row r="309" spans="2:9" x14ac:dyDescent="0.3">
      <c r="C309" s="3" t="s">
        <v>256</v>
      </c>
      <c r="D309" s="3">
        <v>36</v>
      </c>
      <c r="E309" s="3" t="s">
        <v>289</v>
      </c>
    </row>
    <row r="310" spans="2:9" x14ac:dyDescent="0.3">
      <c r="C310" s="3" t="s">
        <v>288</v>
      </c>
      <c r="D310" s="3">
        <v>38</v>
      </c>
      <c r="E310" s="3" t="s">
        <v>290</v>
      </c>
    </row>
    <row r="311" spans="2:9" x14ac:dyDescent="0.3">
      <c r="C311" s="3" t="s">
        <v>258</v>
      </c>
      <c r="D311" s="3">
        <v>40</v>
      </c>
      <c r="E311" s="3" t="s">
        <v>291</v>
      </c>
    </row>
    <row r="315" spans="2:9" x14ac:dyDescent="0.3">
      <c r="C315" t="s">
        <v>403</v>
      </c>
    </row>
    <row r="333" spans="3:3" x14ac:dyDescent="0.3">
      <c r="C333" t="s">
        <v>404</v>
      </c>
    </row>
    <row r="337" spans="3:13" x14ac:dyDescent="0.3">
      <c r="C337" s="3"/>
      <c r="D337" s="9" t="s">
        <v>318</v>
      </c>
      <c r="E337" s="9" t="s">
        <v>319</v>
      </c>
    </row>
    <row r="338" spans="3:13" x14ac:dyDescent="0.3">
      <c r="C338" s="3"/>
      <c r="D338" s="3">
        <v>10000</v>
      </c>
      <c r="E338" s="3">
        <v>10</v>
      </c>
    </row>
    <row r="339" spans="3:13" x14ac:dyDescent="0.3">
      <c r="C339" s="3"/>
      <c r="D339" s="3">
        <v>20000</v>
      </c>
      <c r="E339" s="3">
        <v>20</v>
      </c>
      <c r="F339">
        <v>20000</v>
      </c>
      <c r="G339">
        <f>VLOOKUP(D338,D338:E346,1,1)</f>
        <v>10000</v>
      </c>
      <c r="H339">
        <f>VLOOKUP(D338,D338:E346,2,1)</f>
        <v>10</v>
      </c>
    </row>
    <row r="340" spans="3:13" x14ac:dyDescent="0.3">
      <c r="C340" s="3"/>
      <c r="D340" s="3">
        <v>30000</v>
      </c>
      <c r="E340" s="3">
        <v>30</v>
      </c>
    </row>
    <row r="341" spans="3:13" x14ac:dyDescent="0.3">
      <c r="C341" s="3"/>
      <c r="D341" s="3">
        <v>40000</v>
      </c>
      <c r="E341" s="3">
        <v>40</v>
      </c>
    </row>
    <row r="342" spans="3:13" x14ac:dyDescent="0.3">
      <c r="C342" s="3"/>
      <c r="D342" s="3">
        <v>50000</v>
      </c>
      <c r="E342" s="3">
        <v>50</v>
      </c>
    </row>
    <row r="343" spans="3:13" x14ac:dyDescent="0.3">
      <c r="C343" s="3"/>
      <c r="D343" s="3">
        <v>60000</v>
      </c>
      <c r="E343" s="3">
        <v>60</v>
      </c>
    </row>
    <row r="344" spans="3:13" x14ac:dyDescent="0.3">
      <c r="C344" s="3"/>
      <c r="D344" s="3">
        <v>70000</v>
      </c>
      <c r="E344" s="3">
        <v>70</v>
      </c>
    </row>
    <row r="345" spans="3:13" x14ac:dyDescent="0.3">
      <c r="C345" s="3"/>
      <c r="D345" s="3">
        <v>80000</v>
      </c>
      <c r="E345" s="3">
        <v>80</v>
      </c>
    </row>
    <row r="346" spans="3:13" x14ac:dyDescent="0.3">
      <c r="C346" s="3"/>
      <c r="D346" s="3">
        <v>90000</v>
      </c>
      <c r="E346" s="3">
        <v>90</v>
      </c>
    </row>
    <row r="350" spans="3:13" x14ac:dyDescent="0.3">
      <c r="C350" s="33"/>
      <c r="D350" s="33" t="s">
        <v>131</v>
      </c>
      <c r="E350" s="33" t="s">
        <v>254</v>
      </c>
      <c r="F350" s="33" t="s">
        <v>255</v>
      </c>
      <c r="G350" s="33" t="s">
        <v>256</v>
      </c>
      <c r="H350" s="33" t="s">
        <v>288</v>
      </c>
      <c r="I350" s="33" t="s">
        <v>258</v>
      </c>
      <c r="J350" s="33" t="s">
        <v>259</v>
      </c>
      <c r="K350" s="33" t="s">
        <v>321</v>
      </c>
      <c r="L350" s="33" t="s">
        <v>322</v>
      </c>
      <c r="M350" s="33" t="s">
        <v>323</v>
      </c>
    </row>
    <row r="351" spans="3:13" x14ac:dyDescent="0.3">
      <c r="C351" s="33"/>
      <c r="D351" s="33" t="s">
        <v>286</v>
      </c>
      <c r="E351" s="33">
        <v>28</v>
      </c>
      <c r="F351" s="33">
        <v>25</v>
      </c>
      <c r="G351" s="33">
        <v>29</v>
      </c>
      <c r="H351" s="33">
        <v>45</v>
      </c>
      <c r="I351" s="33">
        <v>44</v>
      </c>
      <c r="J351" s="33">
        <v>19</v>
      </c>
      <c r="K351" s="33">
        <v>20</v>
      </c>
      <c r="L351" s="33">
        <v>47</v>
      </c>
      <c r="M351" s="33">
        <v>52</v>
      </c>
    </row>
    <row r="353" spans="3:7" x14ac:dyDescent="0.3">
      <c r="D353" t="s">
        <v>255</v>
      </c>
    </row>
    <row r="354" spans="3:7" x14ac:dyDescent="0.3">
      <c r="D354" t="s">
        <v>288</v>
      </c>
    </row>
    <row r="355" spans="3:7" x14ac:dyDescent="0.3">
      <c r="D355">
        <f>HLOOKUP(D353,E350:M351,2,0)</f>
        <v>25</v>
      </c>
    </row>
    <row r="360" spans="3:7" x14ac:dyDescent="0.3">
      <c r="D360" s="3" t="s">
        <v>326</v>
      </c>
      <c r="E360" s="3" t="s">
        <v>327</v>
      </c>
      <c r="F360" s="3" t="s">
        <v>318</v>
      </c>
      <c r="G360" s="3" t="s">
        <v>270</v>
      </c>
    </row>
    <row r="361" spans="3:7" x14ac:dyDescent="0.3">
      <c r="C361" t="s">
        <v>324</v>
      </c>
      <c r="D361" s="3">
        <v>10245</v>
      </c>
      <c r="E361" s="3" t="s">
        <v>328</v>
      </c>
      <c r="F361" s="3">
        <v>11771</v>
      </c>
      <c r="G361" s="3">
        <v>45</v>
      </c>
    </row>
    <row r="362" spans="3:7" x14ac:dyDescent="0.3">
      <c r="D362" s="3">
        <v>10246</v>
      </c>
      <c r="E362" s="3" t="s">
        <v>329</v>
      </c>
      <c r="F362" s="3">
        <v>13046</v>
      </c>
      <c r="G362" s="3">
        <v>32</v>
      </c>
    </row>
    <row r="363" spans="3:7" x14ac:dyDescent="0.3">
      <c r="D363" s="3">
        <v>10247</v>
      </c>
      <c r="E363" s="3" t="s">
        <v>330</v>
      </c>
      <c r="F363" s="3">
        <v>18276</v>
      </c>
      <c r="G363" s="3">
        <v>54</v>
      </c>
    </row>
    <row r="364" spans="3:7" x14ac:dyDescent="0.3">
      <c r="D364" s="3">
        <v>10248</v>
      </c>
      <c r="E364" s="3" t="s">
        <v>331</v>
      </c>
      <c r="F364" s="3">
        <v>18966</v>
      </c>
      <c r="G364" s="3">
        <v>26</v>
      </c>
    </row>
    <row r="365" spans="3:7" x14ac:dyDescent="0.3">
      <c r="D365" s="3">
        <v>10249</v>
      </c>
      <c r="E365" s="3" t="s">
        <v>332</v>
      </c>
      <c r="F365" s="3">
        <v>54578</v>
      </c>
      <c r="G365" s="3">
        <v>47</v>
      </c>
    </row>
    <row r="366" spans="3:7" x14ac:dyDescent="0.3">
      <c r="D366" s="3">
        <v>10250</v>
      </c>
      <c r="E366" s="3" t="s">
        <v>333</v>
      </c>
      <c r="F366" s="3">
        <v>65897</v>
      </c>
      <c r="G366" s="3">
        <v>54</v>
      </c>
    </row>
    <row r="367" spans="3:7" x14ac:dyDescent="0.3">
      <c r="D367" s="3">
        <v>10251</v>
      </c>
      <c r="E367" s="3" t="s">
        <v>289</v>
      </c>
      <c r="F367" s="3">
        <v>12354</v>
      </c>
      <c r="G367" s="3">
        <v>26</v>
      </c>
    </row>
    <row r="368" spans="3:7" x14ac:dyDescent="0.3">
      <c r="D368" s="3">
        <v>10252</v>
      </c>
      <c r="E368" s="3" t="s">
        <v>334</v>
      </c>
      <c r="F368" s="3">
        <v>45698</v>
      </c>
      <c r="G368" s="3">
        <v>27</v>
      </c>
    </row>
    <row r="372" spans="1:7" x14ac:dyDescent="0.3">
      <c r="D372" t="str">
        <f>LOOKUP(D361,D361:E368)</f>
        <v>berlin</v>
      </c>
      <c r="E372">
        <f>LOOKUP(D361,D361:D368)</f>
        <v>10245</v>
      </c>
      <c r="F372">
        <f>LOOKUP(F361,F361:G368)</f>
        <v>45</v>
      </c>
      <c r="G372">
        <f>LOOKUP(F361,F361:F368)</f>
        <v>11771</v>
      </c>
    </row>
    <row r="374" spans="1:7" x14ac:dyDescent="0.3">
      <c r="B374">
        <f>VLOOKUP(D361,D361:G368,1,3)</f>
        <v>10245</v>
      </c>
      <c r="C374" t="str">
        <f>VLOOKUP(E361,E361:H368,1,3)</f>
        <v>bangkok</v>
      </c>
      <c r="D374">
        <f>VLOOKUP(F361,F361:I368,1,3)</f>
        <v>11771</v>
      </c>
      <c r="E374">
        <f>VLOOKUP(G361,G361:J368,1,3)</f>
        <v>26</v>
      </c>
    </row>
    <row r="380" spans="1:7" x14ac:dyDescent="0.3">
      <c r="A380" t="s">
        <v>386</v>
      </c>
    </row>
  </sheetData>
  <phoneticPr fontId="7" type="noConversion"/>
  <conditionalFormatting sqref="E51:E57">
    <cfRule type="containsText" dxfId="0" priority="1" operator="containsText" text="Monday">
      <formula>NOT(ISERROR(SEARCH("Monday",E51)))</formula>
    </cfRule>
  </conditionalFormatting>
  <dataValidations count="4">
    <dataValidation type="list" allowBlank="1" showInputMessage="1" showErrorMessage="1" sqref="E305" xr:uid="{AECCAAF9-1C14-4059-8DB2-2965C375EC8D}">
      <formula1>$D$347:$D$351</formula1>
    </dataValidation>
    <dataValidation type="list" allowBlank="1" showInputMessage="1" showErrorMessage="1" sqref="G307" xr:uid="{1D1E25C9-5A97-4444-BA6D-17D64592C6C2}">
      <formula1>$C$307:$C$311</formula1>
    </dataValidation>
    <dataValidation type="list" allowBlank="1" showInputMessage="1" showErrorMessage="1" sqref="F339" xr:uid="{F5D5788A-4B7F-4116-A5FF-B725D594D9F3}">
      <formula1>$D$338:$D$346</formula1>
    </dataValidation>
    <dataValidation type="list" allowBlank="1" showInputMessage="1" showErrorMessage="1" sqref="D353:D354" xr:uid="{F583F460-3E51-4D63-A6A3-ACFE22478E14}">
      <formula1>$E$350:$M$350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# Practise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uditya seth</dc:creator>
  <cp:lastModifiedBy>uditya seth</cp:lastModifiedBy>
  <dcterms:created xsi:type="dcterms:W3CDTF">2024-09-03T04:34:41Z</dcterms:created>
  <dcterms:modified xsi:type="dcterms:W3CDTF">2024-11-05T13:05:01Z</dcterms:modified>
</cp:coreProperties>
</file>