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C:\Users\martin.brungard\Desktop\"/>
    </mc:Choice>
  </mc:AlternateContent>
  <bookViews>
    <workbookView xWindow="32760" yWindow="32760" windowWidth="24000" windowHeight="11055" tabRatio="793"/>
  </bookViews>
  <sheets>
    <sheet name="0. Instructions" sheetId="15" r:id="rId1"/>
    <sheet name="1. Water Report Input" sheetId="6" r:id="rId2"/>
    <sheet name="2. Sparge Acidification" sheetId="5" r:id="rId3"/>
    <sheet name="3. Grain Bill Input" sheetId="14" r:id="rId4"/>
    <sheet name="4. Water Adjustment" sheetId="11" r:id="rId5"/>
    <sheet name="5. Adjustment Summary" sheetId="18" r:id="rId6"/>
  </sheets>
  <definedNames>
    <definedName name="Acid_Required">'2. Sparge Acidification'!$T$47</definedName>
    <definedName name="Acid_Required2">'2. Sparge Acidification'!$T$48</definedName>
    <definedName name="aciditytable">'3. Grain Bill Input'!$K$5:$N$17</definedName>
    <definedName name="acidtable">'4. Water Adjustment'!$T$26:$AJ$34</definedName>
    <definedName name="acidtable2">'4. Water Adjustment'!$AN$25:$BD$33</definedName>
    <definedName name="Adjvaritable">'5. Adjustment Summary'!$L$17:$R$21</definedName>
    <definedName name="alkalinity">'2. Sparge Acidification'!$B$4</definedName>
    <definedName name="colortable">'3. Grain Bill Input'!$P$28:$R$29</definedName>
    <definedName name="Desired_pH">'2. Sparge Acidification'!$B$6</definedName>
    <definedName name="dilution">'4. Water Adjustment'!$A$108:$H$109</definedName>
    <definedName name="frac">'2. Sparge Acidification'!$T$61</definedName>
    <definedName name="frac2">'2. Sparge Acidification'!$T$75</definedName>
    <definedName name="mashtable">'3. Grain Bill Input'!$M$28:$O$29</definedName>
    <definedName name="mashvaritable">'3. Grain Bill Input'!$L$31:$X$34</definedName>
    <definedName name="mg_required">'2. Sparge Acidification'!$B$12</definedName>
    <definedName name="mM_required">'2. Sparge Acidification'!$T$63</definedName>
    <definedName name="mm_required2">'2. Sparge Acidification'!$T$77</definedName>
    <definedName name="_xlnm.Print_Area" localSheetId="0">'0. Instructions'!$A$1:$K$163</definedName>
    <definedName name="_xlnm.Print_Area" localSheetId="1">'1. Water Report Input'!$A$1:$D$37</definedName>
    <definedName name="_xlnm.Print_Area" localSheetId="2">'2. Sparge Acidification'!$A$1:$E$20</definedName>
    <definedName name="_xlnm.Print_Area" localSheetId="3">'3. Grain Bill Input'!$A$1:$F$29</definedName>
    <definedName name="_xlnm.Print_Area" localSheetId="4">'4. Water Adjustment'!$A$1:$P$36</definedName>
    <definedName name="_xlnm.Print_Area" localSheetId="5">'5. Adjustment Summary'!$A$1:$I$28</definedName>
    <definedName name="profiles">'4. Water Adjustment'!$A$38:$H$103</definedName>
    <definedName name="sprgvaritable">'2. Sparge Acidification'!$H$53:$J$56</definedName>
    <definedName name="Start_pH">'2. Sparge Acidification'!$B$5</definedName>
    <definedName name="strengthtable">'4. Water Adjustment'!$T$4:$X$7</definedName>
    <definedName name="strtable">'2. Sparge Acidification'!$A$53:$E$56</definedName>
    <definedName name="strtable2">'2. Sparge Acidification'!$A$80:$E$83</definedName>
    <definedName name="table">'2. Sparge Acidification'!$A$41:$R$49</definedName>
    <definedName name="table2">'2. Sparge Acidification'!$A$68:$R$76</definedName>
    <definedName name="thresholdtable">'5. Adjustment Summary'!$O$27:$P$31</definedName>
    <definedName name="watervaritable">'4. Water Adjustment'!$T$10:$AD$13</definedName>
    <definedName name="watervaritable2">'4. Water Adjustment'!$AI$10:$AR$13</definedName>
  </definedNames>
  <calcPr calcId="152511" iterate="1"/>
</workbook>
</file>

<file path=xl/calcChain.xml><?xml version="1.0" encoding="utf-8"?>
<calcChain xmlns="http://schemas.openxmlformats.org/spreadsheetml/2006/main">
  <c r="J7" i="14" l="1"/>
  <c r="J8" i="14"/>
  <c r="J9" i="14"/>
  <c r="J10" i="14"/>
  <c r="O10" i="14"/>
  <c r="J11" i="14"/>
  <c r="J12" i="14"/>
  <c r="J13" i="14"/>
  <c r="J14" i="14"/>
  <c r="P14" i="14"/>
  <c r="J15" i="14"/>
  <c r="J16" i="14"/>
  <c r="J17" i="14"/>
  <c r="J6" i="14"/>
  <c r="AG10" i="11"/>
  <c r="D31" i="11"/>
  <c r="B27" i="18"/>
  <c r="T23" i="5"/>
  <c r="T22" i="5"/>
  <c r="A4" i="18"/>
  <c r="O8" i="14"/>
  <c r="O11" i="14"/>
  <c r="P13" i="14"/>
  <c r="B15" i="6"/>
  <c r="B4" i="5"/>
  <c r="T40" i="5"/>
  <c r="T44" i="5"/>
  <c r="T41" i="5"/>
  <c r="A40" i="5"/>
  <c r="E12" i="5" s="1"/>
  <c r="U17" i="11"/>
  <c r="AF12" i="11"/>
  <c r="U8" i="11"/>
  <c r="AF11" i="11"/>
  <c r="X35" i="11"/>
  <c r="V43" i="11" s="1"/>
  <c r="H7" i="6"/>
  <c r="R22" i="18" s="1"/>
  <c r="Z28" i="11"/>
  <c r="Z27" i="11"/>
  <c r="G8" i="11"/>
  <c r="E8" i="11"/>
  <c r="E10" i="11"/>
  <c r="D8" i="11"/>
  <c r="G6" i="11"/>
  <c r="H5" i="18"/>
  <c r="AF10" i="11"/>
  <c r="G5" i="11"/>
  <c r="R8" i="14"/>
  <c r="Q15" i="14"/>
  <c r="T30" i="5"/>
  <c r="T31" i="5"/>
  <c r="A52" i="5"/>
  <c r="B57" i="5" s="1"/>
  <c r="Z29" i="11"/>
  <c r="Z30" i="11"/>
  <c r="Z26" i="11"/>
  <c r="F10" i="5"/>
  <c r="G41" i="5" s="1"/>
  <c r="A22" i="14"/>
  <c r="R17" i="14"/>
  <c r="R16" i="14"/>
  <c r="R15" i="14"/>
  <c r="R14" i="14"/>
  <c r="R13" i="14"/>
  <c r="R12" i="14"/>
  <c r="R11" i="14"/>
  <c r="R10" i="14"/>
  <c r="R9" i="14"/>
  <c r="R7" i="14"/>
  <c r="R6" i="14"/>
  <c r="E5" i="14"/>
  <c r="L109" i="11"/>
  <c r="M109" i="11"/>
  <c r="L108" i="11"/>
  <c r="M108"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N109" i="11"/>
  <c r="N108" i="11"/>
  <c r="I15" i="6"/>
  <c r="I14" i="6"/>
  <c r="D20" i="6"/>
  <c r="C20" i="6"/>
  <c r="V17" i="11"/>
  <c r="C10" i="18"/>
  <c r="T17" i="11"/>
  <c r="C31" i="6"/>
  <c r="C30" i="6"/>
  <c r="X34" i="14"/>
  <c r="C36" i="6"/>
  <c r="C24" i="6"/>
  <c r="C25" i="6"/>
  <c r="C26" i="6"/>
  <c r="C27" i="6"/>
  <c r="C28" i="6"/>
  <c r="C29" i="6"/>
  <c r="C32" i="6"/>
  <c r="C33" i="6"/>
  <c r="C34" i="6"/>
  <c r="C35" i="6"/>
  <c r="C6" i="11"/>
  <c r="D6" i="11"/>
  <c r="E5" i="18"/>
  <c r="E6" i="11"/>
  <c r="F6" i="11"/>
  <c r="I38" i="11"/>
  <c r="J38" i="11"/>
  <c r="K38" i="11"/>
  <c r="N38" i="11"/>
  <c r="I39" i="11"/>
  <c r="J39" i="11"/>
  <c r="K39" i="11"/>
  <c r="N39" i="11"/>
  <c r="I40" i="11"/>
  <c r="J40" i="11"/>
  <c r="K40" i="11"/>
  <c r="N40" i="11"/>
  <c r="I41" i="11"/>
  <c r="J41" i="11"/>
  <c r="K41" i="11"/>
  <c r="N41" i="11"/>
  <c r="I42" i="11"/>
  <c r="J42" i="11"/>
  <c r="K42" i="11"/>
  <c r="N42" i="11"/>
  <c r="I43" i="11"/>
  <c r="J43" i="11"/>
  <c r="K43" i="11"/>
  <c r="N43" i="11"/>
  <c r="I44" i="11"/>
  <c r="J44" i="11"/>
  <c r="K44" i="11"/>
  <c r="N44" i="11"/>
  <c r="I45" i="11"/>
  <c r="J45" i="11"/>
  <c r="K45" i="11"/>
  <c r="N45" i="11"/>
  <c r="I46" i="11"/>
  <c r="J46" i="11"/>
  <c r="K46" i="11"/>
  <c r="N46" i="11"/>
  <c r="I47" i="11"/>
  <c r="J47" i="11"/>
  <c r="K47" i="11"/>
  <c r="N47" i="11"/>
  <c r="I48" i="11"/>
  <c r="J48" i="11"/>
  <c r="K48" i="11"/>
  <c r="N48" i="11"/>
  <c r="I49" i="11"/>
  <c r="J49" i="11"/>
  <c r="K49" i="11"/>
  <c r="N49" i="11"/>
  <c r="I50" i="11"/>
  <c r="J50" i="11"/>
  <c r="K50" i="11"/>
  <c r="N50" i="11"/>
  <c r="I51" i="11"/>
  <c r="J51" i="11"/>
  <c r="K51" i="11"/>
  <c r="N51" i="11"/>
  <c r="I52" i="11"/>
  <c r="J52" i="11"/>
  <c r="K52" i="11"/>
  <c r="N52" i="11"/>
  <c r="I53" i="11"/>
  <c r="J53" i="11"/>
  <c r="K53" i="11"/>
  <c r="N53" i="11"/>
  <c r="I54" i="11"/>
  <c r="J54" i="11"/>
  <c r="K54" i="11"/>
  <c r="N54" i="11"/>
  <c r="I55" i="11"/>
  <c r="J55" i="11"/>
  <c r="K55" i="11"/>
  <c r="N55" i="11"/>
  <c r="I56" i="11"/>
  <c r="J56" i="11"/>
  <c r="K56" i="11"/>
  <c r="N56" i="11"/>
  <c r="I57" i="11"/>
  <c r="J57" i="11"/>
  <c r="K57" i="11"/>
  <c r="N57" i="11"/>
  <c r="I58" i="11"/>
  <c r="J58" i="11"/>
  <c r="K58" i="11"/>
  <c r="N58" i="11"/>
  <c r="I59" i="11"/>
  <c r="J59" i="11"/>
  <c r="K59" i="11"/>
  <c r="N59" i="11"/>
  <c r="I60" i="11"/>
  <c r="J60" i="11"/>
  <c r="K60" i="11"/>
  <c r="N60" i="11"/>
  <c r="I61" i="11"/>
  <c r="J61" i="11"/>
  <c r="K61" i="11"/>
  <c r="N61" i="11"/>
  <c r="I62" i="11"/>
  <c r="J62" i="11"/>
  <c r="K62" i="11"/>
  <c r="N62" i="11"/>
  <c r="I63" i="11"/>
  <c r="J63" i="11"/>
  <c r="K63" i="11"/>
  <c r="N63" i="11"/>
  <c r="I64" i="11"/>
  <c r="J64" i="11"/>
  <c r="K64" i="11"/>
  <c r="N64" i="11"/>
  <c r="I65" i="11"/>
  <c r="J65" i="11"/>
  <c r="K65" i="11"/>
  <c r="N65" i="11"/>
  <c r="I66" i="11"/>
  <c r="J66" i="11"/>
  <c r="K66" i="11"/>
  <c r="N66" i="11"/>
  <c r="I67" i="11"/>
  <c r="J67" i="11"/>
  <c r="K67" i="11"/>
  <c r="N67" i="11"/>
  <c r="I68" i="11"/>
  <c r="J68" i="11"/>
  <c r="K68" i="11"/>
  <c r="N68" i="11"/>
  <c r="I69" i="11"/>
  <c r="J69" i="11"/>
  <c r="K69" i="11"/>
  <c r="N69" i="11"/>
  <c r="I70" i="11"/>
  <c r="J70" i="11"/>
  <c r="K70" i="11"/>
  <c r="N70" i="11"/>
  <c r="I71" i="11"/>
  <c r="J71" i="11"/>
  <c r="K71" i="11"/>
  <c r="N71" i="11"/>
  <c r="I72" i="11"/>
  <c r="J72" i="11"/>
  <c r="K72" i="11"/>
  <c r="N72" i="11"/>
  <c r="I73" i="11"/>
  <c r="J73" i="11"/>
  <c r="K73" i="11"/>
  <c r="N73" i="11"/>
  <c r="I74" i="11"/>
  <c r="J74" i="11"/>
  <c r="K74" i="11"/>
  <c r="N74" i="11"/>
  <c r="I75" i="11"/>
  <c r="J75" i="11"/>
  <c r="K75" i="11"/>
  <c r="N75" i="11"/>
  <c r="I76" i="11"/>
  <c r="J76" i="11"/>
  <c r="K76" i="11"/>
  <c r="N76" i="11"/>
  <c r="I77" i="11"/>
  <c r="J77" i="11"/>
  <c r="K77" i="11"/>
  <c r="N77" i="11"/>
  <c r="I78" i="11"/>
  <c r="J78" i="11"/>
  <c r="K78" i="11"/>
  <c r="N78" i="11"/>
  <c r="I79" i="11"/>
  <c r="J79" i="11"/>
  <c r="K79" i="11"/>
  <c r="N79" i="11"/>
  <c r="I80" i="11"/>
  <c r="J80" i="11"/>
  <c r="K80" i="11"/>
  <c r="N80" i="11"/>
  <c r="I81" i="11"/>
  <c r="J81" i="11"/>
  <c r="K81" i="11"/>
  <c r="N81" i="11"/>
  <c r="I82" i="11"/>
  <c r="J82" i="11"/>
  <c r="K82" i="11"/>
  <c r="N82" i="11"/>
  <c r="I83" i="11"/>
  <c r="J83" i="11"/>
  <c r="K83" i="11"/>
  <c r="N83" i="11"/>
  <c r="I84" i="11"/>
  <c r="J84" i="11"/>
  <c r="K84" i="11"/>
  <c r="N84" i="11"/>
  <c r="I85" i="11"/>
  <c r="J85" i="11"/>
  <c r="K85" i="11"/>
  <c r="N85" i="11"/>
  <c r="I86" i="11"/>
  <c r="J86" i="11"/>
  <c r="K86" i="11"/>
  <c r="N86" i="11"/>
  <c r="I87" i="11"/>
  <c r="J87" i="11"/>
  <c r="K87" i="11"/>
  <c r="N87" i="11"/>
  <c r="I88" i="11"/>
  <c r="J88" i="11"/>
  <c r="K88" i="11"/>
  <c r="N88" i="11"/>
  <c r="I89" i="11"/>
  <c r="J89" i="11"/>
  <c r="K89" i="11"/>
  <c r="N89" i="11"/>
  <c r="I90" i="11"/>
  <c r="J90" i="11"/>
  <c r="K90" i="11"/>
  <c r="N90" i="11"/>
  <c r="I91" i="11"/>
  <c r="J91" i="11"/>
  <c r="K91" i="11"/>
  <c r="N91" i="11"/>
  <c r="I92" i="11"/>
  <c r="J92" i="11"/>
  <c r="K92" i="11"/>
  <c r="N92" i="11"/>
  <c r="I93" i="11"/>
  <c r="J93" i="11"/>
  <c r="K93" i="11"/>
  <c r="N93" i="11"/>
  <c r="I94" i="11"/>
  <c r="J94" i="11"/>
  <c r="K94" i="11"/>
  <c r="N94" i="11"/>
  <c r="I95" i="11"/>
  <c r="J95" i="11"/>
  <c r="K95" i="11"/>
  <c r="N95" i="11"/>
  <c r="I96" i="11"/>
  <c r="J96" i="11"/>
  <c r="K96" i="11"/>
  <c r="N96" i="11"/>
  <c r="I97" i="11"/>
  <c r="J97" i="11"/>
  <c r="K97" i="11"/>
  <c r="N97" i="11"/>
  <c r="I98" i="11"/>
  <c r="J98" i="11"/>
  <c r="K98" i="11"/>
  <c r="N98" i="11"/>
  <c r="I99" i="11"/>
  <c r="J99" i="11"/>
  <c r="K99" i="11"/>
  <c r="N99" i="11"/>
  <c r="I100" i="11"/>
  <c r="J100" i="11"/>
  <c r="K100" i="11"/>
  <c r="N100" i="11"/>
  <c r="I101" i="11"/>
  <c r="J101" i="11"/>
  <c r="K101" i="11"/>
  <c r="N101" i="11"/>
  <c r="I102" i="11"/>
  <c r="J102" i="11"/>
  <c r="K102" i="11"/>
  <c r="N102" i="11"/>
  <c r="I103" i="11"/>
  <c r="J103" i="11"/>
  <c r="K103" i="11"/>
  <c r="N103" i="11"/>
  <c r="I108" i="11"/>
  <c r="J108" i="11"/>
  <c r="K108" i="11"/>
  <c r="I109" i="11"/>
  <c r="J109" i="11"/>
  <c r="K109" i="11"/>
  <c r="P16" i="14"/>
  <c r="Q16" i="14"/>
  <c r="P15" i="14"/>
  <c r="F8" i="11"/>
  <c r="F10" i="11"/>
  <c r="F11" i="11"/>
  <c r="C8" i="11"/>
  <c r="C10" i="11"/>
  <c r="AA35" i="11"/>
  <c r="AB6" i="11"/>
  <c r="AB10" i="11"/>
  <c r="U35" i="11"/>
  <c r="AB7" i="11"/>
  <c r="AB11" i="11"/>
  <c r="A13" i="6"/>
  <c r="W14" i="11"/>
  <c r="C9" i="11" s="1"/>
  <c r="Y14" i="11"/>
  <c r="E9" i="11" s="1"/>
  <c r="W7" i="11"/>
  <c r="T35" i="11"/>
  <c r="C26" i="18" s="1"/>
  <c r="I21" i="11"/>
  <c r="I13" i="18"/>
  <c r="AJ35" i="11"/>
  <c r="AF35" i="11"/>
  <c r="H28" i="11" s="1"/>
  <c r="F26" i="18" s="1"/>
  <c r="Y35" i="11"/>
  <c r="C12" i="5"/>
  <c r="T32" i="5"/>
  <c r="T42" i="5"/>
  <c r="T45" i="5"/>
  <c r="N22" i="18"/>
  <c r="A10" i="18" s="1"/>
  <c r="F5" i="18"/>
  <c r="D5" i="18"/>
  <c r="Q35" i="14"/>
  <c r="B18" i="14" s="1"/>
  <c r="W35" i="14"/>
  <c r="G10" i="11"/>
  <c r="F5" i="11"/>
  <c r="AG41" i="11"/>
  <c r="AG42" i="11"/>
  <c r="AG44" i="11"/>
  <c r="AG43" i="11"/>
  <c r="AD35" i="11"/>
  <c r="AC35" i="11"/>
  <c r="Z35" i="11"/>
  <c r="AE35" i="11"/>
  <c r="V35" i="11"/>
  <c r="V41" i="11"/>
  <c r="F29" i="11"/>
  <c r="AI35" i="11"/>
  <c r="X7" i="11"/>
  <c r="AH35" i="11"/>
  <c r="W35" i="11"/>
  <c r="V42" i="11" s="1"/>
  <c r="AB35" i="11"/>
  <c r="I24" i="11"/>
  <c r="H8" i="11"/>
  <c r="D5" i="11"/>
  <c r="Q13" i="14"/>
  <c r="P12" i="14"/>
  <c r="O9" i="14"/>
  <c r="Q7" i="14"/>
  <c r="G17" i="5"/>
  <c r="G16" i="5"/>
  <c r="G43" i="5"/>
  <c r="G44" i="5"/>
  <c r="G42" i="5"/>
  <c r="A12" i="5"/>
  <c r="H50" i="5"/>
  <c r="L50" i="5"/>
  <c r="J30" i="11" s="1"/>
  <c r="I27" i="18" s="1"/>
  <c r="B50" i="5"/>
  <c r="A31" i="11" s="1"/>
  <c r="F31" i="11"/>
  <c r="P50" i="5"/>
  <c r="K50" i="5"/>
  <c r="F50" i="5"/>
  <c r="C50" i="5"/>
  <c r="T53" i="5" s="1"/>
  <c r="J50" i="5"/>
  <c r="Q50" i="5"/>
  <c r="D50" i="5"/>
  <c r="T54" i="5" s="1"/>
  <c r="I50" i="5"/>
  <c r="O50" i="5"/>
  <c r="T24" i="5"/>
  <c r="T27" i="5"/>
  <c r="G5" i="18"/>
  <c r="H6" i="11"/>
  <c r="I5" i="18"/>
  <c r="J14" i="6"/>
  <c r="S35" i="14"/>
  <c r="I57" i="5"/>
  <c r="C7" i="5"/>
  <c r="R35" i="14"/>
  <c r="J57" i="5"/>
  <c r="O22" i="18"/>
  <c r="D13" i="18"/>
  <c r="L35" i="14"/>
  <c r="H57" i="5"/>
  <c r="T14" i="11"/>
  <c r="Q22" i="18"/>
  <c r="D14" i="18" s="1"/>
  <c r="U14" i="11"/>
  <c r="O35" i="14"/>
  <c r="C5" i="14"/>
  <c r="L22" i="18"/>
  <c r="X14" i="11"/>
  <c r="D9" i="11" s="1"/>
  <c r="V35" i="14"/>
  <c r="T35" i="14"/>
  <c r="B19" i="14" s="1"/>
  <c r="P35" i="14"/>
  <c r="D5" i="14"/>
  <c r="AA14" i="11"/>
  <c r="B18" i="11" s="1"/>
  <c r="V14" i="11"/>
  <c r="V5" i="11" s="1"/>
  <c r="G50" i="5"/>
  <c r="T35" i="5"/>
  <c r="V8" i="11"/>
  <c r="P11" i="14"/>
  <c r="O12" i="14"/>
  <c r="Q8" i="14"/>
  <c r="Q9" i="14"/>
  <c r="Q12" i="14"/>
  <c r="G29" i="11"/>
  <c r="B13" i="5"/>
  <c r="B14" i="5"/>
  <c r="F16" i="5"/>
  <c r="G31" i="11" s="1"/>
  <c r="E5" i="11"/>
  <c r="E11" i="11"/>
  <c r="C5" i="11"/>
  <c r="H5" i="11"/>
  <c r="C11" i="11"/>
  <c r="G11" i="11"/>
  <c r="Z42" i="11"/>
  <c r="G20" i="11"/>
  <c r="T43" i="5"/>
  <c r="T25" i="5"/>
  <c r="T26" i="5"/>
  <c r="D22" i="18"/>
  <c r="Q14" i="14"/>
  <c r="P10" i="14"/>
  <c r="Q6" i="14"/>
  <c r="F13" i="18"/>
  <c r="F14" i="18"/>
  <c r="I22" i="11"/>
  <c r="I25" i="11"/>
  <c r="D19" i="18"/>
  <c r="I26" i="11"/>
  <c r="D24" i="18"/>
  <c r="I29" i="11"/>
  <c r="E26" i="18"/>
  <c r="I23" i="11"/>
  <c r="E21" i="18"/>
  <c r="I19" i="11"/>
  <c r="I20" i="11"/>
  <c r="D18" i="18"/>
  <c r="D23" i="18"/>
  <c r="AA46" i="11"/>
  <c r="D20" i="18"/>
  <c r="D17" i="18"/>
  <c r="AA41" i="11"/>
  <c r="AG46" i="11"/>
  <c r="AG45" i="11"/>
  <c r="AG48" i="11"/>
  <c r="P17" i="14"/>
  <c r="AG47" i="11"/>
  <c r="H10" i="11"/>
  <c r="T34" i="5"/>
  <c r="T33" i="5"/>
  <c r="T37" i="5"/>
  <c r="T47" i="5"/>
  <c r="D10" i="11"/>
  <c r="Q17" i="14"/>
  <c r="I21" i="14"/>
  <c r="W17" i="11"/>
  <c r="K20" i="11"/>
  <c r="K19" i="11"/>
  <c r="K22" i="11"/>
  <c r="K23" i="11"/>
  <c r="K21" i="11"/>
  <c r="P7" i="14"/>
  <c r="P6" i="14"/>
  <c r="H21" i="18"/>
  <c r="D11" i="11"/>
  <c r="G20" i="18"/>
  <c r="C54" i="5"/>
  <c r="G17" i="18"/>
  <c r="AG49" i="11"/>
  <c r="G19" i="18"/>
  <c r="G18" i="18"/>
  <c r="B11" i="5"/>
  <c r="H11" i="11"/>
  <c r="A27" i="18" l="1"/>
  <c r="W41" i="11"/>
  <c r="H25" i="11"/>
  <c r="X42" i="11"/>
  <c r="X44" i="11"/>
  <c r="AA47" i="11"/>
  <c r="X46" i="11"/>
  <c r="D22" i="11"/>
  <c r="C25" i="11"/>
  <c r="W45" i="11"/>
  <c r="W48" i="11"/>
  <c r="G23" i="11"/>
  <c r="Z47" i="11"/>
  <c r="A26" i="18"/>
  <c r="W42" i="11"/>
  <c r="X43" i="11"/>
  <c r="Z41" i="11"/>
  <c r="AB41" i="11" s="1"/>
  <c r="C12" i="11" s="1"/>
  <c r="AA45" i="11"/>
  <c r="C20" i="11"/>
  <c r="AA42" i="11"/>
  <c r="AB44" i="11" s="1"/>
  <c r="W43" i="11"/>
  <c r="X45" i="11"/>
  <c r="X41" i="11"/>
  <c r="X48" i="11"/>
  <c r="G22" i="11"/>
  <c r="Z48" i="11"/>
  <c r="AB42" i="11" s="1"/>
  <c r="Z46" i="11"/>
  <c r="Z45" i="11"/>
  <c r="B26" i="18"/>
  <c r="D21" i="11"/>
  <c r="E24" i="11"/>
  <c r="H26" i="11"/>
  <c r="W5" i="11"/>
  <c r="X5" i="11"/>
  <c r="V44" i="11"/>
  <c r="C27" i="18"/>
  <c r="E31" i="11"/>
  <c r="M7" i="14"/>
  <c r="K12" i="14"/>
  <c r="W44" i="11"/>
  <c r="Y43" i="11" s="1"/>
  <c r="W46" i="11"/>
  <c r="Z44" i="11"/>
  <c r="F21" i="11"/>
  <c r="C26" i="11"/>
  <c r="E23" i="11"/>
  <c r="C18" i="14"/>
  <c r="F15" i="14" s="1"/>
  <c r="M22" i="18"/>
  <c r="X35" i="14"/>
  <c r="AC14" i="11"/>
  <c r="G45" i="5"/>
  <c r="H10" i="14"/>
  <c r="F11" i="14"/>
  <c r="AA43" i="11"/>
  <c r="Z43" i="11"/>
  <c r="AB43" i="11" s="1"/>
  <c r="AA48" i="11"/>
  <c r="W47" i="11"/>
  <c r="X47" i="11"/>
  <c r="Y46" i="11" s="1"/>
  <c r="F6" i="14"/>
  <c r="H16" i="14"/>
  <c r="H24" i="11"/>
  <c r="C19" i="11"/>
  <c r="F19" i="11"/>
  <c r="H13" i="14"/>
  <c r="U35" i="14"/>
  <c r="N10" i="14" s="1"/>
  <c r="N35" i="14"/>
  <c r="O28" i="14" s="1"/>
  <c r="P22" i="18"/>
  <c r="G13" i="18" s="1"/>
  <c r="AB14" i="11"/>
  <c r="B28" i="11" s="1"/>
  <c r="M14" i="14"/>
  <c r="M35" i="14"/>
  <c r="Z14" i="11"/>
  <c r="F9" i="11" s="1"/>
  <c r="E50" i="5"/>
  <c r="T55" i="5" s="1"/>
  <c r="D12" i="11" l="1"/>
  <c r="D13" i="11"/>
  <c r="E6" i="18" s="1"/>
  <c r="F12" i="11"/>
  <c r="F13" i="11"/>
  <c r="G6" i="18" s="1"/>
  <c r="M13" i="14"/>
  <c r="M17" i="14"/>
  <c r="F16" i="14"/>
  <c r="H8" i="14"/>
  <c r="C13" i="11"/>
  <c r="L6" i="14"/>
  <c r="K7" i="14"/>
  <c r="I7" i="14" s="1"/>
  <c r="O7" i="14" s="1"/>
  <c r="L10" i="14"/>
  <c r="Y44" i="11"/>
  <c r="Y42" i="11"/>
  <c r="N15" i="14"/>
  <c r="K8" i="14"/>
  <c r="K16" i="14"/>
  <c r="I16" i="14" s="1"/>
  <c r="O16" i="14" s="1"/>
  <c r="Y45" i="11"/>
  <c r="V46" i="11"/>
  <c r="V45" i="11"/>
  <c r="E13" i="11"/>
  <c r="F6" i="18" s="1"/>
  <c r="E12" i="11"/>
  <c r="N9" i="14"/>
  <c r="H15" i="14"/>
  <c r="H9" i="14"/>
  <c r="H14" i="14"/>
  <c r="K10" i="14"/>
  <c r="N14" i="14"/>
  <c r="H7" i="14"/>
  <c r="L8" i="14"/>
  <c r="I8" i="14" s="1"/>
  <c r="P8" i="14" s="1"/>
  <c r="L12" i="14"/>
  <c r="K14" i="14"/>
  <c r="I14" i="14" s="1"/>
  <c r="O14" i="14" s="1"/>
  <c r="H12" i="14"/>
  <c r="M9" i="14"/>
  <c r="M12" i="14"/>
  <c r="N16" i="14"/>
  <c r="N11" i="14"/>
  <c r="L14" i="14"/>
  <c r="M6" i="14"/>
  <c r="H6" i="14"/>
  <c r="K9" i="14"/>
  <c r="N13" i="14"/>
  <c r="N17" i="14"/>
  <c r="L7" i="14"/>
  <c r="L9" i="14"/>
  <c r="I9" i="14" s="1"/>
  <c r="P9" i="14" s="1"/>
  <c r="L11" i="14"/>
  <c r="K15" i="14"/>
  <c r="I15" i="14" s="1"/>
  <c r="O15" i="14" s="1"/>
  <c r="H11" i="14"/>
  <c r="M8" i="14"/>
  <c r="L15" i="14"/>
  <c r="K6" i="14"/>
  <c r="I6" i="14" s="1"/>
  <c r="N8" i="14"/>
  <c r="M15" i="14"/>
  <c r="M10" i="14"/>
  <c r="I10" i="14" s="1"/>
  <c r="Q10" i="14" s="1"/>
  <c r="N12" i="14"/>
  <c r="K13" i="14"/>
  <c r="I13" i="14" s="1"/>
  <c r="O13" i="14" s="1"/>
  <c r="L17" i="14"/>
  <c r="M11" i="14"/>
  <c r="I11" i="14" s="1"/>
  <c r="Q11" i="14" s="1"/>
  <c r="M16" i="14"/>
  <c r="L13" i="14"/>
  <c r="H17" i="14"/>
  <c r="N7" i="14"/>
  <c r="AB45" i="11"/>
  <c r="K11" i="14"/>
  <c r="F12" i="14"/>
  <c r="F14" i="14"/>
  <c r="C19" i="14"/>
  <c r="J25" i="14" s="1"/>
  <c r="F8" i="14"/>
  <c r="F7" i="14"/>
  <c r="F17" i="14"/>
  <c r="F10" i="14"/>
  <c r="F9" i="14"/>
  <c r="F13" i="14"/>
  <c r="K17" i="14"/>
  <c r="I17" i="14" s="1"/>
  <c r="O17" i="14" s="1"/>
  <c r="L16" i="14"/>
  <c r="N6" i="14"/>
  <c r="T56" i="5"/>
  <c r="T60" i="5"/>
  <c r="I17" i="11"/>
  <c r="K17" i="11"/>
  <c r="M17" i="11"/>
  <c r="Y41" i="11"/>
  <c r="D6" i="18"/>
  <c r="F10" i="18"/>
  <c r="V47" i="11"/>
  <c r="V48" i="11"/>
  <c r="P18" i="14" l="1"/>
  <c r="Q18" i="14"/>
  <c r="T58" i="5"/>
  <c r="T59" i="5"/>
  <c r="T57" i="5"/>
  <c r="I18" i="14"/>
  <c r="F19" i="14" s="1"/>
  <c r="F18" i="14" s="1"/>
  <c r="G12" i="11"/>
  <c r="G13" i="11"/>
  <c r="H6" i="18" s="1"/>
  <c r="I12" i="14"/>
  <c r="I25" i="14" s="1"/>
  <c r="K24" i="14"/>
  <c r="O6" i="14"/>
  <c r="O18" i="14" s="1"/>
  <c r="V49" i="11"/>
  <c r="V4" i="11" l="1"/>
  <c r="V6" i="11"/>
  <c r="V7" i="11"/>
  <c r="T61" i="5"/>
  <c r="AG26" i="11" l="1"/>
  <c r="W4" i="11"/>
  <c r="H29" i="11"/>
  <c r="AG29" i="11"/>
  <c r="AG31" i="11"/>
  <c r="X4" i="11"/>
  <c r="AG30" i="11"/>
  <c r="AG33" i="11"/>
  <c r="AG28" i="11"/>
  <c r="AG35" i="11" s="1"/>
  <c r="AG27" i="11"/>
  <c r="AG32" i="11"/>
  <c r="C55" i="5"/>
  <c r="T63" i="5"/>
  <c r="X6" i="11"/>
  <c r="W6" i="11"/>
  <c r="D53" i="5" l="1"/>
  <c r="M46" i="5"/>
  <c r="D54" i="5"/>
  <c r="D55" i="5"/>
  <c r="M48" i="5"/>
  <c r="M47" i="5"/>
  <c r="E53" i="5"/>
  <c r="E55" i="5"/>
  <c r="E54" i="5"/>
  <c r="O51" i="5"/>
  <c r="C53" i="5" s="1"/>
  <c r="M42" i="5" l="1"/>
  <c r="M45" i="5"/>
  <c r="M43" i="5"/>
  <c r="M44" i="5"/>
  <c r="M41" i="5"/>
  <c r="B12" i="5" l="1"/>
  <c r="M50" i="5"/>
  <c r="N42" i="5" l="1"/>
  <c r="H27" i="18"/>
  <c r="N43" i="5"/>
  <c r="N47" i="5"/>
  <c r="N45" i="5"/>
  <c r="N41" i="5"/>
  <c r="N44" i="5"/>
  <c r="K31" i="11"/>
  <c r="N48" i="5"/>
  <c r="N46" i="5"/>
  <c r="D12" i="5" l="1"/>
  <c r="N50" i="5"/>
  <c r="F24" i="14"/>
  <c r="I24" i="14"/>
  <c r="F25" i="14"/>
  <c r="I26" i="14"/>
  <c r="O29" i="14"/>
  <c r="H12" i="11"/>
  <c r="H13" i="11"/>
  <c r="B16" i="11"/>
  <c r="U16" i="11"/>
  <c r="V16" i="11"/>
  <c r="AA44" i="11"/>
  <c r="AB46" i="11"/>
  <c r="I6" i="18"/>
  <c r="C11" i="18"/>
  <c r="F11" i="18"/>
</calcChain>
</file>

<file path=xl/comments1.xml><?xml version="1.0" encoding="utf-8"?>
<comments xmlns="http://schemas.openxmlformats.org/spreadsheetml/2006/main">
  <authors>
    <author>martin.brungard</author>
    <author>Martin Brungard</author>
  </authors>
  <commentList>
    <comment ref="A3" authorId="0" shapeId="0">
      <text>
        <r>
          <rPr>
            <sz val="8"/>
            <color indexed="81"/>
            <rFont val="Tahoma"/>
            <family val="2"/>
          </rPr>
          <t>Select the preferred volume measurement for brewing calculations.  All mineral and acid additions are provided in grams and milliliters for all settings.  Grain addition settings switch to pounds and ounces when the volume setting is either gallons or barrels.  Grain addition settings switch to kilograms and grams when the volume setting is either liters or hectoliters.</t>
        </r>
      </text>
    </comment>
    <comment ref="B3" authorId="1" shapeId="0">
      <text>
        <r>
          <rPr>
            <sz val="8"/>
            <color indexed="81"/>
            <rFont val="Tahoma"/>
            <family val="2"/>
          </rPr>
          <t>Click to select: Gallons or Liters. 
Additional capability to perform calculations in Barrels, or Hectoliters is available in the Supporter's version.</t>
        </r>
        <r>
          <rPr>
            <sz val="9"/>
            <color indexed="81"/>
            <rFont val="Tahoma"/>
            <family val="2"/>
          </rPr>
          <t xml:space="preserve">
</t>
        </r>
      </text>
    </comment>
    <comment ref="A4" authorId="0" shapeId="0">
      <text>
        <r>
          <rPr>
            <sz val="9"/>
            <color indexed="81"/>
            <rFont val="Tahoma"/>
            <family val="2"/>
          </rPr>
          <t>Input data into blue and pink cells only.  Calculated data is shown in yellow cells.</t>
        </r>
      </text>
    </comment>
    <comment ref="A5" authorId="1" shapeId="0">
      <text>
        <r>
          <rPr>
            <sz val="8"/>
            <color indexed="81"/>
            <rFont val="Tahoma"/>
            <family val="2"/>
          </rPr>
          <t>Cations are postively-charged ions</t>
        </r>
        <r>
          <rPr>
            <sz val="9"/>
            <color indexed="81"/>
            <rFont val="Tahoma"/>
            <family val="2"/>
          </rPr>
          <t xml:space="preserve">
</t>
        </r>
      </text>
    </comment>
    <comment ref="B5" authorId="0" shapeId="0">
      <text>
        <r>
          <rPr>
            <sz val="8"/>
            <color indexed="81"/>
            <rFont val="Tahoma"/>
            <family val="2"/>
          </rPr>
          <t>Enter in mg/L or ppm units only.  
If concentration is given in ug/L or ppb, divide that value by 1000 before entering the value into table below.</t>
        </r>
      </text>
    </comment>
    <comment ref="D5" authorId="1" shapeId="0">
      <text>
        <r>
          <rPr>
            <sz val="8"/>
            <color indexed="81"/>
            <rFont val="Tahoma"/>
            <family val="2"/>
          </rPr>
          <t>Anions are negatively-charged ions</t>
        </r>
        <r>
          <rPr>
            <sz val="9"/>
            <color indexed="81"/>
            <rFont val="Tahoma"/>
            <family val="2"/>
          </rPr>
          <t xml:space="preserve">
</t>
        </r>
      </text>
    </comment>
    <comment ref="A6" authorId="1" shapeId="0">
      <text>
        <r>
          <rPr>
            <sz val="8"/>
            <color indexed="81"/>
            <rFont val="Tahoma"/>
            <family val="2"/>
          </rPr>
          <t>Calcium content can vary depending on the water source.  Calcium content is sometimes reported (as CaCO</t>
        </r>
        <r>
          <rPr>
            <vertAlign val="subscript"/>
            <sz val="8"/>
            <color indexed="81"/>
            <rFont val="Tahoma"/>
            <family val="2"/>
          </rPr>
          <t>3</t>
        </r>
        <r>
          <rPr>
            <sz val="8"/>
            <color indexed="81"/>
            <rFont val="Tahoma"/>
            <family val="2"/>
          </rPr>
          <t xml:space="preserve">) and must be converted to (ppm) by multiplying by 0.401 for use in this program.  
If hardness and calcium values are provided in the water report, check the Hardness results shown below and compare to the Hardness shown in the water report.  If they don't closely agree, there may be an error in the input units. Use the calculators below to try converting the calcium concentration to the proper ppm units.  </t>
        </r>
      </text>
    </comment>
    <comment ref="D6" authorId="1" shapeId="0">
      <text>
        <r>
          <rPr>
            <sz val="8"/>
            <color indexed="81"/>
            <rFont val="Tahoma"/>
            <family val="2"/>
          </rPr>
          <t>Bicarbonate is typically the predominant Alkalinity producer at typical drinking water pH between 6.5 and 10.5.   Bicarbonate is frequently reported (as CaCO</t>
        </r>
        <r>
          <rPr>
            <vertAlign val="subscript"/>
            <sz val="8"/>
            <color indexed="81"/>
            <rFont val="Tahoma"/>
            <family val="2"/>
          </rPr>
          <t>3</t>
        </r>
        <r>
          <rPr>
            <sz val="8"/>
            <color indexed="81"/>
            <rFont val="Tahoma"/>
            <family val="2"/>
          </rPr>
          <t xml:space="preserve">) units.  This must be converted to (ppm) by multiplying by 1.22 for use in this program.   If the report does not balance, check the reporting units and convert as necessary.  Check the alkalinity result below and compare to the alkalinity from the water report.  If they don't match very well, there may be a units error.  Use the calculators below.  </t>
        </r>
      </text>
    </comment>
    <comment ref="A7" authorId="1" shapeId="0">
      <text>
        <r>
          <rPr>
            <sz val="8"/>
            <color indexed="81"/>
            <rFont val="Tahoma"/>
            <family val="2"/>
          </rPr>
          <t>Magnesium is typically low in most drinking water and is almost always at lower concentration than Calcium.  Magnesium is sometimes reported (as CaCO</t>
        </r>
        <r>
          <rPr>
            <vertAlign val="subscript"/>
            <sz val="8"/>
            <color indexed="81"/>
            <rFont val="Tahoma"/>
            <family val="2"/>
          </rPr>
          <t>3</t>
        </r>
        <r>
          <rPr>
            <sz val="8"/>
            <color indexed="81"/>
            <rFont val="Tahoma"/>
            <family val="2"/>
          </rPr>
          <t>) and must be converted to (ppm) by multiplying by 0.243 for use in this program.  
If hardness and magnesium values are given in the water report, check the Hardness results shown below and compare to the Hardness shown in the water report.  If they don't closely agree, there may be an error in the input units.  Use the calculators below to try converting the magnesium concentration to proper ppm units.</t>
        </r>
      </text>
    </comment>
    <comment ref="D7" authorId="1" shapeId="0">
      <text>
        <r>
          <rPr>
            <sz val="8"/>
            <color indexed="81"/>
            <rFont val="Tahoma"/>
            <family val="2"/>
          </rPr>
          <t>Most drinking water supplies typically have a pH of less than 9.  Carbonate ion does not exist in water with pH below 8 and is a minor component in water with its pH between 8 and 9.  Carbonate may be reported in (as CaCO</t>
        </r>
        <r>
          <rPr>
            <vertAlign val="subscript"/>
            <sz val="8"/>
            <color indexed="81"/>
            <rFont val="Tahoma"/>
            <family val="2"/>
          </rPr>
          <t>3</t>
        </r>
        <r>
          <rPr>
            <sz val="8"/>
            <color indexed="81"/>
            <rFont val="Tahoma"/>
            <family val="2"/>
          </rPr>
          <t>) units and must be converted to (ppm) by multiplying by 0.60 for use in this program.   If the water supply pH is below 9, Carbonate can be assumed to be</t>
        </r>
        <r>
          <rPr>
            <b/>
            <sz val="8"/>
            <color indexed="81"/>
            <rFont val="Tahoma"/>
            <family val="2"/>
          </rPr>
          <t xml:space="preserve"> Zero</t>
        </r>
        <r>
          <rPr>
            <sz val="8"/>
            <color indexed="81"/>
            <rFont val="Tahoma"/>
            <family val="2"/>
          </rPr>
          <t xml:space="preserve"> with little error.  This is a component that can be ignored if the concentration is unknown.
This Carbonate concentration is converted by the program to an equivalent Bicarbonate concentration for subsequent calculations.</t>
        </r>
      </text>
    </comment>
    <comment ref="A8" authorId="1" shapeId="0">
      <text>
        <r>
          <rPr>
            <sz val="8"/>
            <color indexed="81"/>
            <rFont val="Tahoma"/>
            <family val="2"/>
          </rPr>
          <t>Sodium content in drinking water is highly variable.  Low to moderate sodium is an important factor in producing good beer.  This is a component that should not be ignored.</t>
        </r>
      </text>
    </comment>
    <comment ref="D8" authorId="1" shapeId="0">
      <text>
        <r>
          <rPr>
            <sz val="8"/>
            <color indexed="81"/>
            <rFont val="Tahoma"/>
            <family val="2"/>
          </rPr>
          <t>Sulfate is an important flavor component in brewing water.  If the water report result is presented in (SO</t>
        </r>
        <r>
          <rPr>
            <vertAlign val="subscript"/>
            <sz val="8"/>
            <color indexed="81"/>
            <rFont val="Tahoma"/>
            <family val="2"/>
          </rPr>
          <t>4</t>
        </r>
        <r>
          <rPr>
            <sz val="8"/>
            <color indexed="81"/>
            <rFont val="Tahoma"/>
            <family val="2"/>
          </rPr>
          <t>-S) units, that value must be multiplied by 3 for use in this program.  Use the calculator below to convert from SO</t>
        </r>
        <r>
          <rPr>
            <vertAlign val="subscript"/>
            <sz val="8"/>
            <color indexed="81"/>
            <rFont val="Tahoma"/>
            <family val="2"/>
          </rPr>
          <t>4</t>
        </r>
        <r>
          <rPr>
            <sz val="8"/>
            <color indexed="81"/>
            <rFont val="Tahoma"/>
            <family val="2"/>
          </rPr>
          <t>-S units to SO</t>
        </r>
        <r>
          <rPr>
            <vertAlign val="subscript"/>
            <sz val="8"/>
            <color indexed="81"/>
            <rFont val="Tahoma"/>
            <family val="2"/>
          </rPr>
          <t>4</t>
        </r>
        <r>
          <rPr>
            <sz val="8"/>
            <color indexed="81"/>
            <rFont val="Tahoma"/>
            <family val="2"/>
          </rPr>
          <t xml:space="preserve"> units.  </t>
        </r>
      </text>
    </comment>
    <comment ref="F8" authorId="0" shapeId="0">
      <text>
        <r>
          <rPr>
            <sz val="8"/>
            <color indexed="81"/>
            <rFont val="Tahoma"/>
            <family val="2"/>
          </rPr>
          <t>Some laboratories cater to agricultural clients and those clients are more interested in the total Sulfur content.  They report in terms of 'Sulfate as Sulphur which is denoted 'SO4-S".  The Brewer needs to convert that result to its true sulfate concentration by multiplying the SO4-S result by 3.</t>
        </r>
      </text>
    </comment>
    <comment ref="D9" authorId="1" shapeId="0">
      <text>
        <r>
          <rPr>
            <b/>
            <sz val="8"/>
            <color indexed="81"/>
            <rFont val="Tahoma"/>
            <family val="2"/>
          </rPr>
          <t xml:space="preserve">Chloride </t>
        </r>
        <r>
          <rPr>
            <sz val="8"/>
            <color indexed="81"/>
            <rFont val="Tahoma"/>
            <family val="2"/>
          </rPr>
          <t xml:space="preserve">is an important flavor component in brewing water.  It is not the same as </t>
        </r>
        <r>
          <rPr>
            <b/>
            <sz val="8"/>
            <color indexed="81"/>
            <rFont val="Tahoma"/>
            <family val="2"/>
          </rPr>
          <t>Chlorine</t>
        </r>
        <r>
          <rPr>
            <sz val="8"/>
            <color indexed="81"/>
            <rFont val="Tahoma"/>
            <family val="2"/>
          </rPr>
          <t>.  Do not enter Chlorine concentration here.  Chlorine is a common water disinfectant and typically ranges from about 1 to 3 ppm in most municipal water supplies.   Chloride concentration is typically higher than that.</t>
        </r>
      </text>
    </comment>
    <comment ref="D10" authorId="1" shapeId="0">
      <text>
        <r>
          <rPr>
            <sz val="8"/>
            <color indexed="81"/>
            <rFont val="Tahoma"/>
            <family val="2"/>
          </rPr>
          <t>Nitrate is typically low in most drinking water.  If the result is presented in (NO</t>
        </r>
        <r>
          <rPr>
            <vertAlign val="subscript"/>
            <sz val="8"/>
            <color indexed="81"/>
            <rFont val="Tahoma"/>
            <family val="2"/>
          </rPr>
          <t>3</t>
        </r>
        <r>
          <rPr>
            <sz val="8"/>
            <color indexed="81"/>
            <rFont val="Tahoma"/>
            <family val="2"/>
          </rPr>
          <t>-N) units, it must be multiplied by 4.43 for use in this program.  
Enter</t>
        </r>
        <r>
          <rPr>
            <b/>
            <sz val="8"/>
            <color indexed="81"/>
            <rFont val="Tahoma"/>
            <family val="2"/>
          </rPr>
          <t xml:space="preserve"> Zero</t>
        </r>
        <r>
          <rPr>
            <sz val="8"/>
            <color indexed="81"/>
            <rFont val="Tahoma"/>
            <family val="2"/>
          </rPr>
          <t xml:space="preserve"> if this concentration is not known.  This is a component that can be ignored if its concentration is unknown.
Nitrate should typically be less than 44 ppm for potable water.
This ion is not used for brewing calculations, but may be useful for assessing the balance of cations and anions.</t>
        </r>
      </text>
    </comment>
    <comment ref="F10" authorId="0" shapeId="0">
      <text>
        <r>
          <rPr>
            <sz val="8"/>
            <color indexed="81"/>
            <rFont val="Tahoma"/>
            <family val="2"/>
          </rPr>
          <t>Some laboratories cater to agricultural clients and those clients are more interested in the total Nitrogen content.  They report in terms of 'Nitrate as Nitrogen which is denoted 'NO3-N".  The Brewer needs to convert that result to its true nitrate concentration by multiplying the NO3-N result by 4.43.</t>
        </r>
      </text>
    </comment>
    <comment ref="A11" authorId="1" shapeId="0">
      <text>
        <r>
          <rPr>
            <sz val="8"/>
            <color indexed="81"/>
            <rFont val="Tahoma"/>
            <family val="2"/>
          </rPr>
          <t>Potassium is typically low in most drinking water.  If the Potassium content is unknown, enter</t>
        </r>
        <r>
          <rPr>
            <b/>
            <sz val="8"/>
            <color indexed="81"/>
            <rFont val="Tahoma"/>
            <family val="2"/>
          </rPr>
          <t xml:space="preserve"> Zero</t>
        </r>
        <r>
          <rPr>
            <sz val="8"/>
            <color indexed="81"/>
            <rFont val="Tahoma"/>
            <family val="2"/>
          </rPr>
          <t>.  This is a water component that can be ignored for most water sources.
This ion is not used for brewing calculations, but may be useful for assessing the balance of cations and anions.</t>
        </r>
      </text>
    </comment>
    <comment ref="D11" authorId="1" shapeId="0">
      <text>
        <r>
          <rPr>
            <sz val="8"/>
            <color indexed="81"/>
            <rFont val="Tahoma"/>
            <family val="2"/>
          </rPr>
          <t xml:space="preserve">Nitrite is typically low in most drinking water.  
Enter </t>
        </r>
        <r>
          <rPr>
            <b/>
            <sz val="8"/>
            <color indexed="81"/>
            <rFont val="Tahoma"/>
            <family val="2"/>
          </rPr>
          <t>Zero</t>
        </r>
        <r>
          <rPr>
            <sz val="8"/>
            <color indexed="81"/>
            <rFont val="Tahoma"/>
            <family val="2"/>
          </rPr>
          <t xml:space="preserve"> if this concentration is not known.  This is a component that can be ignored if its concentration is unknown.
This ion is not used for brewing calculations, but may be useful for assessing the balance of cations and anions.</t>
        </r>
      </text>
    </comment>
    <comment ref="A12" authorId="1" shapeId="0">
      <text>
        <r>
          <rPr>
            <sz val="8"/>
            <color indexed="81"/>
            <rFont val="Tahoma"/>
            <family val="2"/>
          </rPr>
          <t xml:space="preserve">Iron is typically at low concentration (&lt;0.3 ppm) in good brewing water.  Iron greater than this concentration may be tasted in the water and beer.  If the Iron concentration is not known, enter </t>
        </r>
        <r>
          <rPr>
            <b/>
            <sz val="8"/>
            <color indexed="81"/>
            <rFont val="Tahoma"/>
            <family val="2"/>
          </rPr>
          <t>Zero</t>
        </r>
        <r>
          <rPr>
            <sz val="8"/>
            <color indexed="81"/>
            <rFont val="Tahoma"/>
            <family val="2"/>
          </rPr>
          <t xml:space="preserve">.  This is a water component that can be ignored in this input table if its concentration is not known.  
Iron concentration is often reported as ug/L, ppb, or parts per billion.  Divide iron reported as ug/L or ppb by 1000 to convert to mg/L or ppm.  1000 ug/L is equal to 1 mg/L. 
</t>
        </r>
        <r>
          <rPr>
            <b/>
            <sz val="8"/>
            <color indexed="81"/>
            <rFont val="Tahoma"/>
            <family val="2"/>
          </rPr>
          <t xml:space="preserve">
If the reported Iron concentration is greater than 1, then the reporting units may need to be converted.
</t>
        </r>
        <r>
          <rPr>
            <sz val="8"/>
            <color indexed="81"/>
            <rFont val="Tahoma"/>
            <family val="2"/>
          </rPr>
          <t>This ion is not used for brewing calculations, but may be useful for assessing the balance of cations and anions.</t>
        </r>
      </text>
    </comment>
    <comment ref="D12" authorId="1" shapeId="0">
      <text>
        <r>
          <rPr>
            <sz val="8"/>
            <color indexed="81"/>
            <rFont val="Tahoma"/>
            <family val="2"/>
          </rPr>
          <t xml:space="preserve">Fluoride is typically at low concentrations in drinking water.  
Enter </t>
        </r>
        <r>
          <rPr>
            <b/>
            <sz val="8"/>
            <color indexed="81"/>
            <rFont val="Tahoma"/>
            <family val="2"/>
          </rPr>
          <t>Zero</t>
        </r>
        <r>
          <rPr>
            <sz val="8"/>
            <color indexed="81"/>
            <rFont val="Tahoma"/>
            <family val="2"/>
          </rPr>
          <t xml:space="preserve"> if the concentration is not known.  This is a component that can be ignored if its concentration is unknown.
This ion is not used for brewing calculations, but may be useful for assessing the balance of cations and anions.</t>
        </r>
      </text>
    </comment>
    <comment ref="A13" authorId="1" shapeId="0">
      <text>
        <r>
          <rPr>
            <sz val="9"/>
            <color indexed="81"/>
            <rFont val="Tahoma"/>
            <family val="2"/>
          </rPr>
          <t>This warning tells you if the input ion concentrations are faulty. This warning is likely to display until all of the ion concentrations are input. The warning should disappear when the final entries are complete.
If the warning does not disappear, double check your inputs and their values. Make sure that all conversions were performed correctly.</t>
        </r>
      </text>
    </comment>
    <comment ref="A18" authorId="0" shapeId="0">
      <text>
        <r>
          <rPr>
            <sz val="8"/>
            <color indexed="81"/>
            <rFont val="Tahoma"/>
            <family val="2"/>
          </rPr>
          <t>Total Alkalinity and Temporary Hardness are typically equal to each other and can be used to estimate bicarbonate content.</t>
        </r>
        <r>
          <rPr>
            <sz val="9"/>
            <color indexed="81"/>
            <rFont val="Tahoma"/>
            <family val="2"/>
          </rPr>
          <t xml:space="preserve">
</t>
        </r>
      </text>
    </comment>
    <comment ref="B20" authorId="1" shapeId="0">
      <text>
        <r>
          <rPr>
            <sz val="8"/>
            <color indexed="81"/>
            <rFont val="Tahoma"/>
            <family val="2"/>
          </rPr>
          <t xml:space="preserve">If pH is unknown, ENTER 8
This value is NOT used anywhere else in the program is only used to calculate the relative concentrations of bicarbonate and carbonate ions.
To find the equivalent Carbonate concentration for a reported Alkalinity, set the pH to </t>
        </r>
        <r>
          <rPr>
            <b/>
            <sz val="8"/>
            <color indexed="81"/>
            <rFont val="Tahoma"/>
            <family val="2"/>
          </rPr>
          <t xml:space="preserve">14.  Reporting as Carbonate is common in some countries.  
</t>
        </r>
        <r>
          <rPr>
            <sz val="8"/>
            <color indexed="81"/>
            <rFont val="Tahoma"/>
            <family val="2"/>
          </rPr>
          <t>To find the equivalent Bicarbonate concentration for a reported Alkalinity, set the pH value to</t>
        </r>
        <r>
          <rPr>
            <b/>
            <sz val="8"/>
            <color indexed="81"/>
            <rFont val="Tahoma"/>
            <family val="2"/>
          </rPr>
          <t xml:space="preserve"> 6 or less.</t>
        </r>
      </text>
    </comment>
    <comment ref="C20" authorId="1" shapeId="0">
      <text>
        <r>
          <rPr>
            <sz val="8"/>
            <color indexed="81"/>
            <rFont val="Tahoma"/>
            <family val="2"/>
          </rPr>
          <t>Enter this result in the Bicarbonate cell above.</t>
        </r>
      </text>
    </comment>
    <comment ref="D20" authorId="1" shapeId="0">
      <text>
        <r>
          <rPr>
            <sz val="8"/>
            <color indexed="81"/>
            <rFont val="Tahoma"/>
            <family val="2"/>
          </rPr>
          <t>Enter this result in the Carbonate cell above.</t>
        </r>
      </text>
    </comment>
    <comment ref="A22" authorId="0" shapeId="0">
      <text>
        <r>
          <rPr>
            <sz val="8"/>
            <color indexed="81"/>
            <rFont val="Tahoma"/>
            <family val="2"/>
          </rPr>
          <t>Use this calculator to convert water report results that are given in (as CaCO</t>
        </r>
        <r>
          <rPr>
            <vertAlign val="subscript"/>
            <sz val="8"/>
            <color indexed="81"/>
            <rFont val="Tahoma"/>
            <family val="2"/>
          </rPr>
          <t>3</t>
        </r>
        <r>
          <rPr>
            <sz val="8"/>
            <color indexed="81"/>
            <rFont val="Tahoma"/>
            <family val="2"/>
          </rPr>
          <t>), (SO</t>
        </r>
        <r>
          <rPr>
            <vertAlign val="subscript"/>
            <sz val="8"/>
            <color indexed="81"/>
            <rFont val="Tahoma"/>
            <family val="2"/>
          </rPr>
          <t>4</t>
        </r>
        <r>
          <rPr>
            <sz val="8"/>
            <color indexed="81"/>
            <rFont val="Tahoma"/>
            <family val="2"/>
          </rPr>
          <t>-S), or (NO</t>
        </r>
        <r>
          <rPr>
            <vertAlign val="subscript"/>
            <sz val="8"/>
            <color indexed="81"/>
            <rFont val="Tahoma"/>
            <family val="2"/>
          </rPr>
          <t>3</t>
        </r>
        <r>
          <rPr>
            <sz val="8"/>
            <color indexed="81"/>
            <rFont val="Tahoma"/>
            <family val="2"/>
          </rPr>
          <t xml:space="preserve">-N) units into their actual ion concentrations in ppm for use in the </t>
        </r>
        <r>
          <rPr>
            <b/>
            <sz val="8"/>
            <color indexed="81"/>
            <rFont val="Tahoma"/>
            <family val="2"/>
          </rPr>
          <t>Water Report Input</t>
        </r>
        <r>
          <rPr>
            <sz val="8"/>
            <color indexed="81"/>
            <rFont val="Tahoma"/>
            <family val="2"/>
          </rPr>
          <t xml:space="preserve"> section above.</t>
        </r>
      </text>
    </comment>
    <comment ref="D35" authorId="0" shapeId="0">
      <text>
        <r>
          <rPr>
            <sz val="8"/>
            <color indexed="81"/>
            <rFont val="Tahoma"/>
            <family val="2"/>
          </rPr>
          <t>This approximation is only valid when water pH is less than 8.5.</t>
        </r>
      </text>
    </comment>
  </commentList>
</comments>
</file>

<file path=xl/comments2.xml><?xml version="1.0" encoding="utf-8"?>
<comments xmlns="http://schemas.openxmlformats.org/spreadsheetml/2006/main">
  <authors>
    <author>martin.brungard</author>
    <author>Martin Brungard</author>
  </authors>
  <commentList>
    <comment ref="A2" authorId="0" shapeId="0">
      <text>
        <r>
          <rPr>
            <sz val="8"/>
            <color indexed="81"/>
            <rFont val="Tahoma"/>
            <family val="2"/>
          </rPr>
          <t>Use this tool for acidification of Sparging Water and Mash Out Water.</t>
        </r>
      </text>
    </comment>
    <comment ref="B4" authorId="1" shapeId="0">
      <text>
        <r>
          <rPr>
            <sz val="8"/>
            <color indexed="81"/>
            <rFont val="Tahoma"/>
            <family val="2"/>
          </rPr>
          <t>This value is taken from the Alkalinity value calculated on the Water Report Input sheet.  Use the water inputs on that sheet to adjust this Alkalinity value.
This cell turns</t>
        </r>
        <r>
          <rPr>
            <b/>
            <sz val="8"/>
            <color indexed="17"/>
            <rFont val="Tahoma"/>
            <family val="2"/>
          </rPr>
          <t xml:space="preserve"> Green</t>
        </r>
        <r>
          <rPr>
            <sz val="8"/>
            <color indexed="81"/>
            <rFont val="Tahoma"/>
            <family val="2"/>
          </rPr>
          <t xml:space="preserve"> if the Starting Water Alkalinity input is less than 25 ppm.  That indicates that sparging water acidification is not needed.
If diluting the Starting Water with RO or distilled water, the resulting alkalinity will need to be manually adjusted on the Water Report Input sheet. That function is built in to the Supporter's version.</t>
        </r>
      </text>
    </comment>
    <comment ref="B5" authorId="1" shapeId="0">
      <text>
        <r>
          <rPr>
            <sz val="8"/>
            <color indexed="81"/>
            <rFont val="Tahoma"/>
            <family val="2"/>
          </rPr>
          <t xml:space="preserve">Starting pH of the water may be provided by the water company, lab report, or can be measured directly with test strips or pH meter.  If this value is unknown, enter </t>
        </r>
        <r>
          <rPr>
            <b/>
            <sz val="8"/>
            <color indexed="81"/>
            <rFont val="Tahoma"/>
            <family val="2"/>
          </rPr>
          <t>8</t>
        </r>
        <r>
          <rPr>
            <sz val="8"/>
            <color indexed="81"/>
            <rFont val="Tahoma"/>
            <family val="2"/>
          </rPr>
          <t xml:space="preserve"> as a good estimate of typical water pH.</t>
        </r>
      </text>
    </comment>
    <comment ref="B6" authorId="1" shapeId="0">
      <text>
        <r>
          <rPr>
            <sz val="8"/>
            <color indexed="81"/>
            <rFont val="Tahoma"/>
            <family val="2"/>
          </rPr>
          <t xml:space="preserve">This is the </t>
        </r>
        <r>
          <rPr>
            <b/>
            <sz val="8"/>
            <color indexed="81"/>
            <rFont val="Tahoma"/>
            <family val="2"/>
          </rPr>
          <t>PRIMARY ADJUSTMENT</t>
        </r>
        <r>
          <rPr>
            <sz val="8"/>
            <color indexed="81"/>
            <rFont val="Tahoma"/>
            <family val="2"/>
          </rPr>
          <t xml:space="preserve"> used in sparging water acidification. Enter the target water pH of the Sparge Water.
Brewing Sparge Water is usually neutralized to a pH between</t>
        </r>
        <r>
          <rPr>
            <b/>
            <sz val="8"/>
            <color indexed="81"/>
            <rFont val="Tahoma"/>
            <family val="2"/>
          </rPr>
          <t xml:space="preserve"> 5.5 </t>
        </r>
        <r>
          <rPr>
            <sz val="8"/>
            <color indexed="81"/>
            <rFont val="Tahoma"/>
            <family val="2"/>
          </rPr>
          <t xml:space="preserve">and </t>
        </r>
        <r>
          <rPr>
            <b/>
            <sz val="8"/>
            <color indexed="81"/>
            <rFont val="Tahoma"/>
            <family val="2"/>
          </rPr>
          <t xml:space="preserve">6.0
</t>
        </r>
        <r>
          <rPr>
            <sz val="8"/>
            <color indexed="81"/>
            <rFont val="Tahoma"/>
            <family val="2"/>
          </rPr>
          <t xml:space="preserve">
Use the </t>
        </r>
        <r>
          <rPr>
            <b/>
            <sz val="8"/>
            <color indexed="81"/>
            <rFont val="Tahoma"/>
            <family val="2"/>
          </rPr>
          <t>Final Water Alkalinity</t>
        </r>
        <r>
          <rPr>
            <sz val="8"/>
            <color indexed="81"/>
            <rFont val="Tahoma"/>
            <family val="2"/>
          </rPr>
          <t xml:space="preserve"> result below to assess if the </t>
        </r>
        <r>
          <rPr>
            <b/>
            <sz val="8"/>
            <color indexed="81"/>
            <rFont val="Tahoma"/>
            <family val="2"/>
          </rPr>
          <t>Desired Water pH</t>
        </r>
        <r>
          <rPr>
            <sz val="8"/>
            <color indexed="81"/>
            <rFont val="Tahoma"/>
            <family val="2"/>
          </rPr>
          <t xml:space="preserve"> should be increased or decreased from the input value.  </t>
        </r>
        <r>
          <rPr>
            <b/>
            <sz val="8"/>
            <color indexed="81"/>
            <rFont val="Tahoma"/>
            <family val="2"/>
          </rPr>
          <t>Final Water Alkalinity</t>
        </r>
        <r>
          <rPr>
            <sz val="8"/>
            <color indexed="81"/>
            <rFont val="Tahoma"/>
            <family val="2"/>
          </rPr>
          <t xml:space="preserve"> of less than 50 ppm is suggested for best results.  If the </t>
        </r>
        <r>
          <rPr>
            <b/>
            <sz val="8"/>
            <color indexed="81"/>
            <rFont val="Tahoma"/>
            <family val="2"/>
          </rPr>
          <t>Starting Water Alkalinity</t>
        </r>
        <r>
          <rPr>
            <sz val="8"/>
            <color indexed="81"/>
            <rFont val="Tahoma"/>
            <family val="2"/>
          </rPr>
          <t xml:space="preserve"> is less than 25 ppm, acidification is not needed.</t>
        </r>
      </text>
    </comment>
    <comment ref="B7" authorId="1" shapeId="0">
      <text>
        <r>
          <rPr>
            <sz val="8"/>
            <color indexed="81"/>
            <rFont val="Tahoma"/>
            <family val="2"/>
          </rPr>
          <t xml:space="preserve">Enter water volume to be treated.  </t>
        </r>
        <r>
          <rPr>
            <b/>
            <sz val="8"/>
            <color indexed="81"/>
            <rFont val="Tahoma"/>
            <family val="2"/>
          </rPr>
          <t>(usually 1.0)</t>
        </r>
        <r>
          <rPr>
            <sz val="8"/>
            <color indexed="81"/>
            <rFont val="Tahoma"/>
            <family val="2"/>
          </rPr>
          <t xml:space="preserve">
If the volume is entered as </t>
        </r>
        <r>
          <rPr>
            <b/>
            <sz val="8"/>
            <color indexed="81"/>
            <rFont val="Tahoma"/>
            <family val="2"/>
          </rPr>
          <t>1 (liter, gallon, barrel, or hectoliter)</t>
        </r>
        <r>
          <rPr>
            <sz val="8"/>
            <color indexed="81"/>
            <rFont val="Tahoma"/>
            <family val="2"/>
          </rPr>
          <t xml:space="preserve"> here, the amount of acid for sparge water adjustment calculated below will be automatically multiplied by the number of liters, gallons, barrels, or hectoliters of sparge water entered on the </t>
        </r>
        <r>
          <rPr>
            <b/>
            <sz val="8"/>
            <color indexed="81"/>
            <rFont val="Tahoma"/>
            <family val="2"/>
          </rPr>
          <t xml:space="preserve">Water Adjustment </t>
        </r>
        <r>
          <rPr>
            <sz val="8"/>
            <color indexed="81"/>
            <rFont val="Tahoma"/>
            <family val="2"/>
          </rPr>
          <t xml:space="preserve">sheet and the resulting acid amount will be shown on the </t>
        </r>
        <r>
          <rPr>
            <b/>
            <sz val="8"/>
            <color indexed="81"/>
            <rFont val="Tahoma"/>
            <family val="2"/>
          </rPr>
          <t xml:space="preserve">Adjustment Summary </t>
        </r>
        <r>
          <rPr>
            <sz val="8"/>
            <color indexed="81"/>
            <rFont val="Tahoma"/>
            <family val="2"/>
          </rPr>
          <t xml:space="preserve">sheet.
This cell turns </t>
        </r>
        <r>
          <rPr>
            <b/>
            <sz val="8"/>
            <color indexed="12"/>
            <rFont val="Tahoma"/>
            <family val="2"/>
          </rPr>
          <t>DARKER BLUE</t>
        </r>
        <r>
          <rPr>
            <sz val="8"/>
            <color indexed="81"/>
            <rFont val="Tahoma"/>
            <family val="2"/>
          </rPr>
          <t xml:space="preserve"> if a value other than 1 is entered to alert the User that this helpful feature was overriden by the User.</t>
        </r>
      </text>
    </comment>
    <comment ref="A8" authorId="0" shapeId="0">
      <text>
        <r>
          <rPr>
            <sz val="8"/>
            <color indexed="81"/>
            <rFont val="Tahoma"/>
            <family val="2"/>
          </rPr>
          <t xml:space="preserve">Enter the type and strength of acid used in the brewing.  This acid will be utilized for sparging water adjustments.  Separate acid selections are also shown on the </t>
        </r>
        <r>
          <rPr>
            <b/>
            <sz val="8"/>
            <color indexed="81"/>
            <rFont val="Tahoma"/>
            <family val="2"/>
          </rPr>
          <t>Water Adjustment</t>
        </r>
        <r>
          <rPr>
            <sz val="8"/>
            <color indexed="81"/>
            <rFont val="Tahoma"/>
            <family val="2"/>
          </rPr>
          <t xml:space="preserve"> sheet for mashing water. All acids are shown on the </t>
        </r>
        <r>
          <rPr>
            <b/>
            <sz val="8"/>
            <color indexed="81"/>
            <rFont val="Tahoma"/>
            <family val="2"/>
          </rPr>
          <t xml:space="preserve">Adjustment Summary </t>
        </r>
        <r>
          <rPr>
            <sz val="8"/>
            <color indexed="81"/>
            <rFont val="Tahoma"/>
            <family val="2"/>
          </rPr>
          <t xml:space="preserve">sheet.
</t>
        </r>
        <r>
          <rPr>
            <b/>
            <sz val="8"/>
            <color indexed="81"/>
            <rFont val="Tahoma"/>
            <family val="2"/>
          </rPr>
          <t xml:space="preserve">Note: </t>
        </r>
        <r>
          <rPr>
            <sz val="8"/>
            <color indexed="81"/>
            <rFont val="Tahoma"/>
            <family val="2"/>
          </rPr>
          <t xml:space="preserve">The program assumes </t>
        </r>
        <r>
          <rPr>
            <b/>
            <sz val="8"/>
            <color indexed="81"/>
            <rFont val="Tahoma"/>
            <family val="2"/>
          </rPr>
          <t>Citric, Malic</t>
        </r>
        <r>
          <rPr>
            <sz val="8"/>
            <color indexed="81"/>
            <rFont val="Tahoma"/>
            <family val="2"/>
          </rPr>
          <t xml:space="preserve">, and </t>
        </r>
        <r>
          <rPr>
            <b/>
            <sz val="8"/>
            <color indexed="81"/>
            <rFont val="Tahoma"/>
            <family val="2"/>
          </rPr>
          <t>Tartaric</t>
        </r>
        <r>
          <rPr>
            <sz val="8"/>
            <color indexed="81"/>
            <rFont val="Tahoma"/>
            <family val="2"/>
          </rPr>
          <t xml:space="preserve"> acids are in </t>
        </r>
        <r>
          <rPr>
            <b/>
            <sz val="8"/>
            <color indexed="81"/>
            <rFont val="Tahoma"/>
            <family val="2"/>
          </rPr>
          <t>Solid</t>
        </r>
        <r>
          <rPr>
            <sz val="8"/>
            <color indexed="81"/>
            <rFont val="Tahoma"/>
            <family val="2"/>
          </rPr>
          <t xml:space="preserve"> form. Liquid forms of these acids </t>
        </r>
        <r>
          <rPr>
            <b/>
            <sz val="8"/>
            <color indexed="81"/>
            <rFont val="Tahoma"/>
            <family val="2"/>
          </rPr>
          <t>CANNOT</t>
        </r>
        <r>
          <rPr>
            <sz val="8"/>
            <color indexed="81"/>
            <rFont val="Tahoma"/>
            <family val="2"/>
          </rPr>
          <t xml:space="preserve"> be calculated with this program.
The Supporter's version includes the ability to use two acids in your Sparging Water.
Calculations for CRS acid is only available in the Supporter's version. </t>
        </r>
      </text>
    </comment>
    <comment ref="B8" authorId="1" shapeId="0">
      <text>
        <r>
          <rPr>
            <sz val="8"/>
            <color indexed="81"/>
            <rFont val="Tahoma"/>
            <family val="2"/>
          </rPr>
          <t>Click cell to display drop-down selection of acids.</t>
        </r>
        <r>
          <rPr>
            <sz val="9"/>
            <color indexed="81"/>
            <rFont val="Tahoma"/>
            <family val="2"/>
          </rPr>
          <t xml:space="preserve">
</t>
        </r>
      </text>
    </comment>
    <comment ref="B9" authorId="1" shapeId="0">
      <text>
        <r>
          <rPr>
            <b/>
            <sz val="8"/>
            <color indexed="81"/>
            <rFont val="Tahoma"/>
            <family val="2"/>
          </rPr>
          <t>FOR LIQUID ACIDS ONLY:</t>
        </r>
        <r>
          <rPr>
            <sz val="8"/>
            <color indexed="81"/>
            <rFont val="Tahoma"/>
            <family val="2"/>
          </rPr>
          <t xml:space="preserve">
Enter acid Percentage (%) in whole terms. For example, enter 88 for 88% Lactic, not 0.88
Enter acid Normality (N) or Molarity (M) as indicated on acid container. 
Adjust the strength units in the adjacent drop-down box.
</t>
        </r>
        <r>
          <rPr>
            <b/>
            <sz val="8"/>
            <color indexed="81"/>
            <rFont val="Tahoma"/>
            <family val="2"/>
          </rPr>
          <t xml:space="preserve">FOR SOLID ACIDS: </t>
        </r>
        <r>
          <rPr>
            <sz val="8"/>
            <color indexed="81"/>
            <rFont val="Tahoma"/>
            <family val="2"/>
          </rPr>
          <t xml:space="preserve">
Be sure the select "</t>
        </r>
        <r>
          <rPr>
            <b/>
            <sz val="8"/>
            <color indexed="81"/>
            <rFont val="Tahoma"/>
            <family val="2"/>
          </rPr>
          <t>Solid</t>
        </r>
        <r>
          <rPr>
            <sz val="8"/>
            <color indexed="81"/>
            <rFont val="Tahoma"/>
            <family val="2"/>
          </rPr>
          <t xml:space="preserve">" in the adjacent drop-down box.
The </t>
        </r>
        <r>
          <rPr>
            <b/>
            <sz val="8"/>
            <color indexed="81"/>
            <rFont val="Tahoma"/>
            <family val="2"/>
          </rPr>
          <t>Acid Strength</t>
        </r>
        <r>
          <rPr>
            <sz val="8"/>
            <color indexed="81"/>
            <rFont val="Tahoma"/>
            <family val="2"/>
          </rPr>
          <t xml:space="preserve"> value is not used for solid acids and the value in the Acid Strength box can be any value or be blank.  </t>
        </r>
      </text>
    </comment>
    <comment ref="C9" authorId="1" shapeId="0">
      <text>
        <r>
          <rPr>
            <sz val="8"/>
            <color indexed="81"/>
            <rFont val="Tahoma"/>
            <family val="2"/>
          </rPr>
          <t>Click cell to display drop-down selection of acid strength parameters: percentage, normality, molarity, or solid.</t>
        </r>
        <r>
          <rPr>
            <sz val="9"/>
            <color indexed="81"/>
            <rFont val="Tahoma"/>
            <family val="2"/>
          </rPr>
          <t xml:space="preserve">
</t>
        </r>
      </text>
    </comment>
    <comment ref="B11" authorId="0" shapeId="0">
      <text>
        <r>
          <rPr>
            <sz val="8"/>
            <color indexed="81"/>
            <rFont val="Tahoma"/>
            <family val="2"/>
          </rPr>
          <t xml:space="preserve">A Final Alkalinity of about 25 ppm or less is desirable, but not required.  A Final Alkalinity of less than 50 ppm is strongly recommended.  Adjust the </t>
        </r>
        <r>
          <rPr>
            <b/>
            <sz val="8"/>
            <color indexed="81"/>
            <rFont val="Tahoma"/>
            <family val="2"/>
          </rPr>
          <t>Desired Water pH</t>
        </r>
        <r>
          <rPr>
            <sz val="8"/>
            <color indexed="81"/>
            <rFont val="Tahoma"/>
            <family val="2"/>
          </rPr>
          <t xml:space="preserve"> value to alter the </t>
        </r>
        <r>
          <rPr>
            <b/>
            <sz val="8"/>
            <color indexed="81"/>
            <rFont val="Tahoma"/>
            <family val="2"/>
          </rPr>
          <t>Final Water Alkalinity</t>
        </r>
        <r>
          <rPr>
            <sz val="8"/>
            <color indexed="81"/>
            <rFont val="Tahoma"/>
            <family val="2"/>
          </rPr>
          <t xml:space="preserve">.
If a check of acidification is desired, compare the measured water pH to the </t>
        </r>
        <r>
          <rPr>
            <b/>
            <sz val="8"/>
            <color indexed="81"/>
            <rFont val="Tahoma"/>
            <family val="2"/>
          </rPr>
          <t>Desired Water pH</t>
        </r>
        <r>
          <rPr>
            <sz val="8"/>
            <color indexed="81"/>
            <rFont val="Tahoma"/>
            <family val="2"/>
          </rPr>
          <t xml:space="preserve"> value.
This cell turns </t>
        </r>
        <r>
          <rPr>
            <b/>
            <sz val="8"/>
            <color indexed="53"/>
            <rFont val="Tahoma"/>
            <family val="2"/>
          </rPr>
          <t>Orange</t>
        </r>
        <r>
          <rPr>
            <sz val="8"/>
            <color indexed="81"/>
            <rFont val="Tahoma"/>
            <family val="2"/>
          </rPr>
          <t xml:space="preserve"> if the alkalinity is greater than 50 and the Desired pH value should be reduced.  This cell turns </t>
        </r>
        <r>
          <rPr>
            <b/>
            <sz val="8"/>
            <color indexed="17"/>
            <rFont val="Tahoma"/>
            <family val="2"/>
          </rPr>
          <t>Green</t>
        </r>
        <r>
          <rPr>
            <sz val="8"/>
            <color indexed="81"/>
            <rFont val="Tahoma"/>
            <family val="2"/>
          </rPr>
          <t xml:space="preserve"> if the alkalinity is less than 25 and no additional acidification is needed.</t>
        </r>
      </text>
    </comment>
    <comment ref="B12" authorId="0" shapeId="0">
      <text>
        <r>
          <rPr>
            <sz val="8"/>
            <color indexed="81"/>
            <rFont val="Tahoma"/>
            <family val="2"/>
          </rPr>
          <t xml:space="preserve">Add this quantity of the first acid to the water volume indicated above.
Both the </t>
        </r>
        <r>
          <rPr>
            <b/>
            <sz val="8"/>
            <color indexed="81"/>
            <rFont val="Tahoma"/>
            <family val="2"/>
          </rPr>
          <t>Water Adjustment</t>
        </r>
        <r>
          <rPr>
            <sz val="8"/>
            <color indexed="81"/>
            <rFont val="Tahoma"/>
            <family val="2"/>
          </rPr>
          <t xml:space="preserve"> and </t>
        </r>
        <r>
          <rPr>
            <b/>
            <sz val="8"/>
            <color indexed="81"/>
            <rFont val="Tahoma"/>
            <family val="2"/>
          </rPr>
          <t>Adjustment Summary</t>
        </r>
        <r>
          <rPr>
            <sz val="8"/>
            <color indexed="81"/>
            <rFont val="Tahoma"/>
            <family val="2"/>
          </rPr>
          <t xml:space="preserve"> sheets present the total amount of acid to add.</t>
        </r>
      </text>
    </comment>
    <comment ref="D12" authorId="0" shapeId="0">
      <text>
        <r>
          <rPr>
            <sz val="8"/>
            <color indexed="81"/>
            <rFont val="Tahoma"/>
            <family val="2"/>
          </rPr>
          <t>This alternate measure is provided for the acid addition.</t>
        </r>
      </text>
    </comment>
    <comment ref="B13" authorId="0" shapeId="0">
      <text>
        <r>
          <rPr>
            <sz val="8"/>
            <color indexed="81"/>
            <rFont val="Tahoma"/>
            <family val="2"/>
          </rPr>
          <t xml:space="preserve">Indicates the sulfate concentration added to the water by a Sulfuric acid or CRS addition.  This result is zero for all other acids.
Calculations for CRS acid is only available in the Supporter's version. </t>
        </r>
      </text>
    </comment>
    <comment ref="B14" authorId="0" shapeId="0">
      <text>
        <r>
          <rPr>
            <sz val="8"/>
            <color indexed="81"/>
            <rFont val="Tahoma"/>
            <family val="2"/>
          </rPr>
          <t xml:space="preserve">Indicates the chloride concentration added to the water by a Hydrochloric acid or CRS addition.  This result is zero for all other acid additions.
Calculations for CRS acid is only available in the Supporter's version. </t>
        </r>
      </text>
    </comment>
  </commentList>
</comments>
</file>

<file path=xl/comments3.xml><?xml version="1.0" encoding="utf-8"?>
<comments xmlns="http://schemas.openxmlformats.org/spreadsheetml/2006/main">
  <authors>
    <author>martin.brungard</author>
    <author>Martin Brungard</author>
  </authors>
  <commentList>
    <comment ref="A5" authorId="0" shapeId="0">
      <text>
        <r>
          <rPr>
            <sz val="8"/>
            <color indexed="81"/>
            <rFont val="Tahoma"/>
            <family val="2"/>
          </rPr>
          <t>List mash grist grain components in lbs and/or oz or kg and/or g.  Include the Color rating.
The Brewer may enter grain names in the table as they choose.
The cell colors change to signify the malt type setting (base, crystal, roast, or acid)</t>
        </r>
      </text>
    </comment>
    <comment ref="B5" authorId="0" shapeId="0">
      <text>
        <r>
          <rPr>
            <b/>
            <sz val="8"/>
            <color indexed="81"/>
            <rFont val="Tahoma"/>
            <family val="2"/>
          </rPr>
          <t xml:space="preserve">Click </t>
        </r>
        <r>
          <rPr>
            <sz val="8"/>
            <color indexed="81"/>
            <rFont val="Tahoma"/>
            <family val="2"/>
          </rPr>
          <t>cells below to display drop-down menu with</t>
        </r>
        <r>
          <rPr>
            <b/>
            <sz val="8"/>
            <color indexed="81"/>
            <rFont val="Tahoma"/>
            <family val="2"/>
          </rPr>
          <t xml:space="preserve"> Base, Crystal, Roast, </t>
        </r>
        <r>
          <rPr>
            <sz val="8"/>
            <color indexed="81"/>
            <rFont val="Tahoma"/>
            <family val="2"/>
          </rPr>
          <t xml:space="preserve">and </t>
        </r>
        <r>
          <rPr>
            <b/>
            <sz val="8"/>
            <color indexed="81"/>
            <rFont val="Tahoma"/>
            <family val="2"/>
          </rPr>
          <t xml:space="preserve">Acid </t>
        </r>
        <r>
          <rPr>
            <sz val="8"/>
            <color indexed="81"/>
            <rFont val="Tahoma"/>
            <family val="2"/>
          </rPr>
          <t>malt selections</t>
        </r>
        <r>
          <rPr>
            <b/>
            <sz val="8"/>
            <color indexed="81"/>
            <rFont val="Tahoma"/>
            <family val="2"/>
          </rPr>
          <t>. 
Base malts</t>
        </r>
        <r>
          <rPr>
            <sz val="8"/>
            <color indexed="81"/>
            <rFont val="Tahoma"/>
            <family val="2"/>
          </rPr>
          <t xml:space="preserve"> include: Pilsner, Lager, 2-row, 6-row, Pale, Munich, Vienna, Mild, Wheat, Oat, &amp; flaked grains.
</t>
        </r>
        <r>
          <rPr>
            <b/>
            <sz val="8"/>
            <color indexed="81"/>
            <rFont val="Tahoma"/>
            <family val="2"/>
          </rPr>
          <t xml:space="preserve">Crystal malts </t>
        </r>
        <r>
          <rPr>
            <sz val="8"/>
            <color indexed="81"/>
            <rFont val="Tahoma"/>
            <family val="2"/>
          </rPr>
          <t xml:space="preserve">include those with Cara or Crystal prefixes such as Carapils, CaraMunich, or Crystal 60L.  Also includes Aromatic, Biscuit, Special B, Melanoidin, but not Carafa.
</t>
        </r>
        <r>
          <rPr>
            <b/>
            <sz val="8"/>
            <color indexed="81"/>
            <rFont val="Tahoma"/>
            <family val="2"/>
          </rPr>
          <t>Roast malts</t>
        </r>
        <r>
          <rPr>
            <sz val="8"/>
            <color indexed="81"/>
            <rFont val="Tahoma"/>
            <family val="2"/>
          </rPr>
          <t xml:space="preserve"> include: Carafa malts, Roast Barley, Chocolate, &amp; Black malts.  </t>
        </r>
        <r>
          <rPr>
            <b/>
            <sz val="8"/>
            <color indexed="81"/>
            <rFont val="Tahoma"/>
            <family val="2"/>
          </rPr>
          <t xml:space="preserve">Roast Malts usually have color greater than 180 lovibond. </t>
        </r>
        <r>
          <rPr>
            <sz val="8"/>
            <color indexed="81"/>
            <rFont val="Tahoma"/>
            <family val="2"/>
          </rPr>
          <t>Although</t>
        </r>
        <r>
          <rPr>
            <b/>
            <sz val="8"/>
            <color indexed="81"/>
            <rFont val="Tahoma"/>
            <family val="2"/>
          </rPr>
          <t xml:space="preserve"> </t>
        </r>
        <r>
          <rPr>
            <sz val="8"/>
            <color indexed="81"/>
            <rFont val="Tahoma"/>
            <family val="2"/>
          </rPr>
          <t xml:space="preserve">Amber Malt from Crisp Malting does not meet the color threshold for roast, it should be entered as a Roast malt.
</t>
        </r>
        <r>
          <rPr>
            <b/>
            <sz val="8"/>
            <color indexed="81"/>
            <rFont val="Tahoma"/>
            <family val="2"/>
          </rPr>
          <t>Acid malt</t>
        </r>
        <r>
          <rPr>
            <sz val="8"/>
            <color indexed="81"/>
            <rFont val="Tahoma"/>
            <family val="2"/>
          </rPr>
          <t xml:space="preserve"> is a specialty malt typically infused with 2 to 3 % Lactic Acid
</t>
        </r>
        <r>
          <rPr>
            <b/>
            <sz val="8"/>
            <color indexed="81"/>
            <rFont val="Tahoma"/>
            <family val="2"/>
          </rPr>
          <t xml:space="preserve">Special Note for Rahr base malts: </t>
        </r>
        <r>
          <rPr>
            <sz val="8"/>
            <color indexed="81"/>
            <rFont val="Tahoma"/>
            <family val="2"/>
          </rPr>
          <t xml:space="preserve">Since these base malts are apparently more acidic than other base malts of similar color, the user may add about 3 L to Rahr base malt color inputs to account for that extra acidity.
</t>
        </r>
        <r>
          <rPr>
            <b/>
            <sz val="8"/>
            <color indexed="81"/>
            <rFont val="Tahoma"/>
            <family val="2"/>
          </rPr>
          <t>Rice Hulls</t>
        </r>
        <r>
          <rPr>
            <sz val="8"/>
            <color indexed="81"/>
            <rFont val="Tahoma"/>
            <family val="2"/>
          </rPr>
          <t xml:space="preserve"> are relatively inert and should not affect the mash pH.  They should not be entered as part of the grist here.</t>
        </r>
      </text>
    </comment>
    <comment ref="C5" authorId="0" shapeId="0">
      <text>
        <r>
          <rPr>
            <sz val="8"/>
            <color indexed="81"/>
            <rFont val="Tahoma"/>
            <family val="2"/>
          </rPr>
          <t xml:space="preserve">Grain quantity can be entered as decimal units and/or decimal sub-units.  It all adds up in the end.  Check total grist weight to confirm that it matches your recipe weight. </t>
        </r>
      </text>
    </comment>
    <comment ref="E5" authorId="0" shapeId="0">
      <text>
        <r>
          <rPr>
            <sz val="8"/>
            <color indexed="81"/>
            <rFont val="Tahoma"/>
            <family val="2"/>
          </rPr>
          <t xml:space="preserve">Set the </t>
        </r>
        <r>
          <rPr>
            <b/>
            <sz val="8"/>
            <color indexed="81"/>
            <rFont val="Tahoma"/>
            <family val="2"/>
          </rPr>
          <t xml:space="preserve">Malt Color </t>
        </r>
        <r>
          <rPr>
            <sz val="8"/>
            <color indexed="81"/>
            <rFont val="Tahoma"/>
            <family val="2"/>
          </rPr>
          <t>rating system (</t>
        </r>
        <r>
          <rPr>
            <b/>
            <sz val="8"/>
            <color indexed="81"/>
            <rFont val="Tahoma"/>
            <family val="2"/>
          </rPr>
          <t>EBC or Lovibond</t>
        </r>
        <r>
          <rPr>
            <sz val="8"/>
            <color indexed="81"/>
            <rFont val="Tahoma"/>
            <family val="2"/>
          </rPr>
          <t xml:space="preserve">) setting in the drop-down box at the bottom of this sheet.  Enter the Malt Color for each grain.  
The cells below turn </t>
        </r>
        <r>
          <rPr>
            <b/>
            <sz val="8"/>
            <color indexed="10"/>
            <rFont val="Tahoma"/>
            <family val="2"/>
          </rPr>
          <t>Red</t>
        </r>
        <r>
          <rPr>
            <sz val="8"/>
            <color indexed="81"/>
            <rFont val="Tahoma"/>
            <family val="2"/>
          </rPr>
          <t xml:space="preserve"> if the color rating is high and the Grain Type is not set to Roast malt.  The cells turn </t>
        </r>
        <r>
          <rPr>
            <b/>
            <sz val="8"/>
            <color indexed="10"/>
            <rFont val="Tahoma"/>
            <family val="2"/>
          </rPr>
          <t>Red</t>
        </r>
        <r>
          <rPr>
            <sz val="8"/>
            <color indexed="81"/>
            <rFont val="Tahoma"/>
            <family val="2"/>
          </rPr>
          <t xml:space="preserve"> if the color rating is low and Roast Malt is selected.  
Roasted malts typically have color ratings above 400 EBC (150L) and most other grains have less color.</t>
        </r>
      </text>
    </comment>
    <comment ref="F5" authorId="0" shapeId="0">
      <text>
        <r>
          <rPr>
            <sz val="8"/>
            <color indexed="81"/>
            <rFont val="Tahoma"/>
            <family val="2"/>
          </rPr>
          <t>This provides a check on the grain quantities entered and the relative amount of each grain.</t>
        </r>
      </text>
    </comment>
    <comment ref="E6"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7"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8"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9"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0"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1"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2"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3"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4"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5"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6"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E17" authorId="0" shapeId="0">
      <text>
        <r>
          <rPr>
            <sz val="8"/>
            <color indexed="81"/>
            <rFont val="Tahoma"/>
            <family val="2"/>
          </rPr>
          <t xml:space="preserve">This cell turns Red if the color rating is high and the Grain Type is not set to Roast malt.  This cell turns Red if the color rating is low and Roast Malt is selected.
This helps avoid miss-entering grain data.  </t>
        </r>
        <r>
          <rPr>
            <b/>
            <sz val="8"/>
            <color indexed="81"/>
            <rFont val="Tahoma"/>
            <family val="2"/>
          </rPr>
          <t xml:space="preserve">
</t>
        </r>
        <r>
          <rPr>
            <sz val="8"/>
            <color indexed="81"/>
            <rFont val="Tahoma"/>
            <family val="2"/>
          </rPr>
          <t>This cell also changes color based on the grain type selected to help the brewer know what the setting is.</t>
        </r>
      </text>
    </comment>
    <comment ref="F18" authorId="0" shapeId="0">
      <text>
        <r>
          <rPr>
            <sz val="8"/>
            <color indexed="81"/>
            <rFont val="Tahoma"/>
            <family val="2"/>
          </rPr>
          <t>Beer Color is calculated using the Morey formula. EBC color is estimated as 1.97 times the SRM color.
Total Batch Volume affects color calculation.  Set Total Batch Volume on Water Adjustment sheet.</t>
        </r>
      </text>
    </comment>
    <comment ref="B19" authorId="0" shapeId="0">
      <text>
        <r>
          <rPr>
            <sz val="8"/>
            <color indexed="81"/>
            <rFont val="Tahoma"/>
            <family val="2"/>
          </rPr>
          <t>This ratio typically falls between 1 and 2 Qts / Lb or 2 to 4 L / Kg.  
Mash Water Volume is input on Water Adjustment sheet. This Ratio is not accurate until the proper mash water volume has been input on that sheet.</t>
        </r>
      </text>
    </comment>
    <comment ref="F19" authorId="1" shapeId="0">
      <text>
        <r>
          <rPr>
            <sz val="8"/>
            <color indexed="81"/>
            <rFont val="Tahoma"/>
            <family val="2"/>
          </rPr>
          <t>Beer Color is calculated using the Morey formula.
Total Batch Volume affects color calculation.  Set Total Batch Volume on Water Adjustment sheet.</t>
        </r>
      </text>
    </comment>
    <comment ref="A20" authorId="0" shapeId="0">
      <text>
        <r>
          <rPr>
            <sz val="8"/>
            <color indexed="81"/>
            <rFont val="Tahoma"/>
            <family val="2"/>
          </rPr>
          <t xml:space="preserve">Set the malt color rating system used for the malts here.  The selections are: </t>
        </r>
        <r>
          <rPr>
            <b/>
            <sz val="8"/>
            <color indexed="81"/>
            <rFont val="Tahoma"/>
            <family val="2"/>
          </rPr>
          <t>Lovibond</t>
        </r>
        <r>
          <rPr>
            <sz val="8"/>
            <color indexed="81"/>
            <rFont val="Tahoma"/>
            <family val="2"/>
          </rPr>
          <t xml:space="preserve"> or </t>
        </r>
        <r>
          <rPr>
            <b/>
            <sz val="8"/>
            <color indexed="81"/>
            <rFont val="Tahoma"/>
            <family val="2"/>
          </rPr>
          <t>EBC</t>
        </r>
      </text>
    </comment>
    <comment ref="B20" authorId="0" shapeId="0">
      <text>
        <r>
          <rPr>
            <sz val="8"/>
            <color indexed="81"/>
            <rFont val="Tahoma"/>
            <family val="2"/>
          </rPr>
          <t xml:space="preserve">Click on cell and a selection box will appear, displaying </t>
        </r>
        <r>
          <rPr>
            <b/>
            <sz val="8"/>
            <color indexed="81"/>
            <rFont val="Tahoma"/>
            <family val="2"/>
          </rPr>
          <t>EBC</t>
        </r>
        <r>
          <rPr>
            <sz val="8"/>
            <color indexed="81"/>
            <rFont val="Tahoma"/>
            <family val="2"/>
          </rPr>
          <t xml:space="preserve"> or </t>
        </r>
        <r>
          <rPr>
            <b/>
            <sz val="8"/>
            <color indexed="81"/>
            <rFont val="Tahoma"/>
            <family val="2"/>
          </rPr>
          <t>Lovibond</t>
        </r>
        <r>
          <rPr>
            <sz val="8"/>
            <color indexed="81"/>
            <rFont val="Tahoma"/>
            <family val="2"/>
          </rPr>
          <t xml:space="preserve"> units.
</t>
        </r>
      </text>
    </comment>
    <comment ref="A21" authorId="0" shapeId="0">
      <text>
        <r>
          <rPr>
            <sz val="8"/>
            <color indexed="81"/>
            <rFont val="Tahoma"/>
            <family val="2"/>
          </rPr>
          <t>Typically set to the Adjusted Water setting, but can be used to quickly see what the affect on the mash would be if the Existing water were used.</t>
        </r>
        <r>
          <rPr>
            <sz val="9"/>
            <color indexed="81"/>
            <rFont val="Tahoma"/>
            <family val="2"/>
          </rPr>
          <t xml:space="preserve">
</t>
        </r>
      </text>
    </comment>
    <comment ref="B21" authorId="0" shapeId="0">
      <text>
        <r>
          <rPr>
            <sz val="8"/>
            <color indexed="81"/>
            <rFont val="Tahoma"/>
            <family val="2"/>
          </rPr>
          <t xml:space="preserve">Click on cell and a selection box will appear displaying </t>
        </r>
        <r>
          <rPr>
            <b/>
            <sz val="8"/>
            <color indexed="81"/>
            <rFont val="Tahoma"/>
            <family val="2"/>
          </rPr>
          <t>Adjusted</t>
        </r>
        <r>
          <rPr>
            <sz val="8"/>
            <color indexed="81"/>
            <rFont val="Tahoma"/>
            <family val="2"/>
          </rPr>
          <t xml:space="preserve"> or </t>
        </r>
        <r>
          <rPr>
            <b/>
            <sz val="8"/>
            <color indexed="81"/>
            <rFont val="Tahoma"/>
            <family val="2"/>
          </rPr>
          <t>Existing</t>
        </r>
        <r>
          <rPr>
            <sz val="8"/>
            <color indexed="81"/>
            <rFont val="Tahoma"/>
            <family val="2"/>
          </rPr>
          <t xml:space="preserve"> water.
</t>
        </r>
      </text>
    </comment>
    <comment ref="F24" authorId="0" shapeId="0">
      <text>
        <r>
          <rPr>
            <sz val="8"/>
            <color indexed="81"/>
            <rFont val="Tahoma"/>
            <family val="2"/>
          </rPr>
          <t>This mash pH estimate is for the early stage of mashing (say less than 20 minutes after mashing in).  The mash pH typically rises a tenth or two as the mashing duration increases.
The acceptable pH range is 5.2 to 5.8 when measured at room temperature. (Recommended range is 5.3 to 5.5)
The optimum mash pH range is reportedly 5.4 to 5.6 (Malting and Brewing Science, 1981)</t>
        </r>
      </text>
    </comment>
  </commentList>
</comments>
</file>

<file path=xl/comments4.xml><?xml version="1.0" encoding="utf-8"?>
<comments xmlns="http://schemas.openxmlformats.org/spreadsheetml/2006/main">
  <authors>
    <author>martin.brungard</author>
    <author>Martin Brungard</author>
    <author>Martin.Brungard</author>
  </authors>
  <commentList>
    <comment ref="A3" authorId="0" shapeId="0">
      <text>
        <r>
          <rPr>
            <sz val="8"/>
            <color indexed="81"/>
            <rFont val="Tahoma"/>
            <family val="2"/>
          </rPr>
          <t xml:space="preserve">Use this calculator to amend your water to produce a desired water profile.
</t>
        </r>
      </text>
    </comment>
    <comment ref="A4" authorId="1" shapeId="0">
      <text>
        <r>
          <rPr>
            <sz val="8"/>
            <color indexed="81"/>
            <rFont val="Tahoma"/>
            <family val="2"/>
          </rPr>
          <t xml:space="preserve">This is the water profile desired to brew the beer.  To Enter Custom Profiles, </t>
        </r>
        <r>
          <rPr>
            <b/>
            <sz val="8"/>
            <color indexed="81"/>
            <rFont val="Tahoma"/>
            <family val="2"/>
          </rPr>
          <t>scroll to the bottom of this sheet</t>
        </r>
        <r>
          <rPr>
            <sz val="8"/>
            <color indexed="81"/>
            <rFont val="Tahoma"/>
            <family val="2"/>
          </rPr>
          <t xml:space="preserve"> and enter values in the Table below.
NOTE: </t>
        </r>
        <r>
          <rPr>
            <b/>
            <sz val="8"/>
            <color indexed="81"/>
            <rFont val="Tahoma"/>
            <family val="2"/>
          </rPr>
          <t>USE A BOILED PROFILE IF CONSIDERING A HISTORIC WATER PROFILE.</t>
        </r>
        <r>
          <rPr>
            <sz val="8"/>
            <color indexed="81"/>
            <rFont val="Tahoma"/>
            <family val="2"/>
          </rPr>
          <t xml:space="preserve">  The </t>
        </r>
        <r>
          <rPr>
            <b/>
            <sz val="8"/>
            <color indexed="81"/>
            <rFont val="Tahoma"/>
            <family val="2"/>
          </rPr>
          <t>"Boiled"</t>
        </r>
        <r>
          <rPr>
            <sz val="8"/>
            <color indexed="81"/>
            <rFont val="Tahoma"/>
            <family val="2"/>
          </rPr>
          <t xml:space="preserve"> water profiles included here, represent the new water profile that results for a water that was boiled to remove temporary hardness and alkalinity.  Where the "original" water profile might have been more suited for darker beers, the "boiled" profile may be more suitable for lighter colored beers.  Boiling and decanting water off the chalky sediment was one of the first water treatment methods used by brewers. The "</t>
        </r>
        <r>
          <rPr>
            <b/>
            <sz val="8"/>
            <color indexed="81"/>
            <rFont val="Tahoma"/>
            <family val="2"/>
          </rPr>
          <t>Boiled</t>
        </r>
        <r>
          <rPr>
            <sz val="8"/>
            <color indexed="81"/>
            <rFont val="Tahoma"/>
            <family val="2"/>
          </rPr>
          <t>" profiles are more likely to produce acceptable pH results.</t>
        </r>
      </text>
    </comment>
    <comment ref="C4" authorId="0" shapeId="0">
      <text>
        <r>
          <rPr>
            <sz val="8"/>
            <color indexed="81"/>
            <rFont val="Tahoma"/>
            <family val="2"/>
          </rPr>
          <t xml:space="preserve">Calcium content should typically fall in the range of 40 to 100 ppm.  Less than 40 ppm calcium content can be used in lager brewing, but the low calcium content may not produce desirable precipitation of trub and oxalates from wort. High oxalates may lead to beerstone formation.  Calcium aids in yeast floculation and beer clarification, but is not needed for yeast health.
Calcium should not typically exceed 100 ppm unless it has to be added to provide a desirable anion like sulfate to the water.
If calcium content will be less than 40 ppm, adding the sparging water addition to the mash may elevate the mash calcium content above 40 ppm. Use the </t>
        </r>
        <r>
          <rPr>
            <b/>
            <sz val="8"/>
            <color indexed="81"/>
            <rFont val="Tahoma"/>
            <family val="2"/>
          </rPr>
          <t>Add Sparging Water mineral additions to the Mash</t>
        </r>
        <r>
          <rPr>
            <sz val="8"/>
            <color indexed="81"/>
            <rFont val="Tahoma"/>
            <family val="2"/>
          </rPr>
          <t xml:space="preserve"> tool below.</t>
        </r>
      </text>
    </comment>
    <comment ref="D4" authorId="0" shapeId="0">
      <text>
        <r>
          <rPr>
            <sz val="8"/>
            <color indexed="81"/>
            <rFont val="Tahoma"/>
            <family val="2"/>
          </rPr>
          <t>Magnesium is a yeast nutrient, but may be astringent at concentrations over 40 ppm.  Preferred range is 0 to 30 ppm.   
Malts typically provide sufficient magnesium to wort to provide for proper yeast health and flocculation.  
Add magnesium when its bitter and sour taste is desirable in beer, such as Bitter or Pale Ales.  There is no need to add magnesium for other beer styles, even if the water profiles below indicate to.</t>
        </r>
      </text>
    </comment>
    <comment ref="E4" authorId="0" shapeId="0">
      <text>
        <r>
          <rPr>
            <sz val="8"/>
            <color indexed="81"/>
            <rFont val="Tahoma"/>
            <family val="2"/>
          </rPr>
          <t>Sodium accentuates beer flavor and roundness at moderate concentrations.  Preferred range is 0 to 150 ppm, but should be less than 100 ppm if sulfate content is high.  Keeping sodium below 50 ppm is desirable for most beers.</t>
        </r>
      </text>
    </comment>
    <comment ref="F4" authorId="0" shapeId="0">
      <text>
        <r>
          <rPr>
            <sz val="8"/>
            <color indexed="81"/>
            <rFont val="Tahoma"/>
            <family val="2"/>
          </rPr>
          <t>Sulfate provides a sharper, dryer, fuller edge to highly hopped beers.  The preferred range is 0 to 350 ppm, but the concentration should not exceed 150 ppm unless the beer is highly hopped.</t>
        </r>
      </text>
    </comment>
    <comment ref="G4" authorId="0" shapeId="0">
      <text>
        <r>
          <rPr>
            <sz val="8"/>
            <color indexed="81"/>
            <rFont val="Tahoma"/>
            <family val="2"/>
          </rPr>
          <t>Chloride accentuates fullness and sweetness.  The preferred range is 10 to 100 ppm, but the upper limit should be reduced to avoid harshness if the water has high sulfate concentration.</t>
        </r>
      </text>
    </comment>
    <comment ref="H4" authorId="0" shapeId="0">
      <text>
        <r>
          <rPr>
            <sz val="8"/>
            <color indexed="81"/>
            <rFont val="Tahoma"/>
            <family val="2"/>
          </rPr>
          <t>Bicarbonate is an alkaline buffer that limits pH reduction during mashing.  It is generally undesirable in beer, but is needed to balance the acidity of dark malts and crystal malts used in some beers.</t>
        </r>
      </text>
    </comment>
    <comment ref="A5" authorId="1" shapeId="0">
      <text>
        <r>
          <rPr>
            <sz val="8"/>
            <color indexed="81"/>
            <rFont val="Tahoma"/>
            <family val="2"/>
          </rPr>
          <t>To change the concentrations in this profile, scroll down this page to the table below and alter the concentrations there.</t>
        </r>
      </text>
    </comment>
    <comment ref="A6" authorId="1" shapeId="0">
      <text>
        <r>
          <rPr>
            <sz val="8"/>
            <color indexed="81"/>
            <rFont val="Tahoma"/>
            <family val="2"/>
          </rPr>
          <t xml:space="preserve">This water profile is entered on the </t>
        </r>
        <r>
          <rPr>
            <b/>
            <sz val="8"/>
            <color indexed="81"/>
            <rFont val="Tahoma"/>
            <family val="2"/>
          </rPr>
          <t xml:space="preserve">Water Report Input </t>
        </r>
        <r>
          <rPr>
            <sz val="8"/>
            <color indexed="81"/>
            <rFont val="Tahoma"/>
            <family val="2"/>
          </rPr>
          <t>sheet.</t>
        </r>
      </text>
    </comment>
    <comment ref="H6" authorId="0" shapeId="0">
      <text>
        <r>
          <rPr>
            <sz val="8"/>
            <color indexed="81"/>
            <rFont val="Tahoma"/>
            <family val="2"/>
          </rPr>
          <t xml:space="preserve">The Bicarbonate concentration shown here includes the contribution of Carbonate.  Therefore, this value may differ somewhat from the Bicarbonate concentration that was originally input on the </t>
        </r>
        <r>
          <rPr>
            <b/>
            <sz val="8"/>
            <color indexed="81"/>
            <rFont val="Tahoma"/>
            <family val="2"/>
          </rPr>
          <t>Water Report Input</t>
        </r>
        <r>
          <rPr>
            <sz val="8"/>
            <color indexed="81"/>
            <rFont val="Tahoma"/>
            <family val="2"/>
          </rPr>
          <t xml:space="preserve"> sheet.</t>
        </r>
      </text>
    </comment>
    <comment ref="A7" authorId="1" shapeId="0">
      <text>
        <r>
          <rPr>
            <sz val="8"/>
            <color indexed="81"/>
            <rFont val="Tahoma"/>
            <family val="2"/>
          </rPr>
          <t>Water used to dilute the Existing water profile. Select below.</t>
        </r>
      </text>
    </comment>
    <comment ref="A8" authorId="1" shapeId="0">
      <text>
        <r>
          <rPr>
            <sz val="8"/>
            <color indexed="81"/>
            <rFont val="Tahoma"/>
            <family val="2"/>
          </rPr>
          <t>To change the names or concentrations of your Diluted water profiles, scroll down this page to the table below and alter the concentrations there.</t>
        </r>
        <r>
          <rPr>
            <sz val="9"/>
            <color indexed="81"/>
            <rFont val="Tahoma"/>
            <family val="2"/>
          </rPr>
          <t xml:space="preserve">
</t>
        </r>
      </text>
    </comment>
    <comment ref="A9" authorId="1" shapeId="0">
      <text>
        <r>
          <rPr>
            <sz val="8"/>
            <color indexed="81"/>
            <rFont val="Tahoma"/>
            <family val="2"/>
          </rPr>
          <t xml:space="preserve">When the Existing Water's ion concentrations are too high for Desired Water Profile, select the type of dilution water you are using (RO or Distilled) and increase the dilution percentage until the excessive ion concentrations are sufficiently reduced.  
</t>
        </r>
        <r>
          <rPr>
            <b/>
            <sz val="8"/>
            <color indexed="81"/>
            <rFont val="Tahoma"/>
            <family val="2"/>
          </rPr>
          <t xml:space="preserve">
Enter values between 0 and 100.</t>
        </r>
        <r>
          <rPr>
            <sz val="8"/>
            <color indexed="81"/>
            <rFont val="Tahoma"/>
            <family val="2"/>
          </rPr>
          <t xml:space="preserve">
Zero dilution means that no Distilled or RO water is mixed with the existing water and 100 percent dilution means the water is all Distilled or RO water.  </t>
        </r>
      </text>
    </comment>
    <comment ref="B9" authorId="1" shapeId="0">
      <text>
        <r>
          <rPr>
            <b/>
            <sz val="8"/>
            <color indexed="81"/>
            <rFont val="Tahoma"/>
            <family val="2"/>
          </rPr>
          <t>Enter values between 0 and 100</t>
        </r>
        <r>
          <rPr>
            <sz val="9"/>
            <color indexed="81"/>
            <rFont val="Tahoma"/>
            <family val="2"/>
          </rPr>
          <t xml:space="preserve">
</t>
        </r>
      </text>
    </comment>
    <comment ref="D9" authorId="0" shapeId="0">
      <text>
        <r>
          <rPr>
            <sz val="8"/>
            <color indexed="81"/>
            <rFont val="Tahoma"/>
            <family val="2"/>
          </rPr>
          <t xml:space="preserve">Quantity of dilution water used to make the diluted volume of water  </t>
        </r>
      </text>
    </comment>
    <comment ref="F9" authorId="0" shapeId="0">
      <text>
        <r>
          <rPr>
            <sz val="8"/>
            <color indexed="81"/>
            <rFont val="Tahoma"/>
            <family val="2"/>
          </rPr>
          <t>Quantity of dilution water used to make the diluted volume of water</t>
        </r>
        <r>
          <rPr>
            <sz val="9"/>
            <color indexed="81"/>
            <rFont val="Tahoma"/>
            <family val="2"/>
          </rPr>
          <t xml:space="preserve">
</t>
        </r>
      </text>
    </comment>
    <comment ref="A10" authorId="0" shapeId="0">
      <text>
        <r>
          <rPr>
            <sz val="8"/>
            <color indexed="81"/>
            <rFont val="Tahoma"/>
            <family val="2"/>
          </rPr>
          <t>This is the resulting profile of the Existing Water diluted with the proposed percentage of Dilution Water.</t>
        </r>
      </text>
    </comment>
    <comment ref="A11" authorId="1" shapeId="0">
      <text>
        <r>
          <rPr>
            <sz val="8"/>
            <color indexed="81"/>
            <rFont val="Tahoma"/>
            <family val="2"/>
          </rPr>
          <t>If any Target Water Adjustments are negative, the cell shading may be</t>
        </r>
        <r>
          <rPr>
            <b/>
            <sz val="8"/>
            <color indexed="10"/>
            <rFont val="Tahoma"/>
            <family val="2"/>
          </rPr>
          <t xml:space="preserve"> RED</t>
        </r>
        <r>
          <rPr>
            <sz val="8"/>
            <color indexed="81"/>
            <rFont val="Tahoma"/>
            <family val="2"/>
          </rPr>
          <t xml:space="preserve">.  Dilution of the existing water may be necessary to reduce that ion concentration to create the Desired Water Profile.  If the adjustment is less than about 20 ppm, it may be feasible to ignore the need to dilute to correct the value(s). The cells do not turn RED until the needed adjustment is greater than -20 ppm.
Since excess bicarbonate can be corrected with acid addition, the bicarbonate cell does NOT turn </t>
        </r>
        <r>
          <rPr>
            <b/>
            <sz val="8"/>
            <color indexed="10"/>
            <rFont val="Tahoma"/>
            <family val="2"/>
          </rPr>
          <t>RED</t>
        </r>
        <r>
          <rPr>
            <sz val="8"/>
            <color indexed="81"/>
            <rFont val="Tahoma"/>
            <family val="2"/>
          </rPr>
          <t xml:space="preserve"> to signal the need for dilution.</t>
        </r>
      </text>
    </comment>
    <comment ref="A12" authorId="1" shapeId="0">
      <text>
        <r>
          <rPr>
            <sz val="8"/>
            <color indexed="81"/>
            <rFont val="Tahoma"/>
            <family val="2"/>
          </rPr>
          <t xml:space="preserve">Adjust mineral additions (in Table below) until </t>
        </r>
        <r>
          <rPr>
            <b/>
            <sz val="8"/>
            <color indexed="81"/>
            <rFont val="Tahoma"/>
            <family val="2"/>
          </rPr>
          <t xml:space="preserve">Actual Finished Water Adjustments </t>
        </r>
        <r>
          <rPr>
            <sz val="8"/>
            <color indexed="81"/>
            <rFont val="Tahoma"/>
            <family val="2"/>
          </rPr>
          <t xml:space="preserve">are near the </t>
        </r>
        <r>
          <rPr>
            <b/>
            <sz val="8"/>
            <color indexed="81"/>
            <rFont val="Tahoma"/>
            <family val="2"/>
          </rPr>
          <t>Target Finished Water Adjustment</t>
        </r>
        <r>
          <rPr>
            <sz val="8"/>
            <color indexed="81"/>
            <rFont val="Tahoma"/>
            <family val="2"/>
          </rPr>
          <t xml:space="preserve"> values.  The cell color will change to </t>
        </r>
        <r>
          <rPr>
            <b/>
            <sz val="8"/>
            <color indexed="17"/>
            <rFont val="Tahoma"/>
            <family val="2"/>
          </rPr>
          <t xml:space="preserve">GREEN </t>
        </r>
        <r>
          <rPr>
            <sz val="8"/>
            <color indexed="81"/>
            <rFont val="Tahoma"/>
            <family val="2"/>
          </rPr>
          <t xml:space="preserve">when the </t>
        </r>
        <r>
          <rPr>
            <b/>
            <sz val="8"/>
            <color indexed="81"/>
            <rFont val="Tahoma"/>
            <family val="2"/>
          </rPr>
          <t>Actual</t>
        </r>
        <r>
          <rPr>
            <sz val="8"/>
            <color indexed="81"/>
            <rFont val="Tahoma"/>
            <family val="2"/>
          </rPr>
          <t xml:space="preserve"> and </t>
        </r>
        <r>
          <rPr>
            <b/>
            <sz val="8"/>
            <color indexed="81"/>
            <rFont val="Tahoma"/>
            <family val="2"/>
          </rPr>
          <t xml:space="preserve">Target </t>
        </r>
        <r>
          <rPr>
            <sz val="8"/>
            <color indexed="81"/>
            <rFont val="Tahoma"/>
            <family val="2"/>
          </rPr>
          <t xml:space="preserve">values are within 5 ppm to provide the brewer with a quick visual indicator.  </t>
        </r>
      </text>
    </comment>
    <comment ref="E12" authorId="2" shapeId="0">
      <text>
        <r>
          <rPr>
            <sz val="8"/>
            <color indexed="81"/>
            <rFont val="Tahoma"/>
            <family val="2"/>
          </rPr>
          <t>The concentrations of Na, SO4, &amp; Cl shown here are the final concentrations in the kettle.  These concentrations may not always reflect the concentrations shown below since the sparging water concentrations may differ from those values.</t>
        </r>
      </text>
    </comment>
    <comment ref="F12" authorId="2" shapeId="0">
      <text>
        <r>
          <rPr>
            <sz val="8"/>
            <color indexed="81"/>
            <rFont val="Tahoma"/>
            <family val="2"/>
          </rPr>
          <t>The concentrations of Na, SO4, &amp; Cl shown here are the final concentrations in the kettle.  These concentrations may not always reflect the concentrations shown below since the sparging water concentrations may differ from those values.</t>
        </r>
      </text>
    </comment>
    <comment ref="G12" authorId="2" shapeId="0">
      <text>
        <r>
          <rPr>
            <sz val="8"/>
            <color indexed="81"/>
            <rFont val="Tahoma"/>
            <family val="2"/>
          </rPr>
          <t>The concentrations of Na, SO4, &amp; Cl shown here are the final concentrations in the kettle.  These concentrations may not always reflect the concentrations shown below since the sparging water concentrations may differ from those values.</t>
        </r>
      </text>
    </comment>
    <comment ref="A13" authorId="0" shapeId="0">
      <text>
        <r>
          <rPr>
            <sz val="8"/>
            <color indexed="81"/>
            <rFont val="Tahoma"/>
            <family val="2"/>
          </rPr>
          <t xml:space="preserve">This is the water profile that results from the mineral additions to the Existing or Diluted Water Profiles for the </t>
        </r>
        <r>
          <rPr>
            <b/>
            <sz val="8"/>
            <color indexed="81"/>
            <rFont val="Tahoma"/>
            <family val="2"/>
          </rPr>
          <t>MASHING</t>
        </r>
        <r>
          <rPr>
            <sz val="8"/>
            <color indexed="81"/>
            <rFont val="Tahoma"/>
            <family val="2"/>
          </rPr>
          <t xml:space="preserve"> water.  This is the water profile in the </t>
        </r>
        <r>
          <rPr>
            <b/>
            <sz val="8"/>
            <color indexed="81"/>
            <rFont val="Tahoma"/>
            <family val="2"/>
          </rPr>
          <t xml:space="preserve">MASH </t>
        </r>
        <r>
          <rPr>
            <sz val="8"/>
            <color indexed="81"/>
            <rFont val="Tahoma"/>
            <family val="2"/>
          </rPr>
          <t xml:space="preserve">and it may not reflect the final concentrations in the kettle. Upgrade to the Supporter's version to show concentrations in the </t>
        </r>
        <r>
          <rPr>
            <b/>
            <sz val="8"/>
            <color indexed="81"/>
            <rFont val="Tahoma"/>
            <family val="2"/>
          </rPr>
          <t>KETTLE</t>
        </r>
        <r>
          <rPr>
            <sz val="8"/>
            <color indexed="81"/>
            <rFont val="Tahoma"/>
            <family val="2"/>
          </rPr>
          <t>.</t>
        </r>
      </text>
    </comment>
    <comment ref="C13" authorId="0" shapeId="0">
      <text>
        <r>
          <rPr>
            <sz val="8"/>
            <color indexed="81"/>
            <rFont val="Tahoma"/>
            <family val="2"/>
          </rPr>
          <t xml:space="preserve">At least 40 ppm calcium is recommended for oxalate (beerstone) reduction to occur in the mash. This cell turns </t>
        </r>
        <r>
          <rPr>
            <b/>
            <sz val="8"/>
            <color indexed="17"/>
            <rFont val="Tahoma"/>
            <family val="2"/>
          </rPr>
          <t>GREEN</t>
        </r>
        <r>
          <rPr>
            <sz val="8"/>
            <color indexed="81"/>
            <rFont val="Tahoma"/>
            <family val="2"/>
          </rPr>
          <t xml:space="preserve"> when the calcium content </t>
        </r>
        <r>
          <rPr>
            <b/>
            <sz val="8"/>
            <color indexed="81"/>
            <rFont val="Tahoma"/>
            <family val="2"/>
          </rPr>
          <t>IN THE MASH</t>
        </r>
        <r>
          <rPr>
            <sz val="8"/>
            <color indexed="81"/>
            <rFont val="Tahoma"/>
            <family val="2"/>
          </rPr>
          <t xml:space="preserve"> is greater than 40 ppm. 
Lager brewers that want to keep their water mineralization low, can boost calcium content in the mash and rely on sparging water addition to dilute the overall calcium content in the kettle. 
The calcium content in the mash does affect the mash pH. More calcium will drive the mash pH lower, although acid addition is a better way to lower mash pH. 
</t>
        </r>
      </text>
    </comment>
    <comment ref="D13" authorId="0" shapeId="0">
      <text>
        <r>
          <rPr>
            <sz val="8"/>
            <color indexed="81"/>
            <rFont val="Tahoma"/>
            <family val="2"/>
          </rPr>
          <t xml:space="preserve">The magnesium content in the mash does affect the mash pH. More magnesium will drive the mash pH lower, although acid addition is a better way to lower mash pH. </t>
        </r>
      </text>
    </comment>
    <comment ref="E13" authorId="0" shapeId="0">
      <text>
        <r>
          <rPr>
            <sz val="8"/>
            <color indexed="81"/>
            <rFont val="Tahoma"/>
            <family val="2"/>
          </rPr>
          <t xml:space="preserve">There is no need for sodium in the mash. However, Baking Soda is an effective way to add alkalinity to the mash. High sodium content in the mash is OK when using Baking Soda since it will be diluted with the sparging water addition. Although high sodium content in the mash is OK, be sure that the sodium content is acceptably low in the Finished Water Profile.
</t>
        </r>
      </text>
    </comment>
    <comment ref="F13" authorId="0" shapeId="0">
      <text>
        <r>
          <rPr>
            <sz val="8"/>
            <color indexed="81"/>
            <rFont val="Tahoma"/>
            <family val="2"/>
          </rPr>
          <t xml:space="preserve">There is no need for sulfate in the mash. Any sulfate level should be acceptable in the mash, as long as the level in the Finished Water Profile is at the desired level.
</t>
        </r>
      </text>
    </comment>
    <comment ref="G13" authorId="0" shapeId="0">
      <text>
        <r>
          <rPr>
            <sz val="8"/>
            <color indexed="81"/>
            <rFont val="Tahoma"/>
            <family val="2"/>
          </rPr>
          <t>There is no need for chloride in the mash. Any chloride level should be acceptable in the mash, as long as the level in the Finished Water Profile is at the desired level.</t>
        </r>
      </text>
    </comment>
    <comment ref="H13" authorId="0" shapeId="0">
      <text>
        <r>
          <rPr>
            <sz val="8"/>
            <color indexed="81"/>
            <rFont val="Tahoma"/>
            <family val="2"/>
          </rPr>
          <t xml:space="preserve">Bicarbonate does not have an ideal range.  It is needed only to the extent required to produce an appropriate mash pH.
The Target Bicarbonate Adjustment (in the </t>
        </r>
        <r>
          <rPr>
            <b/>
            <sz val="8"/>
            <color indexed="81"/>
            <rFont val="Tahoma"/>
            <family val="2"/>
          </rPr>
          <t>Desired Water Profile</t>
        </r>
        <r>
          <rPr>
            <sz val="8"/>
            <color indexed="81"/>
            <rFont val="Tahoma"/>
            <family val="2"/>
          </rPr>
          <t xml:space="preserve"> above) should be considered an initial guess for the proper Bicarbonate content.  Adjust the Bicarbonate level as needed to produce an acceptable mash pH.</t>
        </r>
      </text>
    </comment>
    <comment ref="I15" authorId="0" shapeId="0">
      <text>
        <r>
          <rPr>
            <sz val="8"/>
            <color indexed="81"/>
            <rFont val="Tahoma"/>
            <family val="2"/>
          </rPr>
          <t>Note that the</t>
        </r>
        <r>
          <rPr>
            <b/>
            <sz val="8"/>
            <color indexed="81"/>
            <rFont val="Tahoma"/>
            <family val="2"/>
          </rPr>
          <t xml:space="preserve"> Total Water Additions</t>
        </r>
        <r>
          <rPr>
            <sz val="8"/>
            <color indexed="81"/>
            <rFont val="Tahoma"/>
            <family val="2"/>
          </rPr>
          <t xml:space="preserve"> may not equal the </t>
        </r>
        <r>
          <rPr>
            <b/>
            <sz val="8"/>
            <color indexed="81"/>
            <rFont val="Tahoma"/>
            <family val="2"/>
          </rPr>
          <t xml:space="preserve">Total Batch Volume </t>
        </r>
        <r>
          <rPr>
            <sz val="8"/>
            <color indexed="81"/>
            <rFont val="Tahoma"/>
            <family val="2"/>
          </rPr>
          <t>due to losses such as grain absorption, kettle deadspace, tun deadspace, evaporation, etc.</t>
        </r>
      </text>
    </comment>
    <comment ref="M15" authorId="0" shapeId="0">
      <text>
        <r>
          <rPr>
            <sz val="8"/>
            <color indexed="81"/>
            <rFont val="Tahoma"/>
            <family val="2"/>
          </rPr>
          <t>Enter the intended post boil volume of the batch.  This is used to estimate the Beer Color on the Grain Bill Input sheet.</t>
        </r>
      </text>
    </comment>
    <comment ref="A16" authorId="0" shapeId="0">
      <text>
        <r>
          <rPr>
            <sz val="8"/>
            <color indexed="81"/>
            <rFont val="Tahoma"/>
            <family val="2"/>
          </rPr>
          <t xml:space="preserve">This mash pH estimate is for the early stage of mashing (say less than 20 minutes after mashing in).  The mash pH may vary a tenth or two as the mashing continues. Initial mash pH over 5.4 tends to fall during the mash and initial mash pH under 5.4 tends to rise during the mash. </t>
        </r>
      </text>
    </comment>
    <comment ref="B16" authorId="0" shapeId="0">
      <text>
        <r>
          <rPr>
            <sz val="8"/>
            <color indexed="81"/>
            <rFont val="Tahoma"/>
            <family val="2"/>
          </rPr>
          <t xml:space="preserve">This pH value is taken from the </t>
        </r>
        <r>
          <rPr>
            <b/>
            <sz val="8"/>
            <color indexed="81"/>
            <rFont val="Tahoma"/>
            <family val="2"/>
          </rPr>
          <t xml:space="preserve">Grain Bill Input </t>
        </r>
        <r>
          <rPr>
            <sz val="8"/>
            <color indexed="81"/>
            <rFont val="Tahoma"/>
            <family val="2"/>
          </rPr>
          <t xml:space="preserve">sheet and is provided to allow the Brewer to see the effect of their water adjustments on the Estimated Mash pH without moving back and forth to the </t>
        </r>
        <r>
          <rPr>
            <b/>
            <sz val="8"/>
            <color indexed="81"/>
            <rFont val="Tahoma"/>
            <family val="2"/>
          </rPr>
          <t>Grain Bill Input</t>
        </r>
        <r>
          <rPr>
            <sz val="8"/>
            <color indexed="81"/>
            <rFont val="Tahoma"/>
            <family val="2"/>
          </rPr>
          <t xml:space="preserve"> sheet.  This pH estimate is </t>
        </r>
        <r>
          <rPr>
            <b/>
            <sz val="8"/>
            <color indexed="81"/>
            <rFont val="Tahoma"/>
            <family val="2"/>
          </rPr>
          <t>NOT</t>
        </r>
        <r>
          <rPr>
            <sz val="8"/>
            <color indexed="81"/>
            <rFont val="Tahoma"/>
            <family val="2"/>
          </rPr>
          <t xml:space="preserve"> correct until the User enters the proper grain and water information for the mash on the </t>
        </r>
        <r>
          <rPr>
            <b/>
            <sz val="8"/>
            <color indexed="81"/>
            <rFont val="Tahoma"/>
            <family val="2"/>
          </rPr>
          <t>Grain Bill Input</t>
        </r>
        <r>
          <rPr>
            <sz val="8"/>
            <color indexed="81"/>
            <rFont val="Tahoma"/>
            <family val="2"/>
          </rPr>
          <t xml:space="preserve"> sheet,   This cell turns </t>
        </r>
        <r>
          <rPr>
            <b/>
            <sz val="8"/>
            <color indexed="10"/>
            <rFont val="Tahoma"/>
            <family val="2"/>
          </rPr>
          <t xml:space="preserve">RED </t>
        </r>
        <r>
          <rPr>
            <sz val="8"/>
            <color indexed="81"/>
            <rFont val="Tahoma"/>
            <family val="2"/>
          </rPr>
          <t xml:space="preserve">if the mash pH is out of the recommended range and </t>
        </r>
        <r>
          <rPr>
            <b/>
            <sz val="8"/>
            <color indexed="53"/>
            <rFont val="Tahoma"/>
            <family val="2"/>
          </rPr>
          <t>ORANGE</t>
        </r>
        <r>
          <rPr>
            <sz val="8"/>
            <color indexed="81"/>
            <rFont val="Tahoma"/>
            <family val="2"/>
          </rPr>
          <t xml:space="preserve"> if the pH is at the range limits.</t>
        </r>
      </text>
    </comment>
    <comment ref="I16" authorId="0" shapeId="0">
      <text>
        <r>
          <rPr>
            <sz val="8"/>
            <color indexed="81"/>
            <rFont val="Tahoma"/>
            <family val="2"/>
          </rPr>
          <t xml:space="preserve">Enter the total volume of water to be used for mashing.  This quantity is important for assessing the Acidity of the mash.
Include </t>
        </r>
        <r>
          <rPr>
            <b/>
            <sz val="8"/>
            <color indexed="81"/>
            <rFont val="Tahoma"/>
            <family val="2"/>
          </rPr>
          <t xml:space="preserve">ALL </t>
        </r>
        <r>
          <rPr>
            <sz val="8"/>
            <color indexed="81"/>
            <rFont val="Tahoma"/>
            <family val="2"/>
          </rPr>
          <t>Foundation Water or water under the Mash Tun's false bottom and water in recirculating piping and hoses in this volume.</t>
        </r>
      </text>
    </comment>
    <comment ref="K16" authorId="0" shapeId="0">
      <text>
        <r>
          <rPr>
            <sz val="8"/>
            <color indexed="81"/>
            <rFont val="Tahoma"/>
            <family val="2"/>
          </rPr>
          <t xml:space="preserve">Enter the total volume of sparge water to be created.  </t>
        </r>
        <r>
          <rPr>
            <b/>
            <sz val="8"/>
            <color indexed="81"/>
            <rFont val="Tahoma"/>
            <family val="2"/>
          </rPr>
          <t xml:space="preserve">Do not </t>
        </r>
        <r>
          <rPr>
            <sz val="8"/>
            <color indexed="81"/>
            <rFont val="Tahoma"/>
            <family val="2"/>
          </rPr>
          <t xml:space="preserve">subtract any water volume that is unused or trapped in a deadspace.
If using No-Sparge brewing methods, set sparging volume to zero.
If your boil kettle produces evaporation loss of more than about 10 percent of the beginning volume, you can consider entering a smaller than actual volume for the sparging water to help reduce the added mineral quantity to your water and avoid excessive mineralization in the wort. </t>
        </r>
      </text>
    </comment>
    <comment ref="A18" authorId="0" shapeId="0">
      <text>
        <r>
          <rPr>
            <sz val="8"/>
            <color indexed="81"/>
            <rFont val="Tahoma"/>
            <family val="2"/>
          </rPr>
          <t>Add food-grade minerals to adjust ion content of water</t>
        </r>
      </text>
    </comment>
    <comment ref="B18" authorId="0" shapeId="0">
      <text>
        <r>
          <rPr>
            <sz val="8"/>
            <color indexed="81"/>
            <rFont val="Tahoma"/>
            <family val="2"/>
          </rPr>
          <t xml:space="preserve">Grams of mineral added to each unit quantity of water.
The ADDITION cells will turn </t>
        </r>
        <r>
          <rPr>
            <b/>
            <sz val="8"/>
            <color indexed="10"/>
            <rFont val="Tahoma"/>
            <family val="2"/>
          </rPr>
          <t>RED</t>
        </r>
        <r>
          <rPr>
            <sz val="8"/>
            <color indexed="81"/>
            <rFont val="Tahoma"/>
            <family val="2"/>
          </rPr>
          <t xml:space="preserve"> if too much of a mineral is added and the Actual Water Adjustment of an ion that the mineral contains differs from the Target Water Adjustment by more than 10 ppm.  MORE THAN ONE MINERAL CELL MAY TURN RED WHEN AN ION BECOMES EXCESSIVE.
Reduce the mineral addition amount for any mineral that shows a</t>
        </r>
        <r>
          <rPr>
            <b/>
            <sz val="8"/>
            <color indexed="10"/>
            <rFont val="Tahoma"/>
            <family val="2"/>
          </rPr>
          <t xml:space="preserve"> RED</t>
        </r>
        <r>
          <rPr>
            <sz val="8"/>
            <color indexed="81"/>
            <rFont val="Tahoma"/>
            <family val="2"/>
          </rPr>
          <t xml:space="preserve"> cell.  It is OK to ignore the warning if the brewer thinks the level will not be excessive.</t>
        </r>
        <r>
          <rPr>
            <sz val="9"/>
            <color indexed="81"/>
            <rFont val="Tahoma"/>
            <family val="2"/>
          </rPr>
          <t xml:space="preserve">
</t>
        </r>
      </text>
    </comment>
    <comment ref="A19" authorId="1" shapeId="0">
      <text>
        <r>
          <rPr>
            <sz val="8"/>
            <color indexed="81"/>
            <rFont val="Tahoma"/>
            <family val="2"/>
          </rPr>
          <t>Gypsum is highly soluble and well suited for enhancing bitterness and dryness perception to finished beer.
Adds Calcium and Sulfate to water. The calculation assumes the mineral is in the dihydrate (x 2H</t>
        </r>
        <r>
          <rPr>
            <vertAlign val="subscript"/>
            <sz val="8"/>
            <color indexed="81"/>
            <rFont val="Tahoma"/>
            <family val="2"/>
          </rPr>
          <t>2</t>
        </r>
        <r>
          <rPr>
            <sz val="8"/>
            <color indexed="81"/>
            <rFont val="Tahoma"/>
            <family val="2"/>
          </rPr>
          <t xml:space="preserve">O) form. This is the most common form.
</t>
        </r>
      </text>
    </comment>
    <comment ref="A20" authorId="0" shapeId="0">
      <text>
        <r>
          <rPr>
            <sz val="8"/>
            <color indexed="81"/>
            <rFont val="Tahoma"/>
            <family val="2"/>
          </rPr>
          <t>CaCl is highly soluble and effective at adding calcium without adding sulfate.  This calculation assumes that the Anhydrous form of this mineral are used in brewing.
To assure that your CaCl is Anhydrous, Bake your CaCl at 375F to 400F (190C to 205C) for about an hour to help assure it is converted to the Anhydrous form. Keep the mineral in an air-tight container to avoid moisture from the air. 
Adds Calcium and Chloride to water.</t>
        </r>
        <r>
          <rPr>
            <sz val="9"/>
            <color indexed="81"/>
            <rFont val="Tahoma"/>
            <family val="2"/>
          </rPr>
          <t xml:space="preserve">
</t>
        </r>
      </text>
    </comment>
    <comment ref="A21" authorId="1" shapeId="0">
      <text>
        <r>
          <rPr>
            <sz val="8"/>
            <color indexed="81"/>
            <rFont val="Tahoma"/>
            <family val="2"/>
          </rPr>
          <t>Use Epsom Salt sparingly to keep Mg content below 30 ppm for most beers.
Adds Magnesium and Sulfate to water. The calculation assumes the Heptahydrate (x 7H</t>
        </r>
        <r>
          <rPr>
            <vertAlign val="subscript"/>
            <sz val="8"/>
            <color indexed="81"/>
            <rFont val="Tahoma"/>
            <family val="2"/>
          </rPr>
          <t>2</t>
        </r>
        <r>
          <rPr>
            <sz val="8"/>
            <color indexed="81"/>
            <rFont val="Tahoma"/>
            <family val="2"/>
          </rPr>
          <t xml:space="preserve">O) form. This is the most common form.
</t>
        </r>
      </text>
    </comment>
    <comment ref="A22" authorId="1" shapeId="0">
      <text>
        <r>
          <rPr>
            <sz val="8"/>
            <color indexed="81"/>
            <rFont val="Tahoma"/>
            <family val="2"/>
          </rPr>
          <t>MgCl</t>
        </r>
        <r>
          <rPr>
            <vertAlign val="subscript"/>
            <sz val="8"/>
            <color indexed="81"/>
            <rFont val="Tahoma"/>
            <family val="2"/>
          </rPr>
          <t>2</t>
        </r>
        <r>
          <rPr>
            <sz val="8"/>
            <color indexed="81"/>
            <rFont val="Tahoma"/>
            <family val="2"/>
          </rPr>
          <t xml:space="preserve"> is not commonly used for water adjustments, but it can be useful for creating some water profiles.</t>
        </r>
        <r>
          <rPr>
            <sz val="8"/>
            <color indexed="81"/>
            <rFont val="Tahoma"/>
            <family val="2"/>
          </rPr>
          <t xml:space="preserve">
Adds Magnesium and Chloride to water. MgCl</t>
        </r>
        <r>
          <rPr>
            <vertAlign val="subscript"/>
            <sz val="8"/>
            <color indexed="81"/>
            <rFont val="Tahoma"/>
            <family val="2"/>
          </rPr>
          <t>2</t>
        </r>
        <r>
          <rPr>
            <sz val="8"/>
            <color indexed="81"/>
            <rFont val="Tahoma"/>
            <family val="2"/>
          </rPr>
          <t xml:space="preserve"> is assumed to be available in its hexahydrate (x 6H</t>
        </r>
        <r>
          <rPr>
            <vertAlign val="subscript"/>
            <sz val="8"/>
            <color indexed="81"/>
            <rFont val="Tahoma"/>
            <family val="2"/>
          </rPr>
          <t>2</t>
        </r>
        <r>
          <rPr>
            <sz val="8"/>
            <color indexed="81"/>
            <rFont val="Tahoma"/>
            <family val="2"/>
          </rPr>
          <t>O) form</t>
        </r>
      </text>
    </comment>
    <comment ref="A23" authorId="1" shapeId="0">
      <text>
        <r>
          <rPr>
            <sz val="8"/>
            <color indexed="81"/>
            <rFont val="Tahoma"/>
            <family val="2"/>
          </rPr>
          <t xml:space="preserve">Non-iodized table salt is preferred.  Keep sodium content below 150 ppm in most beers.
Adds Sodium and Chloride to water. Canning salt exists only in the Anhydrous form. </t>
        </r>
      </text>
    </comment>
    <comment ref="A24" authorId="1" shapeId="0">
      <text>
        <r>
          <rPr>
            <sz val="8"/>
            <color indexed="81"/>
            <rFont val="Tahoma"/>
            <family val="2"/>
          </rPr>
          <t xml:space="preserve">Baking Soda is effective at adding alkalinity, but limit its use to keep the sodium content below 150 ppm.  Be aware that since Baking Soda is only added to the mashing water, the sodium content in the kettle is likely to be less than shown here for the Mashing Water Profile.  The Supporter's version reports the Finished Water Profile in the Kettle that more accurately presents the ending sodium content for the beer.
Baking Soda should not be added to water if acid is also added since they counter each other.   In the Supporter's version, the bicarbonate cells will turn </t>
        </r>
        <r>
          <rPr>
            <b/>
            <sz val="8"/>
            <color indexed="10"/>
            <rFont val="Tahoma"/>
            <family val="2"/>
          </rPr>
          <t>RED</t>
        </r>
        <r>
          <rPr>
            <sz val="8"/>
            <color indexed="81"/>
            <rFont val="Tahoma"/>
            <family val="2"/>
          </rPr>
          <t xml:space="preserve"> if Pickling Lime and an acid are input. That warning helps avoid adding too much mineralization.
Adds Sodium and Bicarbonate to water. Baking soda is only available in its Anhydrous form.
</t>
        </r>
      </text>
    </comment>
    <comment ref="H24" authorId="0" shapeId="0">
      <text>
        <r>
          <rPr>
            <sz val="8"/>
            <color indexed="81"/>
            <rFont val="Tahoma"/>
            <family val="2"/>
          </rPr>
          <t xml:space="preserve">If both an acid and alkali are input on this sheet in the Supporter's version, the bicarbonate cells turn </t>
        </r>
        <r>
          <rPr>
            <b/>
            <sz val="8"/>
            <color indexed="10"/>
            <rFont val="Tahoma"/>
            <family val="2"/>
          </rPr>
          <t>Red</t>
        </r>
        <r>
          <rPr>
            <sz val="8"/>
            <color indexed="81"/>
            <rFont val="Tahoma"/>
            <family val="2"/>
          </rPr>
          <t xml:space="preserve"> to alert the User that both acid and alkaline additions have been input. This warning helps avoid adding too much mineralization.</t>
        </r>
      </text>
    </comment>
    <comment ref="K24" authorId="0" shapeId="0">
      <text>
        <r>
          <rPr>
            <sz val="8"/>
            <color indexed="81"/>
            <rFont val="Tahoma"/>
            <family val="2"/>
          </rPr>
          <t>Do not add Alkalinity producing minerals to the sparge water.</t>
        </r>
      </text>
    </comment>
    <comment ref="A25" authorId="1" shapeId="0">
      <text>
        <r>
          <rPr>
            <sz val="8"/>
            <color indexed="81"/>
            <rFont val="Tahoma"/>
            <family val="2"/>
          </rPr>
          <t xml:space="preserve">Chalk has limited solubility (about 50 mg/L) in water and wort making it less suitable for adding alkalinity.  </t>
        </r>
        <r>
          <rPr>
            <sz val="8"/>
            <color indexed="10"/>
            <rFont val="Tahoma"/>
            <family val="2"/>
          </rPr>
          <t xml:space="preserve">DO NOT USE CHALK FOR BREWING UNLESS IT HAS BEEN FULLY PRE-DISSOLVED INTO WATER WITH CO2. </t>
        </r>
        <r>
          <rPr>
            <sz val="8"/>
            <color indexed="81"/>
            <rFont val="Tahoma"/>
            <family val="2"/>
          </rPr>
          <t xml:space="preserve">
Chalk should not be added to water if acid is also added since they counter each other.   In the Supporter's version, the bicarbonate cells will turn</t>
        </r>
        <r>
          <rPr>
            <b/>
            <sz val="8"/>
            <color indexed="10"/>
            <rFont val="Tahoma"/>
            <family val="2"/>
          </rPr>
          <t xml:space="preserve"> RED</t>
        </r>
        <r>
          <rPr>
            <sz val="8"/>
            <color indexed="81"/>
            <rFont val="Tahoma"/>
            <family val="2"/>
          </rPr>
          <t xml:space="preserve"> if Pickling Lime and an acid are input. That warning helps avoid adding too much mineralization.
Adds Calcium and Bicarbonate to water.  The carbonate content is converted to an equivalent bicarbonate content for use in the program.</t>
        </r>
      </text>
    </comment>
    <comment ref="H25" authorId="0" shapeId="0">
      <text>
        <r>
          <rPr>
            <sz val="8"/>
            <color indexed="81"/>
            <rFont val="Tahoma"/>
            <family val="2"/>
          </rPr>
          <t xml:space="preserve">This is an equivalent bicarbonate concentration.
If both an acid and alkali are input on this sheet in the Supporter's version, the bicarbonate cells turn </t>
        </r>
        <r>
          <rPr>
            <b/>
            <sz val="8"/>
            <color indexed="10"/>
            <rFont val="Tahoma"/>
            <family val="2"/>
          </rPr>
          <t>Red</t>
        </r>
        <r>
          <rPr>
            <sz val="8"/>
            <color indexed="81"/>
            <rFont val="Tahoma"/>
            <family val="2"/>
          </rPr>
          <t xml:space="preserve"> to alert the User that both acid and alkaline additions have been input. This warning helps avoid adding too much mineralization.</t>
        </r>
      </text>
    </comment>
    <comment ref="K25" authorId="0" shapeId="0">
      <text>
        <r>
          <rPr>
            <sz val="8"/>
            <color indexed="81"/>
            <rFont val="Tahoma"/>
            <family val="2"/>
          </rPr>
          <t>Do not add Alkalinity producing minerals to the sparge water.</t>
        </r>
      </text>
    </comment>
    <comment ref="A26" authorId="1" shapeId="0">
      <text>
        <r>
          <rPr>
            <sz val="8"/>
            <color indexed="81"/>
            <rFont val="Tahoma"/>
            <family val="2"/>
          </rPr>
          <t xml:space="preserve">Pickling Lime (aka Slaked Lime) is highly effective at adding alkalinity to water and wort and increasing pH.  This is a strong caustic and must be handled carefully.
</t>
        </r>
        <r>
          <rPr>
            <sz val="8"/>
            <color indexed="10"/>
            <rFont val="Tahoma"/>
            <family val="2"/>
          </rPr>
          <t>ADD PICKLING LIME IN THE MASH ONLY.  DO NOT ADD TO WATER ALONE SINCE THE pH MAY INCREASE TOO HIGH.</t>
        </r>
        <r>
          <rPr>
            <sz val="8"/>
            <color indexed="81"/>
            <rFont val="Tahoma"/>
            <family val="2"/>
          </rPr>
          <t xml:space="preserve">
Pickling Lime should not be added to water if acid is also added since they counter each other.  In the Supporter's version, the bicarbonate cells will turn </t>
        </r>
        <r>
          <rPr>
            <b/>
            <sz val="8"/>
            <color indexed="10"/>
            <rFont val="Tahoma"/>
            <family val="2"/>
          </rPr>
          <t>RED</t>
        </r>
        <r>
          <rPr>
            <sz val="8"/>
            <color indexed="81"/>
            <rFont val="Tahoma"/>
            <family val="2"/>
          </rPr>
          <t xml:space="preserve"> if Pickling Lime and an acid are input. That warning helps avoid adding too much mineralization.
Adds Calcium and Hydroxide to water.  The hydroxide content is converted to an equivalent bicarbonate content for use in the program.</t>
        </r>
      </text>
    </comment>
    <comment ref="H26" authorId="0" shapeId="0">
      <text>
        <r>
          <rPr>
            <sz val="8"/>
            <color indexed="81"/>
            <rFont val="Tahoma"/>
            <family val="2"/>
          </rPr>
          <t>This is an equivalent bicarbonate concentration.
If both an acid and alkali are input on this sheet in the Supporter's version, the bicarbonate cells turn</t>
        </r>
        <r>
          <rPr>
            <b/>
            <sz val="8"/>
            <color indexed="10"/>
            <rFont val="Tahoma"/>
            <family val="2"/>
          </rPr>
          <t xml:space="preserve"> Red</t>
        </r>
        <r>
          <rPr>
            <sz val="8"/>
            <color indexed="81"/>
            <rFont val="Tahoma"/>
            <family val="2"/>
          </rPr>
          <t xml:space="preserve"> to alert the User that both acid and alkaline additions have been input. This warning helps avoid adding too much mineralization.</t>
        </r>
      </text>
    </comment>
    <comment ref="K26" authorId="0" shapeId="0">
      <text>
        <r>
          <rPr>
            <sz val="8"/>
            <color indexed="81"/>
            <rFont val="Tahoma"/>
            <family val="2"/>
          </rPr>
          <t>Do not add Alkalinity producing minerals to the sparge water.</t>
        </r>
      </text>
    </comment>
    <comment ref="A27" authorId="0" shapeId="0">
      <text>
        <r>
          <rPr>
            <sz val="8"/>
            <color indexed="81"/>
            <rFont val="Tahoma"/>
            <family val="2"/>
          </rPr>
          <t>Add acid to mash to reduce bicarbonate concentration.  Use Food-Grade acid when available. Laboratory-Reagent grade acid may be an acceptable alternative when food-grade acid is unavailable.</t>
        </r>
      </text>
    </comment>
    <comment ref="A29" authorId="1" shapeId="0">
      <text>
        <r>
          <rPr>
            <sz val="8"/>
            <color indexed="81"/>
            <rFont val="Tahoma"/>
            <family val="2"/>
          </rPr>
          <t>Select acid type from drop-down box. Also set the Strength parameters, to the right.
The Supporter's version includes the ability to include two acids in the mash and two in the sparge.</t>
        </r>
        <r>
          <rPr>
            <sz val="9"/>
            <color indexed="81"/>
            <rFont val="Tahoma"/>
            <family val="2"/>
          </rPr>
          <t xml:space="preserve">
</t>
        </r>
      </text>
    </comment>
    <comment ref="D29" authorId="1" shapeId="0">
      <text>
        <r>
          <rPr>
            <sz val="8"/>
            <color indexed="81"/>
            <rFont val="Tahoma"/>
            <family val="2"/>
          </rPr>
          <t>Enter the numeric strength value that is reported for your acid. 
Acid strength reported as Percent should be enter as a whole number. Example: 88% acid should be entered as 88 and not as 0.88</t>
        </r>
        <r>
          <rPr>
            <sz val="9"/>
            <color indexed="81"/>
            <rFont val="Tahoma"/>
            <family val="2"/>
          </rPr>
          <t xml:space="preserve">
</t>
        </r>
      </text>
    </comment>
    <comment ref="E29" authorId="1" shapeId="0">
      <text>
        <r>
          <rPr>
            <sz val="8"/>
            <color indexed="81"/>
            <rFont val="Tahoma"/>
            <family val="2"/>
          </rPr>
          <t xml:space="preserve">Click cell to display drop-down box with acid strength parameters: percentage, normality, molarity, and solid. </t>
        </r>
        <r>
          <rPr>
            <sz val="9"/>
            <color indexed="81"/>
            <rFont val="Tahoma"/>
            <family val="2"/>
          </rPr>
          <t xml:space="preserve">
</t>
        </r>
      </text>
    </comment>
    <comment ref="H29" authorId="0" shapeId="0">
      <text>
        <r>
          <rPr>
            <sz val="8"/>
            <color indexed="81"/>
            <rFont val="Tahoma"/>
            <family val="2"/>
          </rPr>
          <t xml:space="preserve">This is an equivalent concentration of neutralized bicarbonate. This is shown as a negative value.
If both an acid and alkali are input on this sheet in the Supporter's version, the bicarbonate cells turn </t>
        </r>
        <r>
          <rPr>
            <b/>
            <sz val="8"/>
            <color indexed="10"/>
            <rFont val="Tahoma"/>
            <family val="2"/>
          </rPr>
          <t>Red</t>
        </r>
        <r>
          <rPr>
            <sz val="8"/>
            <color indexed="10"/>
            <rFont val="Tahoma"/>
            <family val="2"/>
          </rPr>
          <t xml:space="preserve"> </t>
        </r>
        <r>
          <rPr>
            <sz val="8"/>
            <color indexed="81"/>
            <rFont val="Tahoma"/>
            <family val="2"/>
          </rPr>
          <t>to alert the User that both acid and alkaline additions have been input. This warning helps avoid adding too much mineralization.</t>
        </r>
        <r>
          <rPr>
            <sz val="9"/>
            <color indexed="81"/>
            <rFont val="Tahoma"/>
            <family val="2"/>
          </rPr>
          <t xml:space="preserve">
</t>
        </r>
      </text>
    </comment>
    <comment ref="A31" authorId="1" shapeId="0">
      <text>
        <r>
          <rPr>
            <sz val="8"/>
            <color indexed="81"/>
            <rFont val="Tahoma"/>
            <family val="2"/>
          </rPr>
          <t xml:space="preserve">This acid selection is made on the </t>
        </r>
        <r>
          <rPr>
            <b/>
            <sz val="8"/>
            <color indexed="81"/>
            <rFont val="Tahoma"/>
            <family val="2"/>
          </rPr>
          <t xml:space="preserve">Sparge Acidification </t>
        </r>
        <r>
          <rPr>
            <sz val="8"/>
            <color indexed="81"/>
            <rFont val="Tahoma"/>
            <family val="2"/>
          </rPr>
          <t>sheet</t>
        </r>
        <r>
          <rPr>
            <sz val="9"/>
            <color indexed="81"/>
            <rFont val="Tahoma"/>
            <family val="2"/>
          </rPr>
          <t xml:space="preserve">
The Supporter's version includes the ability to include two acids in the mash and two in the sparge.</t>
        </r>
      </text>
    </comment>
    <comment ref="K31" authorId="0" shapeId="0">
      <text>
        <r>
          <rPr>
            <sz val="8"/>
            <color indexed="81"/>
            <rFont val="Tahoma"/>
            <family val="2"/>
          </rPr>
          <t xml:space="preserve">If the Water Volume input on the </t>
        </r>
        <r>
          <rPr>
            <b/>
            <sz val="8"/>
            <color indexed="81"/>
            <rFont val="Tahoma"/>
            <family val="2"/>
          </rPr>
          <t>Sparge Acidification</t>
        </r>
        <r>
          <rPr>
            <sz val="8"/>
            <color indexed="81"/>
            <rFont val="Tahoma"/>
            <family val="2"/>
          </rPr>
          <t xml:space="preserve"> sheet is 1 unit, the acid amount from that sheet is multiplied by the sparge water volume that was input on the</t>
        </r>
        <r>
          <rPr>
            <b/>
            <sz val="8"/>
            <color indexed="81"/>
            <rFont val="Tahoma"/>
            <family val="2"/>
          </rPr>
          <t xml:space="preserve"> Water Adjustment </t>
        </r>
        <r>
          <rPr>
            <sz val="8"/>
            <color indexed="81"/>
            <rFont val="Tahoma"/>
            <family val="2"/>
          </rPr>
          <t xml:space="preserve">sheet. If the water volume on the </t>
        </r>
        <r>
          <rPr>
            <b/>
            <sz val="8"/>
            <color indexed="81"/>
            <rFont val="Tahoma"/>
            <family val="2"/>
          </rPr>
          <t>Sparge Adjustment</t>
        </r>
        <r>
          <rPr>
            <sz val="8"/>
            <color indexed="81"/>
            <rFont val="Tahoma"/>
            <family val="2"/>
          </rPr>
          <t xml:space="preserve"> sheet is not 1 unit, the acid amount from the</t>
        </r>
        <r>
          <rPr>
            <b/>
            <sz val="8"/>
            <color indexed="81"/>
            <rFont val="Tahoma"/>
            <family val="2"/>
          </rPr>
          <t xml:space="preserve"> Sparge Adjustment</t>
        </r>
        <r>
          <rPr>
            <sz val="8"/>
            <color indexed="81"/>
            <rFont val="Tahoma"/>
            <family val="2"/>
          </rPr>
          <t xml:space="preserve"> sheet is shown here. </t>
        </r>
      </text>
    </comment>
  </commentList>
</comments>
</file>

<file path=xl/comments5.xml><?xml version="1.0" encoding="utf-8"?>
<comments xmlns="http://schemas.openxmlformats.org/spreadsheetml/2006/main">
  <authors>
    <author>martin.brungard</author>
  </authors>
  <commentList>
    <comment ref="A3" authorId="0" shapeId="0">
      <text>
        <r>
          <rPr>
            <sz val="8"/>
            <color indexed="81"/>
            <rFont val="Tahoma"/>
            <family val="2"/>
          </rPr>
          <t>This sheet compiles all the water adjustment information onto a single sheet for easy reference and printing.</t>
        </r>
      </text>
    </comment>
    <comment ref="A5" authorId="0" shapeId="0">
      <text>
        <r>
          <rPr>
            <sz val="8"/>
            <color indexed="81"/>
            <rFont val="Tahoma"/>
            <family val="2"/>
          </rPr>
          <t>This is the profile of the tap water. This information is taken from the water profile entered on the</t>
        </r>
        <r>
          <rPr>
            <b/>
            <sz val="8"/>
            <color indexed="81"/>
            <rFont val="Tahoma"/>
            <family val="2"/>
          </rPr>
          <t xml:space="preserve"> Water Report Input</t>
        </r>
        <r>
          <rPr>
            <sz val="8"/>
            <color indexed="81"/>
            <rFont val="Tahoma"/>
            <family val="2"/>
          </rPr>
          <t xml:space="preserve"> sheet.</t>
        </r>
      </text>
    </comment>
    <comment ref="A6" authorId="0" shapeId="0">
      <text>
        <r>
          <rPr>
            <sz val="8"/>
            <color indexed="81"/>
            <rFont val="Tahoma"/>
            <family val="2"/>
          </rPr>
          <t xml:space="preserve">This is the water profile in the mash tun. This information is taken from the water profile developed on the </t>
        </r>
        <r>
          <rPr>
            <b/>
            <sz val="8"/>
            <color indexed="81"/>
            <rFont val="Tahoma"/>
            <family val="2"/>
          </rPr>
          <t>Water Adjustment</t>
        </r>
        <r>
          <rPr>
            <sz val="8"/>
            <color indexed="81"/>
            <rFont val="Tahoma"/>
            <family val="2"/>
          </rPr>
          <t xml:space="preserve"> sheet.</t>
        </r>
        <r>
          <rPr>
            <sz val="9"/>
            <color indexed="81"/>
            <rFont val="Tahoma"/>
            <family val="2"/>
          </rPr>
          <t xml:space="preserve">
</t>
        </r>
      </text>
    </comment>
    <comment ref="A7" authorId="0" shapeId="0">
      <text>
        <r>
          <rPr>
            <sz val="8"/>
            <color indexed="81"/>
            <rFont val="Tahoma"/>
            <family val="2"/>
          </rPr>
          <t xml:space="preserve">These ion ranges are provided for quick comparison with the </t>
        </r>
        <r>
          <rPr>
            <b/>
            <sz val="8"/>
            <color indexed="81"/>
            <rFont val="Tahoma"/>
            <family val="2"/>
          </rPr>
          <t>Mashing or Finished Water Profiles</t>
        </r>
        <r>
          <rPr>
            <sz val="8"/>
            <color indexed="81"/>
            <rFont val="Tahoma"/>
            <family val="2"/>
          </rPr>
          <t xml:space="preserve">. </t>
        </r>
      </text>
    </comment>
    <comment ref="C10" authorId="0" shapeId="0">
      <text>
        <r>
          <rPr>
            <sz val="8"/>
            <color indexed="81"/>
            <rFont val="Tahoma"/>
            <family val="2"/>
          </rPr>
          <t>This information is entered on the</t>
        </r>
        <r>
          <rPr>
            <b/>
            <sz val="8"/>
            <color indexed="81"/>
            <rFont val="Tahoma"/>
            <family val="2"/>
          </rPr>
          <t xml:space="preserve"> Mash Acidification </t>
        </r>
        <r>
          <rPr>
            <sz val="8"/>
            <color indexed="81"/>
            <rFont val="Tahoma"/>
            <family val="2"/>
          </rPr>
          <t>sheet.</t>
        </r>
      </text>
    </comment>
    <comment ref="F10" authorId="0" shapeId="0">
      <text>
        <r>
          <rPr>
            <sz val="8"/>
            <color indexed="81"/>
            <rFont val="Tahoma"/>
            <family val="2"/>
          </rPr>
          <t>The Hardness value is for informational use only. It is not a targeted value.</t>
        </r>
        <r>
          <rPr>
            <sz val="9"/>
            <color indexed="81"/>
            <rFont val="Tahoma"/>
            <family val="2"/>
          </rPr>
          <t xml:space="preserve">
</t>
        </r>
      </text>
    </comment>
    <comment ref="F11" authorId="0" shapeId="0">
      <text>
        <r>
          <rPr>
            <sz val="8"/>
            <color indexed="81"/>
            <rFont val="Tahoma"/>
            <family val="2"/>
          </rPr>
          <t>The Alkalinity value is for informational use only. It is not a targeted value.</t>
        </r>
        <r>
          <rPr>
            <sz val="9"/>
            <color indexed="81"/>
            <rFont val="Tahoma"/>
            <family val="2"/>
          </rPr>
          <t xml:space="preserve">
</t>
        </r>
      </text>
    </comment>
    <comment ref="A13" authorId="0" shapeId="0">
      <text>
        <r>
          <rPr>
            <sz val="8"/>
            <color indexed="81"/>
            <rFont val="Tahoma"/>
            <family val="2"/>
          </rPr>
          <t xml:space="preserve">Water Additions are entered on the </t>
        </r>
        <r>
          <rPr>
            <b/>
            <sz val="8"/>
            <color indexed="81"/>
            <rFont val="Tahoma"/>
            <family val="2"/>
          </rPr>
          <t xml:space="preserve">Water Adjustment </t>
        </r>
        <r>
          <rPr>
            <sz val="8"/>
            <color indexed="81"/>
            <rFont val="Tahoma"/>
            <family val="2"/>
          </rPr>
          <t xml:space="preserve">Sheet and the </t>
        </r>
        <r>
          <rPr>
            <b/>
            <sz val="8"/>
            <color indexed="81"/>
            <rFont val="Tahoma"/>
            <family val="2"/>
          </rPr>
          <t>Sparge Acidification</t>
        </r>
        <r>
          <rPr>
            <sz val="8"/>
            <color indexed="81"/>
            <rFont val="Tahoma"/>
            <family val="2"/>
          </rPr>
          <t xml:space="preserve"> sheet.</t>
        </r>
      </text>
    </comment>
    <comment ref="F13" authorId="0" shapeId="0">
      <text>
        <r>
          <rPr>
            <sz val="8"/>
            <color indexed="81"/>
            <rFont val="Tahoma"/>
            <family val="2"/>
          </rPr>
          <t xml:space="preserve">This is the total water amount used for mashing.  
This information is entered on the </t>
        </r>
        <r>
          <rPr>
            <b/>
            <sz val="8"/>
            <color indexed="81"/>
            <rFont val="Tahoma"/>
            <family val="2"/>
          </rPr>
          <t xml:space="preserve">Water Adjustment </t>
        </r>
        <r>
          <rPr>
            <sz val="8"/>
            <color indexed="81"/>
            <rFont val="Tahoma"/>
            <family val="2"/>
          </rPr>
          <t>sheet.</t>
        </r>
      </text>
    </comment>
    <comment ref="I13" authorId="0" shapeId="0">
      <text>
        <r>
          <rPr>
            <sz val="8"/>
            <color indexed="81"/>
            <rFont val="Tahoma"/>
            <family val="2"/>
          </rPr>
          <t xml:space="preserve">This is the total volume of water used for sparging.  This information is entered on the </t>
        </r>
        <r>
          <rPr>
            <b/>
            <sz val="8"/>
            <color indexed="81"/>
            <rFont val="Tahoma"/>
            <family val="2"/>
          </rPr>
          <t xml:space="preserve">Water Adjustment </t>
        </r>
        <r>
          <rPr>
            <sz val="8"/>
            <color indexed="81"/>
            <rFont val="Tahoma"/>
            <family val="2"/>
          </rPr>
          <t>sheet.</t>
        </r>
      </text>
    </comment>
    <comment ref="F14" authorId="0" shapeId="0">
      <text>
        <r>
          <rPr>
            <sz val="8"/>
            <color indexed="81"/>
            <rFont val="Tahoma"/>
            <family val="2"/>
          </rPr>
          <t xml:space="preserve">This is the amount of dilution water added to create the Total Mash Water Volume.  The Dilution Volume is adjusted by the Dilution Percentage input on the </t>
        </r>
        <r>
          <rPr>
            <b/>
            <sz val="8"/>
            <color indexed="81"/>
            <rFont val="Tahoma"/>
            <family val="2"/>
          </rPr>
          <t xml:space="preserve">Water Adjustment </t>
        </r>
        <r>
          <rPr>
            <sz val="8"/>
            <color indexed="81"/>
            <rFont val="Tahoma"/>
            <family val="2"/>
          </rPr>
          <t>sheet.</t>
        </r>
      </text>
    </comment>
    <comment ref="E26" authorId="0" shapeId="0">
      <text>
        <r>
          <rPr>
            <sz val="8"/>
            <color indexed="81"/>
            <rFont val="Tahoma"/>
            <family val="2"/>
          </rPr>
          <t>This acid amount is from the</t>
        </r>
        <r>
          <rPr>
            <b/>
            <sz val="8"/>
            <color indexed="81"/>
            <rFont val="Tahoma"/>
            <family val="2"/>
          </rPr>
          <t xml:space="preserve"> Water Adjustment </t>
        </r>
        <r>
          <rPr>
            <sz val="8"/>
            <color indexed="81"/>
            <rFont val="Tahoma"/>
            <family val="2"/>
          </rPr>
          <t>sheet.</t>
        </r>
      </text>
    </comment>
    <comment ref="H27" authorId="0" shapeId="0">
      <text>
        <r>
          <rPr>
            <sz val="8"/>
            <color indexed="81"/>
            <rFont val="Tahoma"/>
            <family val="2"/>
          </rPr>
          <t xml:space="preserve">If the Water Volume input on the </t>
        </r>
        <r>
          <rPr>
            <b/>
            <sz val="8"/>
            <color indexed="81"/>
            <rFont val="Tahoma"/>
            <family val="2"/>
          </rPr>
          <t>Sparge Acidification</t>
        </r>
        <r>
          <rPr>
            <sz val="8"/>
            <color indexed="81"/>
            <rFont val="Tahoma"/>
            <family val="2"/>
          </rPr>
          <t xml:space="preserve"> sheet is 1 gallon, the acid amount from that sheet is multiplied by the sparge water volume that was input on the </t>
        </r>
        <r>
          <rPr>
            <b/>
            <sz val="8"/>
            <color indexed="81"/>
            <rFont val="Tahoma"/>
            <family val="2"/>
          </rPr>
          <t xml:space="preserve">Water Adjustment </t>
        </r>
        <r>
          <rPr>
            <sz val="8"/>
            <color indexed="81"/>
            <rFont val="Tahoma"/>
            <family val="2"/>
          </rPr>
          <t xml:space="preserve">sheet. If the water volume on the </t>
        </r>
        <r>
          <rPr>
            <b/>
            <sz val="8"/>
            <color indexed="81"/>
            <rFont val="Tahoma"/>
            <family val="2"/>
          </rPr>
          <t xml:space="preserve">Sparge Adjustment </t>
        </r>
        <r>
          <rPr>
            <sz val="8"/>
            <color indexed="81"/>
            <rFont val="Tahoma"/>
            <family val="2"/>
          </rPr>
          <t xml:space="preserve">sheet is not 1 gallon, the acid amount from the </t>
        </r>
        <r>
          <rPr>
            <b/>
            <sz val="8"/>
            <color indexed="81"/>
            <rFont val="Tahoma"/>
            <family val="2"/>
          </rPr>
          <t>Sparge Adjustment</t>
        </r>
        <r>
          <rPr>
            <sz val="8"/>
            <color indexed="81"/>
            <rFont val="Tahoma"/>
            <family val="2"/>
          </rPr>
          <t xml:space="preserve"> sheet is shown here. </t>
        </r>
      </text>
    </comment>
  </commentList>
</comments>
</file>

<file path=xl/sharedStrings.xml><?xml version="1.0" encoding="utf-8"?>
<sst xmlns="http://schemas.openxmlformats.org/spreadsheetml/2006/main" count="835" uniqueCount="576">
  <si>
    <r>
      <t>Alkalinity (ppm as CaCO</t>
    </r>
    <r>
      <rPr>
        <vertAlign val="subscript"/>
        <sz val="10"/>
        <rFont val="Arial"/>
        <family val="2"/>
      </rPr>
      <t>3</t>
    </r>
    <r>
      <rPr>
        <sz val="10"/>
        <rFont val="Arial"/>
        <family val="2"/>
      </rPr>
      <t>)</t>
    </r>
  </si>
  <si>
    <t>Adjustment Summary</t>
  </si>
  <si>
    <t>German Hardness (GH) (degrees)</t>
  </si>
  <si>
    <t>Karbonate Hardness (KH) (degrees)</t>
  </si>
  <si>
    <t xml:space="preserve">Mash  </t>
  </si>
  <si>
    <t xml:space="preserve">Sparge  </t>
  </si>
  <si>
    <t>Water Volume   (gal)</t>
  </si>
  <si>
    <t>Not Recommended</t>
  </si>
  <si>
    <t>Black: over 31 SRM</t>
  </si>
  <si>
    <t>Yellow: under 6 SRM</t>
  </si>
  <si>
    <t>Total Water Additions</t>
  </si>
  <si>
    <t>mabrungard@hotmail.com</t>
  </si>
  <si>
    <t>User Custom</t>
  </si>
  <si>
    <t xml:space="preserve">This program is unique in that it enables the evaluation of both brewing water alkalinity and mash acidity to more closely estimate and assess the mash water adjustments needed.  The mash acidity is calculated from the actual grain bill used for each brewing session.   </t>
  </si>
  <si>
    <t>Special B</t>
  </si>
  <si>
    <t>Carafa</t>
  </si>
  <si>
    <t>Measurements</t>
  </si>
  <si>
    <t>Malic</t>
  </si>
  <si>
    <t>Final Water Alkalinity =</t>
  </si>
  <si>
    <t>Bru'n Water</t>
  </si>
  <si>
    <t>Sparge Water Acidification</t>
  </si>
  <si>
    <t>r1o=</t>
  </si>
  <si>
    <t>r2o=</t>
  </si>
  <si>
    <t>do=</t>
  </si>
  <si>
    <t>f1o=</t>
  </si>
  <si>
    <t>f20=</t>
  </si>
  <si>
    <t>f3o=</t>
  </si>
  <si>
    <t>pHb=</t>
  </si>
  <si>
    <t>r1b=</t>
  </si>
  <si>
    <t>r2b=</t>
  </si>
  <si>
    <t>db=</t>
  </si>
  <si>
    <t>f1b=</t>
  </si>
  <si>
    <t>f2b=</t>
  </si>
  <si>
    <t>f3b=</t>
  </si>
  <si>
    <t>Ct=</t>
  </si>
  <si>
    <t>Acid Required=</t>
  </si>
  <si>
    <t>r1c=</t>
  </si>
  <si>
    <t>r2c=</t>
  </si>
  <si>
    <t>dc=</t>
  </si>
  <si>
    <t>f1c=</t>
  </si>
  <si>
    <t>f2c=</t>
  </si>
  <si>
    <t>f3c=</t>
  </si>
  <si>
    <t>acid</t>
  </si>
  <si>
    <t>pK1</t>
  </si>
  <si>
    <t>pK2</t>
  </si>
  <si>
    <t>pK3</t>
  </si>
  <si>
    <t>Mol. Wt.</t>
  </si>
  <si>
    <t>Acetic</t>
  </si>
  <si>
    <t>Citric</t>
  </si>
  <si>
    <t>Hydrochloric</t>
  </si>
  <si>
    <t>Lactic</t>
  </si>
  <si>
    <t>Phosphoric</t>
  </si>
  <si>
    <t>Sulfuric</t>
  </si>
  <si>
    <t>Tartaric</t>
  </si>
  <si>
    <t>r1d=</t>
  </si>
  <si>
    <t>r2d=</t>
  </si>
  <si>
    <t>r3d=</t>
  </si>
  <si>
    <t>dd=</t>
  </si>
  <si>
    <t>f1d=</t>
  </si>
  <si>
    <t>f2d=</t>
  </si>
  <si>
    <t>f3d=</t>
  </si>
  <si>
    <t>f4d=</t>
  </si>
  <si>
    <t>frac=</t>
  </si>
  <si>
    <t>mM required=</t>
  </si>
  <si>
    <t>SG</t>
  </si>
  <si>
    <t>SU</t>
  </si>
  <si>
    <t>Standard Units</t>
  </si>
  <si>
    <t>N</t>
  </si>
  <si>
    <t>Calcium (Ca)</t>
  </si>
  <si>
    <t>Magnesium (Mg)</t>
  </si>
  <si>
    <t>Sodium (Na)</t>
  </si>
  <si>
    <t>Potassium (K)</t>
  </si>
  <si>
    <t>Chloride (Cl)</t>
  </si>
  <si>
    <t>Magnesium (ppm)</t>
  </si>
  <si>
    <t>Calcium      (ppm)</t>
  </si>
  <si>
    <t>Sodium        (ppm)</t>
  </si>
  <si>
    <t>Sulfate        (ppm)</t>
  </si>
  <si>
    <t>Chloride      (ppm)</t>
  </si>
  <si>
    <t>Bicarbonate (ppm)</t>
  </si>
  <si>
    <t>Estimated Bicarbonate Concentration (ppm)</t>
  </si>
  <si>
    <t>Cations (meq/L)</t>
  </si>
  <si>
    <t>Anions (meq/L)</t>
  </si>
  <si>
    <t>Total Hardness</t>
  </si>
  <si>
    <t>Beerse</t>
  </si>
  <si>
    <t>Brugse</t>
  </si>
  <si>
    <t>Brussels</t>
  </si>
  <si>
    <t>Dusseldorf</t>
  </si>
  <si>
    <t>Willebroek</t>
  </si>
  <si>
    <t>Hoegaarden</t>
  </si>
  <si>
    <t>Brabant</t>
  </si>
  <si>
    <t>Achouffe</t>
  </si>
  <si>
    <t>Orval</t>
  </si>
  <si>
    <t>Rochefort</t>
  </si>
  <si>
    <t>Chimay</t>
  </si>
  <si>
    <t>Ardennes</t>
  </si>
  <si>
    <t>Antwerpen/Anvers</t>
  </si>
  <si>
    <t>Henegouwen/Hainaut</t>
  </si>
  <si>
    <t>Luik/Liege</t>
  </si>
  <si>
    <t>East Flanders</t>
  </si>
  <si>
    <t>West Flanders</t>
  </si>
  <si>
    <r>
      <t>Nitrate (NO</t>
    </r>
    <r>
      <rPr>
        <vertAlign val="subscript"/>
        <sz val="10"/>
        <rFont val="Arial"/>
        <family val="2"/>
      </rPr>
      <t>3</t>
    </r>
    <r>
      <rPr>
        <sz val="10"/>
        <rFont val="Arial"/>
        <family val="2"/>
      </rPr>
      <t>)</t>
    </r>
  </si>
  <si>
    <r>
      <t>Sulfate (SO</t>
    </r>
    <r>
      <rPr>
        <vertAlign val="subscript"/>
        <sz val="10"/>
        <rFont val="Arial"/>
        <family val="2"/>
      </rPr>
      <t>4</t>
    </r>
    <r>
      <rPr>
        <sz val="10"/>
        <rFont val="Arial"/>
        <family val="2"/>
      </rPr>
      <t>)</t>
    </r>
  </si>
  <si>
    <r>
      <t>Carbonate (CO</t>
    </r>
    <r>
      <rPr>
        <vertAlign val="subscript"/>
        <sz val="10"/>
        <rFont val="Arial"/>
        <family val="2"/>
      </rPr>
      <t>3</t>
    </r>
    <r>
      <rPr>
        <sz val="10"/>
        <rFont val="Arial"/>
        <family val="2"/>
      </rPr>
      <t>)</t>
    </r>
  </si>
  <si>
    <r>
      <t>Bicarbonate (HCO</t>
    </r>
    <r>
      <rPr>
        <vertAlign val="subscript"/>
        <sz val="10"/>
        <rFont val="Arial"/>
        <family val="2"/>
      </rPr>
      <t>3</t>
    </r>
    <r>
      <rPr>
        <sz val="10"/>
        <rFont val="Arial"/>
        <family val="2"/>
      </rPr>
      <t>)</t>
    </r>
  </si>
  <si>
    <r>
      <t>Nitrite (NO</t>
    </r>
    <r>
      <rPr>
        <vertAlign val="subscript"/>
        <sz val="10"/>
        <rFont val="Arial"/>
        <family val="2"/>
      </rPr>
      <t>2</t>
    </r>
    <r>
      <rPr>
        <sz val="10"/>
        <rFont val="Arial"/>
        <family val="2"/>
      </rPr>
      <t>)</t>
    </r>
  </si>
  <si>
    <t>Iron (Fe)</t>
  </si>
  <si>
    <t>Fluoride (F)</t>
  </si>
  <si>
    <t>Canning Salt (NaCl)</t>
  </si>
  <si>
    <t>Starting Water pH =</t>
  </si>
  <si>
    <t>Reported or Measured Water pH</t>
  </si>
  <si>
    <t>RO Water</t>
  </si>
  <si>
    <t>Burton</t>
  </si>
  <si>
    <t>Dortmund</t>
  </si>
  <si>
    <t>Dublin</t>
  </si>
  <si>
    <t>Edinburgh</t>
  </si>
  <si>
    <t>London</t>
  </si>
  <si>
    <t>Munich</t>
  </si>
  <si>
    <t>Pilsen</t>
  </si>
  <si>
    <t>Vienna</t>
  </si>
  <si>
    <t>Acid Malt</t>
  </si>
  <si>
    <t>Quantity (oz)</t>
  </si>
  <si>
    <t>Grains</t>
  </si>
  <si>
    <t>Color (L)</t>
  </si>
  <si>
    <t>Quantity (lb)</t>
  </si>
  <si>
    <t>Cations</t>
  </si>
  <si>
    <t>Anions</t>
  </si>
  <si>
    <t>Water Report Input</t>
  </si>
  <si>
    <r>
      <t>multiply lab result by 3 if lab reports as SO</t>
    </r>
    <r>
      <rPr>
        <vertAlign val="subscript"/>
        <sz val="10"/>
        <rFont val="Arial"/>
        <family val="2"/>
      </rPr>
      <t>4</t>
    </r>
    <r>
      <rPr>
        <sz val="10"/>
        <rFont val="Arial"/>
        <family val="2"/>
      </rPr>
      <t>-S</t>
    </r>
  </si>
  <si>
    <r>
      <t>multiply lab result by 4.43 if lab reports as NO</t>
    </r>
    <r>
      <rPr>
        <vertAlign val="subscript"/>
        <sz val="10"/>
        <rFont val="Arial"/>
        <family val="2"/>
      </rPr>
      <t>3</t>
    </r>
    <r>
      <rPr>
        <sz val="10"/>
        <rFont val="Arial"/>
        <family val="2"/>
      </rPr>
      <t>-N</t>
    </r>
  </si>
  <si>
    <t>Alkalinity</t>
  </si>
  <si>
    <t>RA</t>
  </si>
  <si>
    <t>Pale Ale Profile</t>
  </si>
  <si>
    <t>Mild Ale Profile</t>
  </si>
  <si>
    <t>Amber Balanced</t>
  </si>
  <si>
    <t>Brown Balanced</t>
  </si>
  <si>
    <t>Black Balanced</t>
  </si>
  <si>
    <t>American Lager</t>
  </si>
  <si>
    <t>Amber: 7 to 17 SRM</t>
  </si>
  <si>
    <t>Brown: 18 to 30 SRM</t>
  </si>
  <si>
    <t>Desired Water Profile</t>
  </si>
  <si>
    <t>When inputing Custom water profiles, make sure the cation and anion columns are green indicating that they are balanced.  Adjust the various ion concentrations to achieve balance.</t>
  </si>
  <si>
    <t>Getting Started</t>
  </si>
  <si>
    <t>THE SOFTWARE IS PROVIDED "AS IS", WITHOUT WARRANTY OF ANY KIND, EXPRESS OR IMPLIED, INCLUDING BUT NOT LIMITED TO THE WARRANTIES OF MERCHANTABILITY, FITNESS FOR A PARTICULAR PURPOSE AND NONINFRINGEMENT OF THIRD PARTY RIGHTS. 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t>
  </si>
  <si>
    <t>Water Adjustment</t>
  </si>
  <si>
    <t>Distilled Water</t>
  </si>
  <si>
    <t>Dilution Water Profile</t>
  </si>
  <si>
    <t>Diluted Water Profile</t>
  </si>
  <si>
    <t>Existing Water Profile</t>
  </si>
  <si>
    <t>%</t>
  </si>
  <si>
    <t>M</t>
  </si>
  <si>
    <t>n</t>
  </si>
  <si>
    <r>
      <t>Baking Soda (NaHCO</t>
    </r>
    <r>
      <rPr>
        <vertAlign val="subscript"/>
        <sz val="8"/>
        <rFont val="Arial"/>
        <family val="2"/>
      </rPr>
      <t>3</t>
    </r>
    <r>
      <rPr>
        <sz val="8"/>
        <rFont val="Arial"/>
        <family val="2"/>
      </rPr>
      <t>)</t>
    </r>
  </si>
  <si>
    <r>
      <t>Chalk (CaCO</t>
    </r>
    <r>
      <rPr>
        <vertAlign val="subscript"/>
        <sz val="8"/>
        <rFont val="Arial"/>
        <family val="2"/>
      </rPr>
      <t>3</t>
    </r>
    <r>
      <rPr>
        <sz val="8"/>
        <rFont val="Arial"/>
        <family val="2"/>
      </rPr>
      <t>)</t>
    </r>
  </si>
  <si>
    <t>Approximate Color Descriptors for Water Profiles</t>
  </si>
  <si>
    <t>Water Additions</t>
  </si>
  <si>
    <t>ppm</t>
  </si>
  <si>
    <r>
      <t>ppm as CaCO</t>
    </r>
    <r>
      <rPr>
        <vertAlign val="subscript"/>
        <sz val="8"/>
        <rFont val="Arial"/>
        <family val="2"/>
      </rPr>
      <t>3</t>
    </r>
  </si>
  <si>
    <t>oz/gal</t>
  </si>
  <si>
    <t>pt/gal</t>
  </si>
  <si>
    <t>Water Profile</t>
  </si>
  <si>
    <t>INPUTS</t>
  </si>
  <si>
    <t>OUTPUTS</t>
  </si>
  <si>
    <r>
      <t>Pickling Lime (Ca(OH)</t>
    </r>
    <r>
      <rPr>
        <vertAlign val="subscript"/>
        <sz val="8"/>
        <rFont val="Arial"/>
        <family val="2"/>
      </rPr>
      <t>2</t>
    </r>
    <r>
      <rPr>
        <sz val="8"/>
        <rFont val="Arial"/>
        <family val="2"/>
      </rPr>
      <t>)</t>
    </r>
  </si>
  <si>
    <t>Instructions</t>
  </si>
  <si>
    <t>Created by Martin Brungard, P.E. D.WRE  (mabrungard@hotmail.com)</t>
  </si>
  <si>
    <t>Existing Water</t>
  </si>
  <si>
    <t>Adjusted Water</t>
  </si>
  <si>
    <t>2 Row Pale Malt</t>
  </si>
  <si>
    <t>Water to Grist Ratio (Qts/Lb)</t>
  </si>
  <si>
    <t>Grain Type</t>
  </si>
  <si>
    <t>Base Malt</t>
  </si>
  <si>
    <t>Crystal Malt</t>
  </si>
  <si>
    <t>Roast Malt</t>
  </si>
  <si>
    <t>Total Grist Weight (lbs)</t>
  </si>
  <si>
    <t>Est. Beer Color (SRM)</t>
  </si>
  <si>
    <t>&lt; These conversions are provided for your convenience</t>
  </si>
  <si>
    <t>Enter Ion Concentrations from Water Report     (mg/L or ppm)</t>
  </si>
  <si>
    <t>Water used for Mash</t>
  </si>
  <si>
    <t>Acknowledgements</t>
  </si>
  <si>
    <t xml:space="preserve">About the Author </t>
  </si>
  <si>
    <t>Estimated Room-Temperature Mash pH</t>
  </si>
  <si>
    <t>Yellow Balanced</t>
  </si>
  <si>
    <t>Total Mineral Additions (grams)</t>
  </si>
  <si>
    <t>Support the development of Bru'n Water</t>
  </si>
  <si>
    <t>Homebrewing and Craftbrewing are unique in their need to frequently assess and adjust their brewing water to better suit their upcoming beer.  This differs from the needs of production breweries that brew thousands of barrels of the same beer every year.  Consistency is the key for production brewers and they have little need to evaluate or change their brewing water.  Through trial and error and advanced laboratory analyses, production breweries typically know exactly what adjustments they need for their brewing water.  Homebrewers and Craftbrewers rarely have the tools at their disposal to perfect their water and since they often change what beer they brew, a capable tool is helpful.  This brewing tool is intended to aid those who want to get great results out of every batch.</t>
  </si>
  <si>
    <t>Calcium (ppm)</t>
  </si>
  <si>
    <t>Carbonate (ppm)</t>
  </si>
  <si>
    <t>Sulfate (ppm)</t>
  </si>
  <si>
    <t>Nitrate (ppm)</t>
  </si>
  <si>
    <t>Input</t>
  </si>
  <si>
    <t>Output</t>
  </si>
  <si>
    <t>Output Reporting Unit</t>
  </si>
  <si>
    <t xml:space="preserve">Input Reporting Unit  </t>
  </si>
  <si>
    <t>Ion Concentration Conversion Calculator</t>
  </si>
  <si>
    <r>
      <t>Calcium (ppm as CaCO</t>
    </r>
    <r>
      <rPr>
        <vertAlign val="subscript"/>
        <sz val="10"/>
        <rFont val="Arial"/>
        <family val="2"/>
      </rPr>
      <t>3</t>
    </r>
    <r>
      <rPr>
        <sz val="10"/>
        <rFont val="Arial"/>
        <family val="2"/>
      </rPr>
      <t>)</t>
    </r>
  </si>
  <si>
    <r>
      <t>Magnesium (ppm as CaCO</t>
    </r>
    <r>
      <rPr>
        <vertAlign val="subscript"/>
        <sz val="10"/>
        <rFont val="Arial"/>
        <family val="2"/>
      </rPr>
      <t>3</t>
    </r>
    <r>
      <rPr>
        <sz val="10"/>
        <rFont val="Arial"/>
        <family val="2"/>
      </rPr>
      <t>)</t>
    </r>
  </si>
  <si>
    <r>
      <t>Bicarbonate (ppm as CaCO</t>
    </r>
    <r>
      <rPr>
        <vertAlign val="subscript"/>
        <sz val="10"/>
        <rFont val="Arial"/>
        <family val="2"/>
      </rPr>
      <t>3</t>
    </r>
    <r>
      <rPr>
        <sz val="10"/>
        <rFont val="Arial"/>
        <family val="2"/>
      </rPr>
      <t>)</t>
    </r>
  </si>
  <si>
    <r>
      <t>Carbonate (ppm as CaCO</t>
    </r>
    <r>
      <rPr>
        <vertAlign val="subscript"/>
        <sz val="10"/>
        <rFont val="Arial"/>
        <family val="2"/>
      </rPr>
      <t>3</t>
    </r>
    <r>
      <rPr>
        <sz val="10"/>
        <rFont val="Arial"/>
        <family val="2"/>
      </rPr>
      <t>)</t>
    </r>
  </si>
  <si>
    <r>
      <t>Sulfate (ppm as SO</t>
    </r>
    <r>
      <rPr>
        <vertAlign val="subscript"/>
        <sz val="10"/>
        <rFont val="Arial"/>
        <family val="2"/>
      </rPr>
      <t>4</t>
    </r>
    <r>
      <rPr>
        <sz val="10"/>
        <rFont val="Arial"/>
        <family val="2"/>
      </rPr>
      <t>-S)</t>
    </r>
  </si>
  <si>
    <r>
      <t xml:space="preserve">Water Profile Adjustment Calculator           </t>
    </r>
    <r>
      <rPr>
        <b/>
        <sz val="10"/>
        <rFont val="Arial"/>
        <family val="2"/>
      </rPr>
      <t xml:space="preserve">             </t>
    </r>
    <r>
      <rPr>
        <b/>
        <sz val="10"/>
        <color indexed="12"/>
        <rFont val="Arial"/>
        <family val="2"/>
      </rPr>
      <t xml:space="preserve">   </t>
    </r>
  </si>
  <si>
    <t xml:space="preserve">Water Report Input </t>
  </si>
  <si>
    <r>
      <t xml:space="preserve">                                                        </t>
    </r>
    <r>
      <rPr>
        <b/>
        <u/>
        <sz val="10"/>
        <rFont val="Arial"/>
        <family val="2"/>
      </rPr>
      <t>Beer Color Descriptors</t>
    </r>
    <r>
      <rPr>
        <sz val="10"/>
        <rFont val="Arial"/>
        <family val="2"/>
      </rPr>
      <t xml:space="preserve">
                                                       Yellow:              SRM &lt; 6
                                                       Amber:              SRM between 7 and 17
                                                       Brown:              SRM between 18 and 30
                                                       Black:               SRM &gt; 31</t>
    </r>
  </si>
  <si>
    <t>Liters</t>
  </si>
  <si>
    <t xml:space="preserve">Bru'n Water </t>
  </si>
  <si>
    <t>Water Adjustment Summary</t>
  </si>
  <si>
    <t>Mash Water Additions</t>
  </si>
  <si>
    <t>Sparge Water Additions</t>
  </si>
  <si>
    <t>Estimated Mash pH</t>
  </si>
  <si>
    <t>0 to 100</t>
  </si>
  <si>
    <t>0 to 150</t>
  </si>
  <si>
    <t>0 to 350</t>
  </si>
  <si>
    <t>as needed</t>
  </si>
  <si>
    <t>Recommended Ranges</t>
  </si>
  <si>
    <t>Additions</t>
  </si>
  <si>
    <t>Mash Parameters</t>
  </si>
  <si>
    <t xml:space="preserve">Not Recommended </t>
  </si>
  <si>
    <t>(grams)</t>
  </si>
  <si>
    <t>Sodium (ppm)</t>
  </si>
  <si>
    <t>Chloride (ppm)</t>
  </si>
  <si>
    <r>
      <t>Alkalinity (ppm as CaCO</t>
    </r>
    <r>
      <rPr>
        <vertAlign val="subscript"/>
        <sz val="9"/>
        <rFont val="Arial"/>
        <family val="2"/>
      </rPr>
      <t>3</t>
    </r>
    <r>
      <rPr>
        <sz val="9"/>
        <rFont val="Arial"/>
        <family val="2"/>
      </rPr>
      <t>)</t>
    </r>
  </si>
  <si>
    <r>
      <t>Hardness (ppm as CaCO</t>
    </r>
    <r>
      <rPr>
        <vertAlign val="subscript"/>
        <sz val="9"/>
        <rFont val="Arial"/>
        <family val="2"/>
      </rPr>
      <t>3</t>
    </r>
    <r>
      <rPr>
        <sz val="9"/>
        <rFont val="Arial"/>
        <family val="2"/>
      </rPr>
      <t>)</t>
    </r>
  </si>
  <si>
    <r>
      <t>SO</t>
    </r>
    <r>
      <rPr>
        <vertAlign val="subscript"/>
        <sz val="8"/>
        <rFont val="Arial"/>
        <family val="2"/>
      </rPr>
      <t>4</t>
    </r>
    <r>
      <rPr>
        <sz val="8"/>
        <rFont val="Arial"/>
        <family val="2"/>
      </rPr>
      <t>/Cl Ratio</t>
    </r>
  </si>
  <si>
    <t>Dublin (boiled)</t>
  </si>
  <si>
    <t>Edinburgh (boiled)</t>
  </si>
  <si>
    <t>London (boiled)</t>
  </si>
  <si>
    <t>Vienna (boiled)</t>
  </si>
  <si>
    <t>Dusseldorf (boiled)</t>
  </si>
  <si>
    <t>Beerse (boiled)</t>
  </si>
  <si>
    <t>Brugse (boiled)</t>
  </si>
  <si>
    <t>Brussels (boiled)</t>
  </si>
  <si>
    <t>Hoegaarden (boiled)</t>
  </si>
  <si>
    <t>Willebroek (boiled)</t>
  </si>
  <si>
    <t>Antwerpen/Anvers (boiled)</t>
  </si>
  <si>
    <t>Brabant (boiled)</t>
  </si>
  <si>
    <t>Henegouwen/Hainaut (boiled)</t>
  </si>
  <si>
    <t>Orval (boiled)</t>
  </si>
  <si>
    <t>Rochefort (boiled)</t>
  </si>
  <si>
    <t>Chimay (boiled)</t>
  </si>
  <si>
    <t>West Flanders (boiled)</t>
  </si>
  <si>
    <t>East Flanders (boiled)</t>
  </si>
  <si>
    <t>Luik/Liege (boiled)</t>
  </si>
  <si>
    <t>Ardennes (boiled)</t>
  </si>
  <si>
    <t>Munich (boiled)</t>
  </si>
  <si>
    <r>
      <t xml:space="preserve">          1 German degree Hardness = 17.85 ppm as CaCO</t>
    </r>
    <r>
      <rPr>
        <vertAlign val="subscript"/>
        <sz val="10"/>
        <rFont val="Arial"/>
        <family val="2"/>
      </rPr>
      <t>3</t>
    </r>
    <r>
      <rPr>
        <sz val="10"/>
        <rFont val="Arial"/>
        <family val="2"/>
      </rPr>
      <t xml:space="preserve"> = 7.14 ppm Ca
          1 German degree Carbonate Hardness = 17.85 ppm Alkalinity as CaCO</t>
    </r>
    <r>
      <rPr>
        <vertAlign val="subscript"/>
        <sz val="10"/>
        <rFont val="Arial"/>
        <family val="2"/>
      </rPr>
      <t>3</t>
    </r>
    <r>
      <rPr>
        <sz val="10"/>
        <rFont val="Arial"/>
        <family val="2"/>
      </rPr>
      <t xml:space="preserve"> = 21.8 ppm HCO</t>
    </r>
    <r>
      <rPr>
        <vertAlign val="subscript"/>
        <sz val="10"/>
        <rFont val="Arial"/>
        <family val="2"/>
      </rPr>
      <t>3</t>
    </r>
    <r>
      <rPr>
        <sz val="10"/>
        <rFont val="Arial"/>
        <family val="2"/>
      </rPr>
      <t xml:space="preserve">   
          1 American degree Hardness = 1 grain per gallon = 17.1 ppm as CaCO</t>
    </r>
    <r>
      <rPr>
        <vertAlign val="subscript"/>
        <sz val="10"/>
        <rFont val="Arial"/>
        <family val="2"/>
      </rPr>
      <t>3</t>
    </r>
    <r>
      <rPr>
        <sz val="10"/>
        <rFont val="Arial"/>
        <family val="2"/>
      </rPr>
      <t xml:space="preserve"> = 6.86 ppm Ca 
          1 American degree Alkalinity = 1 grain per gallon = 17.1 ppm as CaCO</t>
    </r>
    <r>
      <rPr>
        <vertAlign val="subscript"/>
        <sz val="10"/>
        <rFont val="Arial"/>
        <family val="2"/>
      </rPr>
      <t>3</t>
    </r>
    <r>
      <rPr>
        <sz val="10"/>
        <rFont val="Arial"/>
        <family val="2"/>
      </rPr>
      <t xml:space="preserve"> = 20.8 ppm HCO</t>
    </r>
    <r>
      <rPr>
        <vertAlign val="subscript"/>
        <sz val="10"/>
        <rFont val="Arial"/>
        <family val="2"/>
      </rPr>
      <t>3</t>
    </r>
    <r>
      <rPr>
        <sz val="10"/>
        <rFont val="Arial"/>
        <family val="2"/>
      </rPr>
      <t xml:space="preserve">
          1 mEq/L Hardness = 50 ppm Hardness as CaCO</t>
    </r>
    <r>
      <rPr>
        <vertAlign val="subscript"/>
        <sz val="10"/>
        <rFont val="Arial"/>
        <family val="2"/>
      </rPr>
      <t>3</t>
    </r>
    <r>
      <rPr>
        <sz val="10"/>
        <rFont val="Arial"/>
        <family val="2"/>
      </rPr>
      <t xml:space="preserve"> = 20 ppm Ca 
          1 mEq/L Alkalinity = 50 ppm Alkalinity as CaCO</t>
    </r>
    <r>
      <rPr>
        <vertAlign val="subscript"/>
        <sz val="10"/>
        <rFont val="Arial"/>
        <family val="2"/>
      </rPr>
      <t>3</t>
    </r>
    <r>
      <rPr>
        <sz val="10"/>
        <rFont val="Arial"/>
        <family val="2"/>
      </rPr>
      <t xml:space="preserve"> = 61 ppm HCO</t>
    </r>
    <r>
      <rPr>
        <vertAlign val="subscript"/>
        <sz val="10"/>
        <rFont val="Arial"/>
        <family val="2"/>
      </rPr>
      <t xml:space="preserve">3  
     </t>
    </r>
  </si>
  <si>
    <r>
      <t>Nitrate (ppm as NO</t>
    </r>
    <r>
      <rPr>
        <vertAlign val="subscript"/>
        <sz val="10"/>
        <rFont val="Arial"/>
        <family val="2"/>
      </rPr>
      <t>3</t>
    </r>
    <r>
      <rPr>
        <sz val="10"/>
        <rFont val="Arial"/>
        <family val="2"/>
      </rPr>
      <t>-N)</t>
    </r>
  </si>
  <si>
    <t>Crystal 40L</t>
  </si>
  <si>
    <t>Mash Dilution Vol (gal)</t>
  </si>
  <si>
    <t>Sparge Dilution Vol (gal)</t>
  </si>
  <si>
    <t>Total Mash Water Vol (gal)</t>
  </si>
  <si>
    <t>Total Sparge Water Vol (gal)</t>
  </si>
  <si>
    <t>Input Custom Water Profiles at the bottom of the Table below</t>
  </si>
  <si>
    <t>(ppm)</t>
  </si>
  <si>
    <t>Estimated Carbonate                   Concentration (ppm)</t>
  </si>
  <si>
    <t>ml/mg</t>
  </si>
  <si>
    <t>gm/tsp</t>
  </si>
  <si>
    <t>dose</t>
  </si>
  <si>
    <t>(ml)</t>
  </si>
  <si>
    <t>Total Acid Addition (ml)</t>
  </si>
  <si>
    <t>Total Acid Addition (gram)</t>
  </si>
  <si>
    <t>Addition        (mL/gal)</t>
  </si>
  <si>
    <t>Solid</t>
  </si>
  <si>
    <t>Addition        (gram/gal)</t>
  </si>
  <si>
    <t>Starting Water Alkalinity =</t>
  </si>
  <si>
    <t>Strength</t>
  </si>
  <si>
    <r>
      <t xml:space="preserve">                        </t>
    </r>
    <r>
      <rPr>
        <b/>
        <u/>
        <sz val="10"/>
        <rFont val="Arial"/>
        <family val="2"/>
      </rPr>
      <t xml:space="preserve">Ion </t>
    </r>
    <r>
      <rPr>
        <sz val="10"/>
        <rFont val="Arial"/>
        <family val="2"/>
      </rPr>
      <t xml:space="preserve">                                                       </t>
    </r>
    <r>
      <rPr>
        <b/>
        <u/>
        <sz val="10"/>
        <rFont val="Arial"/>
        <family val="2"/>
      </rPr>
      <t xml:space="preserve">Conversion </t>
    </r>
    <r>
      <rPr>
        <sz val="10"/>
        <rFont val="Arial"/>
        <family val="2"/>
      </rPr>
      <t xml:space="preserve">
                        Calcium as CaCO</t>
    </r>
    <r>
      <rPr>
        <vertAlign val="subscript"/>
        <sz val="10"/>
        <rFont val="Arial"/>
        <family val="2"/>
      </rPr>
      <t xml:space="preserve">3 </t>
    </r>
    <r>
      <rPr>
        <sz val="10"/>
        <rFont val="Arial"/>
        <family val="2"/>
      </rPr>
      <t>(ppm):                   multiply by 0.401 to convert to (ppm) Calcium
                        Magnesium as CaCO</t>
    </r>
    <r>
      <rPr>
        <vertAlign val="subscript"/>
        <sz val="10"/>
        <rFont val="Arial"/>
        <family val="2"/>
      </rPr>
      <t xml:space="preserve">3 </t>
    </r>
    <r>
      <rPr>
        <sz val="10"/>
        <rFont val="Arial"/>
        <family val="2"/>
      </rPr>
      <t>(ppm):              multiply by 0.243 to convert to (ppm) Magnesium                                                            
                        Bicarbonate as CaCO</t>
    </r>
    <r>
      <rPr>
        <vertAlign val="subscript"/>
        <sz val="10"/>
        <rFont val="Arial"/>
        <family val="2"/>
      </rPr>
      <t>3</t>
    </r>
    <r>
      <rPr>
        <sz val="10"/>
        <rFont val="Arial"/>
        <family val="2"/>
      </rPr>
      <t>(ppm):              multiply by 1.22 to convert to (ppm) Bicarbonate
                        Carbonate as CaCO</t>
    </r>
    <r>
      <rPr>
        <vertAlign val="subscript"/>
        <sz val="10"/>
        <rFont val="Arial"/>
        <family val="2"/>
      </rPr>
      <t>3</t>
    </r>
    <r>
      <rPr>
        <sz val="10"/>
        <rFont val="Arial"/>
        <family val="2"/>
      </rPr>
      <t>(ppm):                multiply by 0.60 to convert to (ppm) Carbonate
                        Sulfate as Sulfur (ppm as SO</t>
    </r>
    <r>
      <rPr>
        <vertAlign val="subscript"/>
        <sz val="10"/>
        <rFont val="Arial"/>
        <family val="2"/>
      </rPr>
      <t>4</t>
    </r>
    <r>
      <rPr>
        <sz val="10"/>
        <rFont val="Arial"/>
        <family val="2"/>
      </rPr>
      <t>-S):        multiply by 3.0 to convert to (ppm) Sulfate
                        Nitrate as Nitrogen (ppm as NO</t>
    </r>
    <r>
      <rPr>
        <vertAlign val="subscript"/>
        <sz val="10"/>
        <rFont val="Arial"/>
        <family val="2"/>
      </rPr>
      <t>3</t>
    </r>
    <r>
      <rPr>
        <sz val="10"/>
        <rFont val="Arial"/>
        <family val="2"/>
      </rPr>
      <t>-N):     multiply by 4.43 to convert to (ppm) Nitrate</t>
    </r>
  </si>
  <si>
    <r>
      <t xml:space="preserve">The first thing to check is the units used to report the ion concentrations.  All units are input into </t>
    </r>
    <r>
      <rPr>
        <b/>
        <sz val="10"/>
        <rFont val="Arial"/>
        <family val="2"/>
      </rPr>
      <t>Bru'n Water</t>
    </r>
    <r>
      <rPr>
        <sz val="10"/>
        <rFont val="Arial"/>
        <family val="2"/>
      </rPr>
      <t xml:space="preserve"> in </t>
    </r>
    <r>
      <rPr>
        <b/>
        <sz val="10"/>
        <rFont val="Arial"/>
        <family val="2"/>
      </rPr>
      <t xml:space="preserve">ppm </t>
    </r>
    <r>
      <rPr>
        <sz val="10"/>
        <rFont val="Arial"/>
        <family val="2"/>
      </rPr>
      <t xml:space="preserve">or </t>
    </r>
    <r>
      <rPr>
        <b/>
        <sz val="10"/>
        <rFont val="Arial"/>
        <family val="2"/>
      </rPr>
      <t>mg/L</t>
    </r>
    <r>
      <rPr>
        <sz val="10"/>
        <rFont val="Arial"/>
        <family val="2"/>
      </rPr>
      <t xml:space="preserve"> (milligrams per liter) units, but sometimes water reports present some concentrations in parts per billion (</t>
    </r>
    <r>
      <rPr>
        <b/>
        <sz val="10"/>
        <rFont val="Arial"/>
        <family val="2"/>
      </rPr>
      <t>ppb</t>
    </r>
    <r>
      <rPr>
        <sz val="10"/>
        <rFont val="Arial"/>
        <family val="2"/>
      </rPr>
      <t xml:space="preserve">) or </t>
    </r>
    <r>
      <rPr>
        <b/>
        <sz val="10"/>
        <rFont val="Arial"/>
        <family val="2"/>
      </rPr>
      <t>µg/L</t>
    </r>
    <r>
      <rPr>
        <sz val="10"/>
        <rFont val="Arial"/>
        <family val="2"/>
      </rPr>
      <t xml:space="preserve"> (micrograms per liter) units.  If a concentration is reported in the </t>
    </r>
    <r>
      <rPr>
        <b/>
        <sz val="10"/>
        <rFont val="Arial"/>
        <family val="2"/>
      </rPr>
      <t>ppb</t>
    </r>
    <r>
      <rPr>
        <sz val="10"/>
        <rFont val="Arial"/>
        <family val="2"/>
      </rPr>
      <t xml:space="preserve"> or</t>
    </r>
    <r>
      <rPr>
        <b/>
        <sz val="10"/>
        <rFont val="Arial"/>
        <family val="2"/>
      </rPr>
      <t xml:space="preserve"> µg/L</t>
    </r>
    <r>
      <rPr>
        <sz val="10"/>
        <rFont val="Arial"/>
        <family val="2"/>
      </rPr>
      <t xml:space="preserve"> units, that value must be divided by 1000 to convert it to ppm or mg/L units.  For instance, </t>
    </r>
    <r>
      <rPr>
        <b/>
        <sz val="10"/>
        <rFont val="Arial"/>
        <family val="2"/>
      </rPr>
      <t>200 ppb</t>
    </r>
    <r>
      <rPr>
        <sz val="10"/>
        <rFont val="Arial"/>
        <family val="2"/>
      </rPr>
      <t xml:space="preserve"> is equal to </t>
    </r>
    <r>
      <rPr>
        <b/>
        <sz val="10"/>
        <rFont val="Arial"/>
        <family val="2"/>
      </rPr>
      <t>0.2 ppm.</t>
    </r>
  </si>
  <si>
    <t>Sparge</t>
  </si>
  <si>
    <t>Convert (ug/L or ppb) to (mg/L or ppm)</t>
  </si>
  <si>
    <t>Percentage of         Grain Bill</t>
  </si>
  <si>
    <r>
      <t xml:space="preserve">            Most water sources that have an acceptable taste can be used to brew beer.  But to brew great beer across a wide variety of styles, adjustment of brewing water is probably needed.   </t>
    </r>
    <r>
      <rPr>
        <b/>
        <sz val="10"/>
        <rFont val="Arial"/>
        <family val="2"/>
      </rPr>
      <t>Bru'n Water</t>
    </r>
    <r>
      <rPr>
        <sz val="10"/>
        <rFont val="Arial"/>
        <family val="2"/>
      </rPr>
      <t xml:space="preserve"> is a brewing water analysis program that enables a brewer to successfully evaluate and modify their water supply to improve their beer.  The program steps through the evaluation of a brewer's water supply, adjustment to a desired water profile, evaluation of potential mash pH, and adjustments to produce desirable mash pH. </t>
    </r>
  </si>
  <si>
    <t>Tart or crisp beer styles may benefit from a mash pH range of 5.2 to 5.3</t>
  </si>
  <si>
    <t>Suggested mash pH range for lighter colored beers is 5.3 to 5.4</t>
  </si>
  <si>
    <t>Calcium Hardness (meq/L) or (mval)</t>
  </si>
  <si>
    <t>Alkalinity (meq/L) or (mval)</t>
  </si>
  <si>
    <t>Bru'n Water Knowledge</t>
  </si>
  <si>
    <r>
      <t>Baking Soda (NaHCO</t>
    </r>
    <r>
      <rPr>
        <b/>
        <vertAlign val="subscript"/>
        <sz val="9"/>
        <rFont val="Arial"/>
        <family val="2"/>
      </rPr>
      <t>3</t>
    </r>
    <r>
      <rPr>
        <b/>
        <sz val="9"/>
        <rFont val="Arial"/>
        <family val="2"/>
      </rPr>
      <t>)</t>
    </r>
  </si>
  <si>
    <r>
      <t>Calcium Chloride (CaCl</t>
    </r>
    <r>
      <rPr>
        <b/>
        <vertAlign val="subscript"/>
        <sz val="9"/>
        <rFont val="Arial"/>
        <family val="2"/>
      </rPr>
      <t>2</t>
    </r>
    <r>
      <rPr>
        <b/>
        <sz val="9"/>
        <rFont val="Arial"/>
        <family val="2"/>
      </rPr>
      <t>)</t>
    </r>
  </si>
  <si>
    <r>
      <t>Chalk (CaCO</t>
    </r>
    <r>
      <rPr>
        <b/>
        <vertAlign val="subscript"/>
        <sz val="9"/>
        <rFont val="Arial"/>
        <family val="2"/>
      </rPr>
      <t>3</t>
    </r>
    <r>
      <rPr>
        <b/>
        <sz val="9"/>
        <rFont val="Arial"/>
        <family val="2"/>
      </rPr>
      <t>)</t>
    </r>
  </si>
  <si>
    <r>
      <t>Pickling Lime (Ca(OH)</t>
    </r>
    <r>
      <rPr>
        <b/>
        <vertAlign val="subscript"/>
        <sz val="9"/>
        <rFont val="Arial"/>
        <family val="2"/>
      </rPr>
      <t>2</t>
    </r>
    <r>
      <rPr>
        <b/>
        <sz val="9"/>
        <rFont val="Arial"/>
        <family val="2"/>
      </rPr>
      <t>)</t>
    </r>
  </si>
  <si>
    <r>
      <t>Magnesium Chloride (MgCl</t>
    </r>
    <r>
      <rPr>
        <b/>
        <vertAlign val="subscript"/>
        <sz val="9"/>
        <rFont val="Arial"/>
        <family val="2"/>
      </rPr>
      <t>2</t>
    </r>
    <r>
      <rPr>
        <b/>
        <sz val="9"/>
        <rFont val="Arial"/>
        <family val="2"/>
      </rPr>
      <t>)</t>
    </r>
  </si>
  <si>
    <t>0 to 30</t>
  </si>
  <si>
    <t>40 to 150</t>
  </si>
  <si>
    <t>Gallons</t>
  </si>
  <si>
    <t>Barrels</t>
  </si>
  <si>
    <t>Hectoliters</t>
  </si>
  <si>
    <t>mL/L</t>
  </si>
  <si>
    <t>L/HL</t>
  </si>
  <si>
    <t>Addition   (gram/L)</t>
  </si>
  <si>
    <t>Addition   (gram/gal)</t>
  </si>
  <si>
    <t>Water Volume   (L)</t>
  </si>
  <si>
    <t>Quantity (kg)</t>
  </si>
  <si>
    <t>Quantity (g)</t>
  </si>
  <si>
    <t>Batch Water Volume (gallons) ---&gt;</t>
  </si>
  <si>
    <t>Mash Water Volume (gallons)---&gt;</t>
  </si>
  <si>
    <t>Total Grist Weight (kg)</t>
  </si>
  <si>
    <t>Water to Grist Ratio (L/Kg)</t>
  </si>
  <si>
    <t>Mash Water Volume (Liters)---&gt;</t>
  </si>
  <si>
    <t>Batch Water Volume (Liters)---&gt;</t>
  </si>
  <si>
    <t>Batch Water Volume (Barrels)---&gt;</t>
  </si>
  <si>
    <t>Mash Water Volume (Hectoliters)---&gt;</t>
  </si>
  <si>
    <t>Batch Water Volume (Hectoliters)---&gt;</t>
  </si>
  <si>
    <t>Dilution Water Profiles</t>
  </si>
  <si>
    <t>Batch Volume (liters)</t>
  </si>
  <si>
    <t>Batch Volume (gallons)</t>
  </si>
  <si>
    <t>Total Mash Water Vol (L)</t>
  </si>
  <si>
    <t>Total Sparge Water Vol (L)</t>
  </si>
  <si>
    <t>Mash Dilution Vol (L)</t>
  </si>
  <si>
    <t>Sparge Dilution Vol (L)</t>
  </si>
  <si>
    <t>Mash Water Volume (Barrels)---&gt;</t>
  </si>
  <si>
    <t>(tsp)</t>
  </si>
  <si>
    <t>(kg)</t>
  </si>
  <si>
    <t>so4</t>
  </si>
  <si>
    <t>cl</t>
  </si>
  <si>
    <t>mM/L</t>
  </si>
  <si>
    <t>mg</t>
  </si>
  <si>
    <t>meq/mM</t>
  </si>
  <si>
    <t>hco3</t>
  </si>
  <si>
    <r>
      <t xml:space="preserve">The overall pH of the pre-boil wort can also alter the flavor perception of the beer.  The pre-boil wort pH is a product of the mash pH and sparging water pH.  </t>
    </r>
    <r>
      <rPr>
        <b/>
        <sz val="10"/>
        <rFont val="Arial"/>
        <family val="2"/>
      </rPr>
      <t>Lower pre-boil wort pH can produce a sharper and tarter flavor perception.  Lower pre-boil wort pH can also reduce hop and bittering expression in the finished beer.  Higher pre-boil wort pH can produce a rounder and fuller flavor perception.   In the mash, higher pH helps to extract flavor and color from roast malts, but recognize that excessive mash pH (&gt;5.8) may lead to excessive tannin and silicate extraction.</t>
    </r>
  </si>
  <si>
    <t>How to Use Bru'n Water</t>
  </si>
  <si>
    <r>
      <t xml:space="preserve">Some municipal water supplies get their water from several sources and the ionic content of the water may vary over time.  That may require additional testing or analysis to ascertain.  Contact the water utility to find out the water source variability.  Water test kits may be used to provide the brewer with a quick assessment of the primary water quality parameters and are discussed below.  </t>
    </r>
    <r>
      <rPr>
        <b/>
        <sz val="10"/>
        <rFont val="Arial"/>
        <family val="2"/>
      </rPr>
      <t>Water test kits are recommended if the source and/or quality of the water supply varies.</t>
    </r>
  </si>
  <si>
    <r>
      <t xml:space="preserve">Metallic taste can be discerned in water by most people when the </t>
    </r>
    <r>
      <rPr>
        <b/>
        <sz val="10"/>
        <rFont val="Arial"/>
        <family val="2"/>
      </rPr>
      <t>iron concentration exceeds 0.3 ppm</t>
    </r>
    <r>
      <rPr>
        <sz val="10"/>
        <rFont val="Arial"/>
        <family val="2"/>
      </rPr>
      <t xml:space="preserve"> or when </t>
    </r>
    <r>
      <rPr>
        <b/>
        <sz val="10"/>
        <rFont val="Arial"/>
        <family val="2"/>
      </rPr>
      <t>manganese</t>
    </r>
    <r>
      <rPr>
        <sz val="10"/>
        <rFont val="Arial"/>
        <family val="2"/>
      </rPr>
      <t xml:space="preserve"> </t>
    </r>
    <r>
      <rPr>
        <b/>
        <sz val="10"/>
        <rFont val="Arial"/>
        <family val="2"/>
      </rPr>
      <t>concentration exceeds 0.1 ppm</t>
    </r>
    <r>
      <rPr>
        <sz val="10"/>
        <rFont val="Arial"/>
        <family val="2"/>
      </rPr>
      <t xml:space="preserve">. When metallic tastes are detected in beer or water, testing for these ions is recommended.  Special water treatment may be required if these ions exceed the taste thresholds indicated above.   </t>
    </r>
  </si>
  <si>
    <t xml:space="preserve">Liquid acid additions should also be measured accurately.  An inexpensive measurement option for typical homebrew sized batches is to obtain and use a graduated medicine dropper from a drug store.  A craftbrewer could consider obtaining a graduated cylinder or pipette for larger acid additions.   </t>
  </si>
  <si>
    <t>Special Considerations for Extract Brewers:</t>
  </si>
  <si>
    <r>
      <t xml:space="preserve">           </t>
    </r>
    <r>
      <rPr>
        <b/>
        <sz val="10"/>
        <rFont val="Arial"/>
        <family val="2"/>
      </rPr>
      <t>WARNING!</t>
    </r>
    <r>
      <rPr>
        <sz val="10"/>
        <rFont val="Arial"/>
        <family val="2"/>
      </rPr>
      <t xml:space="preserve">  Acids can seriously injure persons.  All acid usage should be made with great care and proper storage, dosing, and protective equipment must be used.  Hydrochloric and Sulfuric Acids produce fumes that will attack eyes, skin, membranes, etc.</t>
    </r>
  </si>
  <si>
    <t>Chocolate</t>
  </si>
  <si>
    <t>If the sheet does not show comments or red corner marks, select the REVIEW tab in the Excel program menu and click the SHOW ALL COMMENTS button twice.</t>
  </si>
  <si>
    <t>Total Volume = Tap Volume + Dilution Volume</t>
  </si>
  <si>
    <r>
      <t xml:space="preserve">If the water report includes Total Alkalinity or Temporary Hardness but does not report the Bicarbonate or Carbonate concentrations, a calculator is included on the </t>
    </r>
    <r>
      <rPr>
        <b/>
        <sz val="10"/>
        <rFont val="Arial"/>
        <family val="2"/>
      </rPr>
      <t>Water Report Input</t>
    </r>
    <r>
      <rPr>
        <sz val="10"/>
        <rFont val="Arial"/>
        <family val="2"/>
      </rPr>
      <t xml:space="preserve"> sheet to estimate those concentrations.  Water pH does influence the relative amount of these ions, so the water pH must be entered.  If the water report does not provide the pH, </t>
    </r>
    <r>
      <rPr>
        <b/>
        <sz val="10"/>
        <rFont val="Arial"/>
        <family val="2"/>
      </rPr>
      <t>use a typical pH of 8.0</t>
    </r>
    <r>
      <rPr>
        <sz val="10"/>
        <rFont val="Arial"/>
        <family val="2"/>
      </rPr>
      <t xml:space="preserve"> for the calculation.</t>
    </r>
  </si>
  <si>
    <r>
      <rPr>
        <b/>
        <sz val="10"/>
        <rFont val="Arial"/>
        <family val="2"/>
      </rPr>
      <t>Water to Grist Ratio</t>
    </r>
    <r>
      <rPr>
        <sz val="10"/>
        <rFont val="Arial"/>
        <family val="2"/>
      </rPr>
      <t xml:space="preserve"> is an indication of how thick the mash is.  A thick grist may have a water to grist ratio of around 1 quarts per pound of grain while a thin grist may be up to 2 quarts per pound (2 to 4 L/kg).   The typical range is 1.25 to 1.5 quarts per pound (2.5 to 3 L/kg) although thinner grists may have advantages.  Since the water used for mashing typically contains alkalinity, a thinner grist will have more milliequivalents (mEq) of alkalinity than a thick grist.  More alkalinity consumes more of the grain acidity and the mash pH will likely be higher with a thin mash than a thick mash.  Therefore, it may be necessary to further reduce the water alkalinity to provide appropriate mash pH when the mash is thinned.  </t>
    </r>
    <r>
      <rPr>
        <b/>
        <sz val="10"/>
        <rFont val="Arial"/>
        <family val="2"/>
      </rPr>
      <t>Adjusting the Water to Grist Ratio can be used to adjust the mash pH.</t>
    </r>
  </si>
  <si>
    <t>Reported Total Alkalinity or Temporary Hardness (as CaCO3) (mg/L or ppm)</t>
  </si>
  <si>
    <t>Burton (boiled)</t>
  </si>
  <si>
    <t>Program Volume Setting</t>
  </si>
  <si>
    <t>Total Batch Volume</t>
  </si>
  <si>
    <r>
      <t xml:space="preserve">The </t>
    </r>
    <r>
      <rPr>
        <b/>
        <sz val="10"/>
        <rFont val="Arial"/>
        <family val="2"/>
      </rPr>
      <t>Water Report Input</t>
    </r>
    <r>
      <rPr>
        <sz val="10"/>
        <rFont val="Arial"/>
        <family val="2"/>
      </rPr>
      <t xml:space="preserve"> sheet calculates and displays the Alkalinity of the existing water.   That Alkalinity value is transferred to the </t>
    </r>
    <r>
      <rPr>
        <b/>
        <sz val="10"/>
        <rFont val="Arial"/>
        <family val="2"/>
      </rPr>
      <t>Sparge Acidification</t>
    </r>
    <r>
      <rPr>
        <sz val="10"/>
        <rFont val="Arial"/>
        <family val="2"/>
      </rPr>
      <t xml:space="preserve"> sheet.  Enter the Starting Water pH in the </t>
    </r>
    <r>
      <rPr>
        <b/>
        <sz val="10"/>
        <rFont val="Arial"/>
        <family val="2"/>
      </rPr>
      <t>Sparge Acidification</t>
    </r>
    <r>
      <rPr>
        <sz val="10"/>
        <rFont val="Arial"/>
        <family val="2"/>
      </rPr>
      <t xml:space="preserve"> sheet.  The Starting Water pH may be provided in the laboratory report. </t>
    </r>
    <r>
      <rPr>
        <sz val="10"/>
        <rFont val="Arial"/>
        <family val="2"/>
      </rPr>
      <t xml:space="preserve"> </t>
    </r>
    <r>
      <rPr>
        <b/>
        <sz val="10"/>
        <rFont val="Arial"/>
        <family val="2"/>
      </rPr>
      <t/>
    </r>
  </si>
  <si>
    <r>
      <t xml:space="preserve">            After entering the Water Report information, water adjustment can be properly estimated for the Existing Water.  The </t>
    </r>
    <r>
      <rPr>
        <b/>
        <sz val="10"/>
        <rFont val="Arial"/>
        <family val="2"/>
      </rPr>
      <t>Existing Water Profile</t>
    </r>
    <r>
      <rPr>
        <sz val="10"/>
        <rFont val="Arial"/>
        <family val="2"/>
      </rPr>
      <t xml:space="preserve"> is automatically entered into the </t>
    </r>
    <r>
      <rPr>
        <b/>
        <sz val="10"/>
        <rFont val="Arial"/>
        <family val="2"/>
      </rPr>
      <t>Water Adjustment</t>
    </r>
    <r>
      <rPr>
        <sz val="10"/>
        <rFont val="Arial"/>
        <family val="2"/>
      </rPr>
      <t xml:space="preserve"> sheet from the </t>
    </r>
    <r>
      <rPr>
        <b/>
        <sz val="10"/>
        <rFont val="Arial"/>
        <family val="2"/>
      </rPr>
      <t>Water Report Input</t>
    </r>
    <r>
      <rPr>
        <sz val="10"/>
        <rFont val="Arial"/>
        <family val="2"/>
      </rPr>
      <t xml:space="preserve"> sheet.  If the </t>
    </r>
    <r>
      <rPr>
        <b/>
        <sz val="10"/>
        <rFont val="Arial"/>
        <family val="2"/>
      </rPr>
      <t>Existing Water Profile</t>
    </r>
    <r>
      <rPr>
        <sz val="10"/>
        <rFont val="Arial"/>
        <family val="2"/>
      </rPr>
      <t xml:space="preserve"> is not shown or is not correct on the </t>
    </r>
    <r>
      <rPr>
        <b/>
        <sz val="10"/>
        <rFont val="Arial"/>
        <family val="2"/>
      </rPr>
      <t>Water Adjustment</t>
    </r>
    <r>
      <rPr>
        <sz val="10"/>
        <rFont val="Arial"/>
        <family val="2"/>
      </rPr>
      <t xml:space="preserve"> sheet, correct the entries on the </t>
    </r>
    <r>
      <rPr>
        <b/>
        <sz val="10"/>
        <rFont val="Arial"/>
        <family val="2"/>
      </rPr>
      <t>Water Report Input</t>
    </r>
    <r>
      <rPr>
        <sz val="10"/>
        <rFont val="Arial"/>
        <family val="2"/>
      </rPr>
      <t xml:space="preserve"> sheet.</t>
    </r>
  </si>
  <si>
    <r>
      <t>Alkalinity is adjusted by increasing or decreasing the bicarbonate (HCO</t>
    </r>
    <r>
      <rPr>
        <vertAlign val="subscript"/>
        <sz val="10"/>
        <rFont val="Arial"/>
        <family val="2"/>
      </rPr>
      <t>3</t>
    </r>
    <r>
      <rPr>
        <vertAlign val="superscript"/>
        <sz val="10"/>
        <rFont val="Arial"/>
        <family val="2"/>
      </rPr>
      <t>-</t>
    </r>
    <r>
      <rPr>
        <sz val="10"/>
        <rFont val="Arial"/>
        <family val="2"/>
      </rPr>
      <t>) or hydroxyl (OH</t>
    </r>
    <r>
      <rPr>
        <vertAlign val="superscript"/>
        <sz val="10"/>
        <rFont val="Arial"/>
        <family val="2"/>
      </rPr>
      <t>-</t>
    </r>
    <r>
      <rPr>
        <sz val="10"/>
        <rFont val="Arial"/>
        <family val="2"/>
      </rPr>
      <t>) concentration.  Add chalk, baking soda, or pickling lime (aka: slaked lime) to increase alkalinity.  Add acid or dilute with distilled or RO water to reduce alkalinity.</t>
    </r>
  </si>
  <si>
    <r>
      <t xml:space="preserve">The bicarbonate contributions shown for Baking Soda, Chalk, and Pickling Lime in the </t>
    </r>
    <r>
      <rPr>
        <b/>
        <sz val="10"/>
        <rFont val="Arial"/>
        <family val="2"/>
      </rPr>
      <t>Water Additions</t>
    </r>
    <r>
      <rPr>
        <sz val="10"/>
        <rFont val="Arial"/>
        <family val="2"/>
      </rPr>
      <t xml:space="preserve"> area represent their equivalent bicarbonate alkalinity contributions.  Baking Soda and Pickling Lime will easily dissolve in water or the mash.  Since Chalk has limited solubility in water or in the mash, special measures will be required to dissolve the Chalk and produce its expected bicarbonate and alkalinity contribution.  Adding Chalk powder directly to the mash has been proven to be ineffective in adding alkalinity to the mash.</t>
    </r>
  </si>
  <si>
    <r>
      <t xml:space="preserve">Add Minerals in the </t>
    </r>
    <r>
      <rPr>
        <b/>
        <sz val="10"/>
        <rFont val="Arial"/>
        <family val="2"/>
      </rPr>
      <t>Water Additions</t>
    </r>
    <r>
      <rPr>
        <sz val="10"/>
        <rFont val="Arial"/>
        <family val="2"/>
      </rPr>
      <t xml:space="preserve"> section of the </t>
    </r>
    <r>
      <rPr>
        <b/>
        <sz val="10"/>
        <rFont val="Arial"/>
        <family val="2"/>
      </rPr>
      <t>Water Adjustment</t>
    </r>
    <r>
      <rPr>
        <sz val="10"/>
        <rFont val="Arial"/>
        <family val="2"/>
      </rPr>
      <t xml:space="preserve"> sheet to increase the appropriate ion concentrations.  The </t>
    </r>
    <r>
      <rPr>
        <b/>
        <sz val="10"/>
        <color indexed="51"/>
        <rFont val="Arial"/>
        <family val="2"/>
      </rPr>
      <t>YELL</t>
    </r>
    <r>
      <rPr>
        <b/>
        <sz val="10"/>
        <color indexed="51"/>
        <rFont val="Arial"/>
        <family val="2"/>
      </rPr>
      <t>O</t>
    </r>
    <r>
      <rPr>
        <b/>
        <sz val="10"/>
        <color indexed="51"/>
        <rFont val="Arial"/>
        <family val="2"/>
      </rPr>
      <t>W</t>
    </r>
    <r>
      <rPr>
        <sz val="10"/>
        <rFont val="Arial"/>
        <family val="2"/>
      </rPr>
      <t xml:space="preserve"> cells in the Mineral Table show which ions each mineral will increase.  For instance, adding Gypsum will add Calcium and Sulfate.  Review the </t>
    </r>
    <r>
      <rPr>
        <b/>
        <sz val="10"/>
        <rFont val="Arial"/>
        <family val="2"/>
      </rPr>
      <t>Target Water Adjustment</t>
    </r>
    <r>
      <rPr>
        <sz val="10"/>
        <rFont val="Arial"/>
        <family val="2"/>
      </rPr>
      <t xml:space="preserve"> and </t>
    </r>
    <r>
      <rPr>
        <b/>
        <sz val="10"/>
        <rFont val="Arial"/>
        <family val="2"/>
      </rPr>
      <t>Actual Water Adjustment</t>
    </r>
    <r>
      <rPr>
        <sz val="10"/>
        <rFont val="Arial"/>
        <family val="2"/>
      </rPr>
      <t xml:space="preserve"> cells for each ion.  If cells in the Target Water Adjustment row are </t>
    </r>
    <r>
      <rPr>
        <b/>
        <sz val="10"/>
        <color indexed="10"/>
        <rFont val="Arial"/>
        <family val="2"/>
      </rPr>
      <t>RED</t>
    </r>
    <r>
      <rPr>
        <sz val="10"/>
        <rFont val="Arial"/>
        <family val="2"/>
      </rPr>
      <t xml:space="preserve">, see the Dilution instructions below.  </t>
    </r>
  </si>
  <si>
    <t>verify that all the grist is entered</t>
  </si>
  <si>
    <t xml:space="preserve">Enter grain names above to help </t>
  </si>
  <si>
    <t>PseudoBohPils</t>
  </si>
  <si>
    <t>Comments</t>
  </si>
  <si>
    <t>from UK Env Agency records</t>
  </si>
  <si>
    <t>resulting profile after boiling and decanting</t>
  </si>
  <si>
    <t>from an American megabrewery</t>
  </si>
  <si>
    <t>from north and west Dublin</t>
  </si>
  <si>
    <t>from Edinburgh water company</t>
  </si>
  <si>
    <t>compilation of London water company reports</t>
  </si>
  <si>
    <t>from Munich water company</t>
  </si>
  <si>
    <t>from Pilsen water company</t>
  </si>
  <si>
    <t>from Vienna water company</t>
  </si>
  <si>
    <t>from Dusseldorf water company</t>
  </si>
  <si>
    <t>for hoppy beers</t>
  </si>
  <si>
    <t>for malty English ales</t>
  </si>
  <si>
    <t>Malt Color Setting</t>
  </si>
  <si>
    <t>Lovibond</t>
  </si>
  <si>
    <t>EBC</t>
  </si>
  <si>
    <t>Color (EBC)</t>
  </si>
  <si>
    <t>Est. Beer Color (EBC)</t>
  </si>
  <si>
    <t>Mash pH Guidance</t>
  </si>
  <si>
    <r>
      <t xml:space="preserve">Enter each grain used in the mash grist in the spreadsheet.  The grain names can be entered to help identify each component, but the grain names are not necessary.  Enter the </t>
    </r>
    <r>
      <rPr>
        <b/>
        <sz val="10"/>
        <rFont val="Arial"/>
        <family val="2"/>
      </rPr>
      <t>Mass</t>
    </r>
    <r>
      <rPr>
        <sz val="10"/>
        <rFont val="Arial"/>
        <family val="2"/>
      </rPr>
      <t xml:space="preserve"> of each grain in either pounds and ounces or kilograms and grams.  Enter the </t>
    </r>
    <r>
      <rPr>
        <b/>
        <sz val="10"/>
        <rFont val="Arial"/>
        <family val="2"/>
      </rPr>
      <t>Color</t>
    </r>
    <r>
      <rPr>
        <sz val="10"/>
        <rFont val="Arial"/>
        <family val="2"/>
      </rPr>
      <t xml:space="preserve"> of each grain in the proper units.  </t>
    </r>
  </si>
  <si>
    <t>Mash pH Result</t>
  </si>
  <si>
    <t>US Hardness (grains/gallon)</t>
  </si>
  <si>
    <t>English (Clark) Hardness (grains/Imp gal)</t>
  </si>
  <si>
    <t>Jever (boiled)</t>
  </si>
  <si>
    <t>from Jever, Germany water company, after boiling</t>
  </si>
  <si>
    <t>Wicklow Mtn</t>
  </si>
  <si>
    <t xml:space="preserve">All Water Profiles are User customizable </t>
  </si>
  <si>
    <t>Acids</t>
  </si>
  <si>
    <t>Acetic Acid Required =</t>
  </si>
  <si>
    <t>Hydrochloric Acid Required =</t>
  </si>
  <si>
    <t>Lactic Acid Required =</t>
  </si>
  <si>
    <t>Phosphoric Acid Required =</t>
  </si>
  <si>
    <t>Sulfuric Acid Required =</t>
  </si>
  <si>
    <t>Citric Acid Required =</t>
  </si>
  <si>
    <t>Tartaric Acid Required =</t>
  </si>
  <si>
    <t>Malic Acid Required =</t>
  </si>
  <si>
    <t>Acetate Added to Water =</t>
  </si>
  <si>
    <t>Lactate Added to Water =</t>
  </si>
  <si>
    <t>Phosphate Added to Water =</t>
  </si>
  <si>
    <t>Citrate Added to Water =</t>
  </si>
  <si>
    <t>Tartarate Added to Water =</t>
  </si>
  <si>
    <t>Malate Added to Water =</t>
  </si>
  <si>
    <t xml:space="preserve">Grain Bill Input </t>
  </si>
  <si>
    <r>
      <t>Gypsum (CaSO</t>
    </r>
    <r>
      <rPr>
        <b/>
        <vertAlign val="subscript"/>
        <sz val="9"/>
        <rFont val="Arial"/>
        <family val="2"/>
      </rPr>
      <t>4</t>
    </r>
    <r>
      <rPr>
        <b/>
        <sz val="9"/>
        <rFont val="Arial"/>
        <family val="2"/>
      </rPr>
      <t xml:space="preserve"> x 2H</t>
    </r>
    <r>
      <rPr>
        <b/>
        <vertAlign val="subscript"/>
        <sz val="9"/>
        <rFont val="Arial"/>
        <family val="2"/>
      </rPr>
      <t>2</t>
    </r>
    <r>
      <rPr>
        <b/>
        <sz val="9"/>
        <rFont val="Arial"/>
        <family val="2"/>
      </rPr>
      <t xml:space="preserve">O) </t>
    </r>
  </si>
  <si>
    <r>
      <t>Epsom Salt (MgSO</t>
    </r>
    <r>
      <rPr>
        <b/>
        <vertAlign val="subscript"/>
        <sz val="9"/>
        <rFont val="Arial"/>
        <family val="2"/>
      </rPr>
      <t xml:space="preserve">4 </t>
    </r>
    <r>
      <rPr>
        <b/>
        <sz val="9"/>
        <rFont val="Arial"/>
        <family val="2"/>
      </rPr>
      <t>x 7H</t>
    </r>
    <r>
      <rPr>
        <b/>
        <vertAlign val="subscript"/>
        <sz val="9"/>
        <rFont val="Arial"/>
        <family val="2"/>
      </rPr>
      <t>2</t>
    </r>
    <r>
      <rPr>
        <b/>
        <sz val="9"/>
        <rFont val="Arial"/>
        <family val="2"/>
      </rPr>
      <t>O)</t>
    </r>
  </si>
  <si>
    <r>
      <t xml:space="preserve">7. A listing of the recommended </t>
    </r>
    <r>
      <rPr>
        <b/>
        <sz val="10"/>
        <rFont val="Arial"/>
        <family val="2"/>
      </rPr>
      <t>Water Adjustments</t>
    </r>
    <r>
      <rPr>
        <sz val="10"/>
        <rFont val="Arial"/>
        <family val="2"/>
      </rPr>
      <t xml:space="preserve"> for mashing and sparging water is presented on the </t>
    </r>
    <r>
      <rPr>
        <b/>
        <sz val="10"/>
        <rFont val="Arial"/>
        <family val="2"/>
      </rPr>
      <t>Adjustment Summary</t>
    </r>
    <r>
      <rPr>
        <sz val="10"/>
        <rFont val="Arial"/>
        <family val="2"/>
      </rPr>
      <t xml:space="preserve"> sheet.  That sheet is configured for printing and presents all the water adjustment information needed for that brew.  </t>
    </r>
  </si>
  <si>
    <t xml:space="preserve">Minerals </t>
  </si>
  <si>
    <t>Mash</t>
  </si>
  <si>
    <r>
      <t>Some water reports may display ion concentrations in standard units such as (as CaCO</t>
    </r>
    <r>
      <rPr>
        <vertAlign val="subscript"/>
        <sz val="10"/>
        <rFont val="Arial"/>
        <family val="2"/>
      </rPr>
      <t>3</t>
    </r>
    <r>
      <rPr>
        <sz val="10"/>
        <rFont val="Arial"/>
        <family val="2"/>
      </rPr>
      <t>, as NO</t>
    </r>
    <r>
      <rPr>
        <vertAlign val="subscript"/>
        <sz val="10"/>
        <rFont val="Arial"/>
        <family val="2"/>
      </rPr>
      <t>3</t>
    </r>
    <r>
      <rPr>
        <sz val="10"/>
        <rFont val="Arial"/>
        <family val="2"/>
      </rPr>
      <t>-N, or as SO</t>
    </r>
    <r>
      <rPr>
        <vertAlign val="subscript"/>
        <sz val="10"/>
        <rFont val="Arial"/>
        <family val="2"/>
      </rPr>
      <t>4</t>
    </r>
    <r>
      <rPr>
        <sz val="10"/>
        <rFont val="Arial"/>
        <family val="2"/>
      </rPr>
      <t xml:space="preserve">-S).  In these cases, the reported concentration must be adjusted to the true ion concentration in ppm or mg/L.  Conversion factors for these ions are presented below.   </t>
    </r>
    <r>
      <rPr>
        <b/>
        <sz val="10"/>
        <rFont val="Arial"/>
        <family val="2"/>
      </rPr>
      <t>A Calculator with these Unit Conversions is provided at the bottom of the Water Report Input sheet.</t>
    </r>
  </si>
  <si>
    <r>
      <t xml:space="preserve">This pH value is NOT VALID until the grain information is properly entered for the beer on the </t>
    </r>
    <r>
      <rPr>
        <b/>
        <sz val="7"/>
        <rFont val="Arial"/>
        <family val="2"/>
      </rPr>
      <t>Grain Bill Input</t>
    </r>
    <r>
      <rPr>
        <sz val="7"/>
        <rFont val="Arial"/>
        <family val="2"/>
      </rPr>
      <t xml:space="preserve"> sheet.  </t>
    </r>
  </si>
  <si>
    <t>Mashing Water Profile</t>
  </si>
  <si>
    <t>Target Finished Water Adjustment (ppm)</t>
  </si>
  <si>
    <t>Actual Finished Water Adjustment (ppm)</t>
  </si>
  <si>
    <t>na</t>
  </si>
  <si>
    <t>ca</t>
  </si>
  <si>
    <t>Sulfate Added to Water =</t>
  </si>
  <si>
    <t>Chloride Added to Water =</t>
  </si>
  <si>
    <t>Yes</t>
  </si>
  <si>
    <t>No</t>
  </si>
  <si>
    <r>
      <t>Calcium Chloride (CaCl</t>
    </r>
    <r>
      <rPr>
        <vertAlign val="subscript"/>
        <sz val="8"/>
        <rFont val="Arial"/>
        <family val="2"/>
      </rPr>
      <t>2</t>
    </r>
    <r>
      <rPr>
        <sz val="8"/>
        <rFont val="Arial"/>
        <family val="2"/>
      </rPr>
      <t xml:space="preserve">) </t>
    </r>
  </si>
  <si>
    <r>
      <t>Gypsum (CaSO</t>
    </r>
    <r>
      <rPr>
        <vertAlign val="subscript"/>
        <sz val="8"/>
        <rFont val="Arial"/>
        <family val="2"/>
      </rPr>
      <t>4</t>
    </r>
    <r>
      <rPr>
        <sz val="8"/>
        <rFont val="Arial"/>
        <family val="2"/>
      </rPr>
      <t xml:space="preserve"> x 2H</t>
    </r>
    <r>
      <rPr>
        <vertAlign val="subscript"/>
        <sz val="8"/>
        <rFont val="Arial"/>
        <family val="2"/>
      </rPr>
      <t>2</t>
    </r>
    <r>
      <rPr>
        <sz val="8"/>
        <rFont val="Arial"/>
        <family val="2"/>
      </rPr>
      <t xml:space="preserve">O) </t>
    </r>
  </si>
  <si>
    <r>
      <t>Epsom Salt (MgSO</t>
    </r>
    <r>
      <rPr>
        <vertAlign val="subscript"/>
        <sz val="8"/>
        <rFont val="Arial"/>
        <family val="2"/>
      </rPr>
      <t xml:space="preserve">4 </t>
    </r>
    <r>
      <rPr>
        <sz val="8"/>
        <rFont val="Arial"/>
        <family val="2"/>
      </rPr>
      <t>x 7H</t>
    </r>
    <r>
      <rPr>
        <vertAlign val="subscript"/>
        <sz val="8"/>
        <rFont val="Arial"/>
        <family val="2"/>
      </rPr>
      <t>2</t>
    </r>
    <r>
      <rPr>
        <sz val="8"/>
        <rFont val="Arial"/>
        <family val="2"/>
      </rPr>
      <t>O)</t>
    </r>
  </si>
  <si>
    <r>
      <t>Magnesium Chloride (MgCl</t>
    </r>
    <r>
      <rPr>
        <vertAlign val="subscript"/>
        <sz val="8"/>
        <rFont val="Arial"/>
        <family val="2"/>
      </rPr>
      <t>2</t>
    </r>
    <r>
      <rPr>
        <sz val="8"/>
        <rFont val="Arial"/>
        <family val="2"/>
      </rPr>
      <t xml:space="preserve"> x 6H</t>
    </r>
    <r>
      <rPr>
        <vertAlign val="subscript"/>
        <sz val="8"/>
        <rFont val="Arial"/>
        <family val="2"/>
      </rPr>
      <t>2</t>
    </r>
    <r>
      <rPr>
        <sz val="8"/>
        <rFont val="Arial"/>
        <family val="2"/>
      </rPr>
      <t>O)</t>
    </r>
  </si>
  <si>
    <t>keeps Ca, Cl, and SO4 low</t>
  </si>
  <si>
    <t>Sparging Water Acidification Calculator</t>
  </si>
  <si>
    <r>
      <t>Recommendations for Sparging Water:</t>
    </r>
    <r>
      <rPr>
        <sz val="8"/>
        <rFont val="Arial"/>
        <family val="2"/>
      </rPr>
      <t xml:space="preserve">  Low to moderate alkalinity is desirable for Sparging Water. </t>
    </r>
    <r>
      <rPr>
        <b/>
        <sz val="8"/>
        <rFont val="Arial"/>
        <family val="2"/>
      </rPr>
      <t xml:space="preserve">                           DO NOT add minerals such as chalk, baking soda, or pickling lime to sparging water </t>
    </r>
    <r>
      <rPr>
        <sz val="8"/>
        <rFont val="Arial"/>
        <family val="2"/>
      </rPr>
      <t>since these minerals increase water alkalinity.  Sparging water is acidified to reduce pH and alkalinity.                                                                 An alternative to adding these alkalinity increasing minerals is to increase the addition of calcium- or sodium-containing minerals (gypsum, calcium chloride, table salt) to compensate for the deletion of chalk, baking soda, or pickling lime from the sparging water mineral additions.  Another option to avoid adding these alkalinity producing minerals to the sparging water is to reserve these minerals additions from the sparging water and add them directly to the kettle.</t>
    </r>
  </si>
  <si>
    <r>
      <t xml:space="preserve">Input 1.0 for the volume to have the program automatically calculate acid additions for the sparging volume input on the </t>
    </r>
    <r>
      <rPr>
        <b/>
        <sz val="8"/>
        <rFont val="Arial"/>
        <family val="2"/>
      </rPr>
      <t>Water Adjustment</t>
    </r>
    <r>
      <rPr>
        <sz val="8"/>
        <rFont val="Arial"/>
        <family val="2"/>
      </rPr>
      <t xml:space="preserve"> sheet.</t>
    </r>
  </si>
  <si>
    <t>Acid type used in sparging water</t>
  </si>
  <si>
    <t>Hover cursor over cells w/ red corner mark to display helpful information</t>
  </si>
  <si>
    <t>Addition</t>
  </si>
  <si>
    <r>
      <t xml:space="preserve">  </t>
    </r>
    <r>
      <rPr>
        <b/>
        <sz val="8"/>
        <rFont val="Arial"/>
        <family val="2"/>
      </rPr>
      <t xml:space="preserve">Sparge </t>
    </r>
    <r>
      <rPr>
        <sz val="8"/>
        <rFont val="Arial"/>
        <family val="2"/>
      </rPr>
      <t xml:space="preserve">Acid Strength parameters are entered on the </t>
    </r>
    <r>
      <rPr>
        <b/>
        <sz val="8"/>
        <rFont val="Arial"/>
        <family val="2"/>
      </rPr>
      <t>Sparge Acidication</t>
    </r>
    <r>
      <rPr>
        <sz val="8"/>
        <rFont val="Arial"/>
        <family val="2"/>
      </rPr>
      <t xml:space="preserve"> sheet</t>
    </r>
  </si>
  <si>
    <r>
      <rPr>
        <b/>
        <sz val="8"/>
        <rFont val="Arial"/>
        <family val="2"/>
      </rPr>
      <t xml:space="preserve">  Mash </t>
    </r>
    <r>
      <rPr>
        <sz val="8"/>
        <rFont val="Arial"/>
        <family val="2"/>
      </rPr>
      <t xml:space="preserve">Acid Strength parameters are entered </t>
    </r>
    <r>
      <rPr>
        <b/>
        <sz val="8"/>
        <rFont val="Arial"/>
        <family val="2"/>
      </rPr>
      <t>below</t>
    </r>
  </si>
  <si>
    <t>(ppm) Acetate added to water</t>
  </si>
  <si>
    <t>(ppm) Lactate added to water</t>
  </si>
  <si>
    <t>(ppm) Phosphate added to water</t>
  </si>
  <si>
    <t>(ppm) Citrate added to water</t>
  </si>
  <si>
    <t>(ppm) Tartarate added to water</t>
  </si>
  <si>
    <t>(ppm) Malate added to water</t>
  </si>
  <si>
    <r>
      <t xml:space="preserve">Proceed to the </t>
    </r>
    <r>
      <rPr>
        <b/>
        <sz val="10"/>
        <rFont val="Arial"/>
        <family val="2"/>
      </rPr>
      <t>Grain Bill Input</t>
    </r>
    <r>
      <rPr>
        <sz val="10"/>
        <rFont val="Arial"/>
        <family val="2"/>
      </rPr>
      <t xml:space="preserve"> sheet to enter the grains in the mash.  </t>
    </r>
  </si>
  <si>
    <t>Grain Bill Input</t>
  </si>
  <si>
    <r>
      <rPr>
        <b/>
        <sz val="10"/>
        <rFont val="Arial"/>
        <family val="2"/>
      </rPr>
      <t>Grain Color Setting</t>
    </r>
    <r>
      <rPr>
        <sz val="10"/>
        <rFont val="Arial"/>
        <family val="2"/>
      </rPr>
      <t xml:space="preserve">: Enter the Color System used for the malts at the bottom of the </t>
    </r>
    <r>
      <rPr>
        <b/>
        <sz val="10"/>
        <rFont val="Arial"/>
        <family val="2"/>
      </rPr>
      <t>Grain Bill Input</t>
    </r>
    <r>
      <rPr>
        <sz val="10"/>
        <rFont val="Arial"/>
        <family val="2"/>
      </rPr>
      <t xml:space="preserve"> sheet.  Click the cell and a </t>
    </r>
    <r>
      <rPr>
        <b/>
        <sz val="10"/>
        <rFont val="Arial"/>
        <family val="2"/>
      </rPr>
      <t>drop-down box</t>
    </r>
    <r>
      <rPr>
        <sz val="10"/>
        <rFont val="Arial"/>
        <family val="2"/>
      </rPr>
      <t xml:space="preserve"> will display </t>
    </r>
    <r>
      <rPr>
        <b/>
        <sz val="10"/>
        <rFont val="Arial"/>
        <family val="2"/>
      </rPr>
      <t xml:space="preserve">Lovibond </t>
    </r>
    <r>
      <rPr>
        <sz val="10"/>
        <rFont val="Arial"/>
        <family val="2"/>
      </rPr>
      <t xml:space="preserve">or </t>
    </r>
    <r>
      <rPr>
        <b/>
        <sz val="10"/>
        <rFont val="Arial"/>
        <family val="2"/>
      </rPr>
      <t>EBC</t>
    </r>
    <r>
      <rPr>
        <sz val="10"/>
        <rFont val="Arial"/>
        <family val="2"/>
      </rPr>
      <t xml:space="preserve"> selections for grain color systems.</t>
    </r>
  </si>
  <si>
    <r>
      <t xml:space="preserve">If more acidity is needed, a recommended alternative is to decrease the water alkalinity by reducing the water's bicarbonate content by adding more acid or reducing any Baking Soda, Chalk, or Pickling Lime additions.  If less acidity is needed, decrease any acid addition or increase the bicarbonate content to the mash water to consume more grain acidity.  If dilution was used to produce the </t>
    </r>
    <r>
      <rPr>
        <b/>
        <sz val="10"/>
        <rFont val="Arial"/>
        <family val="2"/>
      </rPr>
      <t>Adjusted Water</t>
    </r>
    <r>
      <rPr>
        <sz val="10"/>
        <rFont val="Arial"/>
        <family val="2"/>
      </rPr>
      <t>, reducing the dilution percentage can typically increase the bicarbonate content since most drinking water has alkalinity.</t>
    </r>
  </si>
  <si>
    <r>
      <t xml:space="preserve">Proceed to the </t>
    </r>
    <r>
      <rPr>
        <b/>
        <sz val="10"/>
        <rFont val="Arial"/>
        <family val="2"/>
      </rPr>
      <t xml:space="preserve">Water Adjustment </t>
    </r>
    <r>
      <rPr>
        <sz val="10"/>
        <rFont val="Arial"/>
        <family val="2"/>
      </rPr>
      <t xml:space="preserve">sheet to calculate the mineral and acid additions to create the desired mashing water profile.  </t>
    </r>
  </si>
  <si>
    <r>
      <rPr>
        <b/>
        <sz val="10"/>
        <rFont val="Arial"/>
        <family val="2"/>
      </rPr>
      <t>Safety</t>
    </r>
    <r>
      <rPr>
        <sz val="10"/>
        <rFont val="Arial"/>
        <family val="2"/>
      </rPr>
      <t>: Care must be exercised when working with acid since they can cause serious physical harm.  Measure carefully and use instruments such as graduated pipettes or droppers to transfer acid.</t>
    </r>
  </si>
  <si>
    <t>Set the Target Water pH =</t>
  </si>
  <si>
    <t>Water Volume to Treat=</t>
  </si>
  <si>
    <r>
      <t xml:space="preserve">The following acids: </t>
    </r>
    <r>
      <rPr>
        <b/>
        <sz val="10"/>
        <rFont val="Arial"/>
        <family val="2"/>
      </rPr>
      <t>Citric</t>
    </r>
    <r>
      <rPr>
        <sz val="10"/>
        <rFont val="Arial"/>
        <family val="2"/>
      </rPr>
      <t xml:space="preserve">, </t>
    </r>
    <r>
      <rPr>
        <b/>
        <sz val="10"/>
        <rFont val="Arial"/>
        <family val="2"/>
      </rPr>
      <t>Malic</t>
    </r>
    <r>
      <rPr>
        <sz val="10"/>
        <rFont val="Arial"/>
        <family val="2"/>
      </rPr>
      <t xml:space="preserve">, and </t>
    </r>
    <r>
      <rPr>
        <b/>
        <sz val="10"/>
        <rFont val="Arial"/>
        <family val="2"/>
      </rPr>
      <t>Tartaric</t>
    </r>
    <r>
      <rPr>
        <sz val="10"/>
        <rFont val="Arial"/>
        <family val="2"/>
      </rPr>
      <t xml:space="preserve"> can only be used in their </t>
    </r>
    <r>
      <rPr>
        <b/>
        <sz val="10"/>
        <rFont val="Arial"/>
        <family val="2"/>
      </rPr>
      <t>SOLID</t>
    </r>
    <r>
      <rPr>
        <sz val="10"/>
        <rFont val="Arial"/>
        <family val="2"/>
      </rPr>
      <t xml:space="preserve"> form in </t>
    </r>
    <r>
      <rPr>
        <b/>
        <sz val="10"/>
        <rFont val="Arial"/>
        <family val="2"/>
      </rPr>
      <t>Bru'n Water</t>
    </r>
    <r>
      <rPr>
        <sz val="10"/>
        <rFont val="Arial"/>
        <family val="2"/>
      </rPr>
      <t xml:space="preserve">. The program is set up to employ those acids </t>
    </r>
    <r>
      <rPr>
        <b/>
        <sz val="10"/>
        <rFont val="Arial"/>
        <family val="2"/>
      </rPr>
      <t>only in their solid form</t>
    </r>
    <r>
      <rPr>
        <sz val="10"/>
        <rFont val="Arial"/>
        <family val="2"/>
      </rPr>
      <t xml:space="preserve">. Do not attempt to calculate additions for those acids in </t>
    </r>
    <r>
      <rPr>
        <b/>
        <sz val="10"/>
        <rFont val="Arial"/>
        <family val="2"/>
      </rPr>
      <t>Bru'n Water</t>
    </r>
    <r>
      <rPr>
        <sz val="10"/>
        <rFont val="Arial"/>
        <family val="2"/>
      </rPr>
      <t xml:space="preserve"> if those acids are in their liquid forms since the result will not be accurate.</t>
    </r>
  </si>
  <si>
    <r>
      <rPr>
        <b/>
        <sz val="10"/>
        <rFont val="Arial"/>
        <family val="2"/>
      </rPr>
      <t>Aquarium test kits</t>
    </r>
    <r>
      <rPr>
        <sz val="10"/>
        <rFont val="Arial"/>
        <family val="2"/>
      </rPr>
      <t xml:space="preserve"> can provide reasonably accurate assessment of the primary brewing water quality parameters of calcium content (or hardness) and alkalinity (which is also termed 'carbonate hardness').  Aquarium test kits from manufacturers such as Aquarium Pharaceuticals, Elos, Salifert, and Red Sea are available and can determine the concentration of these components.   If better accuracy is desired, water testing kits from suppliers such as Hach and Lamotte are suggested.  The hardness and alkalinity concentrations are the primary components that influence mash pH.  The calcium kits may have names such as Calcium Test or General Hardness.  The Alkalinity kits may have names such as Alkalinity/pH Test or Carbonate Hardness.   Search the web for '</t>
    </r>
    <r>
      <rPr>
        <b/>
        <sz val="10"/>
        <rFont val="Arial"/>
        <family val="2"/>
      </rPr>
      <t>Aquarium Test Kits</t>
    </r>
    <r>
      <rPr>
        <sz val="10"/>
        <rFont val="Arial"/>
        <family val="2"/>
      </rPr>
      <t>'.    Colorimetric kits that you add drops to are recommended since they are generally more sensitive than kits that use Test Strips.</t>
    </r>
  </si>
  <si>
    <r>
      <t xml:space="preserve">            Water testing results are entered on the </t>
    </r>
    <r>
      <rPr>
        <b/>
        <sz val="10"/>
        <rFont val="Arial"/>
        <family val="2"/>
      </rPr>
      <t>Water Report Input</t>
    </r>
    <r>
      <rPr>
        <sz val="10"/>
        <rFont val="Arial"/>
        <family val="2"/>
      </rPr>
      <t xml:space="preserve"> sheet.  The concentrations for each ion are entered in the </t>
    </r>
    <r>
      <rPr>
        <b/>
        <sz val="10"/>
        <color indexed="12"/>
        <rFont val="Arial"/>
        <family val="2"/>
      </rPr>
      <t>blue cells</t>
    </r>
    <r>
      <rPr>
        <sz val="10"/>
        <rFont val="Arial"/>
        <family val="2"/>
      </rPr>
      <t xml:space="preserve">.  </t>
    </r>
    <r>
      <rPr>
        <b/>
        <sz val="10"/>
        <color indexed="51"/>
        <rFont val="Arial"/>
        <family val="2"/>
      </rPr>
      <t>Yellow cells</t>
    </r>
    <r>
      <rPr>
        <sz val="10"/>
        <rFont val="Arial"/>
        <family val="2"/>
      </rPr>
      <t xml:space="preserve"> display calculated results.  Water reports typically present the ion concentrations as milligrams per liter (mg/L) or parts per million (ppm).  These units are roughly equivalent and are used interchangeably.  This program includes helpful pop-up informational comments in some cells.  Cells with a</t>
    </r>
    <r>
      <rPr>
        <b/>
        <sz val="10"/>
        <color indexed="10"/>
        <rFont val="Arial"/>
        <family val="2"/>
      </rPr>
      <t xml:space="preserve"> red mark</t>
    </r>
    <r>
      <rPr>
        <sz val="10"/>
        <rFont val="Arial"/>
        <family val="2"/>
      </rPr>
      <t xml:space="preserve"> in the upper right cell corner will display the comment when the mouse cursor is hovered over that cell.   </t>
    </r>
    <r>
      <rPr>
        <b/>
        <sz val="10"/>
        <rFont val="Arial"/>
        <family val="2"/>
      </rPr>
      <t>If the sheet does not show comments or red corner marks, select the REVIEW tab in the Excel program menu and click the SHOW ALL COMMENTS button twice.  This should coax the software to display the comments.</t>
    </r>
  </si>
  <si>
    <r>
      <t xml:space="preserve">A comprehensive instruction on brewing water knowledge is included in this program to assist the brewer in understanding brewing water chemistry.  Select the </t>
    </r>
    <r>
      <rPr>
        <b/>
        <sz val="10"/>
        <rFont val="Arial"/>
        <family val="2"/>
      </rPr>
      <t>Water Knowledge</t>
    </r>
    <r>
      <rPr>
        <sz val="10"/>
        <rFont val="Arial"/>
        <family val="2"/>
      </rPr>
      <t xml:space="preserve"> tab to view.  A link to the on-line version of the Water Knowledge is provided below.  The on-line version is more up to date and should be the preferred resource.</t>
    </r>
  </si>
  <si>
    <r>
      <t>This program steps the brewer through a set of spreadsheets to complete the water analysis and adjustment.  If a brewer's water source is relatively stable and its characteristics do not change, then it is likely that the brewer will only visit sheets 1 and 2 (</t>
    </r>
    <r>
      <rPr>
        <b/>
        <sz val="10"/>
        <rFont val="Arial"/>
        <family val="2"/>
      </rPr>
      <t>Water Report Input</t>
    </r>
    <r>
      <rPr>
        <sz val="10"/>
        <rFont val="Arial"/>
        <family val="2"/>
      </rPr>
      <t xml:space="preserve"> and </t>
    </r>
    <r>
      <rPr>
        <b/>
        <sz val="10"/>
        <rFont val="Arial"/>
        <family val="2"/>
      </rPr>
      <t>Sparge Acidification</t>
    </r>
    <r>
      <rPr>
        <sz val="10"/>
        <rFont val="Arial"/>
        <family val="2"/>
      </rPr>
      <t>) once.  Sheets 3 and 4 (</t>
    </r>
    <r>
      <rPr>
        <b/>
        <sz val="10"/>
        <rFont val="Arial"/>
        <family val="2"/>
      </rPr>
      <t xml:space="preserve">Grain Bill Input </t>
    </r>
    <r>
      <rPr>
        <sz val="10"/>
        <rFont val="Arial"/>
        <family val="2"/>
      </rPr>
      <t xml:space="preserve">and </t>
    </r>
    <r>
      <rPr>
        <b/>
        <sz val="10"/>
        <rFont val="Arial"/>
        <family val="2"/>
      </rPr>
      <t>Water Adjustment</t>
    </r>
    <r>
      <rPr>
        <sz val="10"/>
        <rFont val="Arial"/>
        <family val="2"/>
      </rPr>
      <t xml:space="preserve">) will be used for each new brewing session.  The brewer should work sequentially through sheets 1 through 4 to define and assess their brewing water chemistry.  If the mash acidification results indicate that the water adjustments will not produce a desirable result, the brewer may need to revisit the </t>
    </r>
    <r>
      <rPr>
        <b/>
        <sz val="10"/>
        <rFont val="Arial"/>
        <family val="2"/>
      </rPr>
      <t>Water Adjustment</t>
    </r>
    <r>
      <rPr>
        <sz val="10"/>
        <rFont val="Arial"/>
        <family val="2"/>
      </rPr>
      <t xml:space="preserve"> page (Sheet 4) and adjust the dilution, mineral, or acid additions to achieve their desired mash pH.  Be sure to input your water's Bicarbonate content on the </t>
    </r>
    <r>
      <rPr>
        <b/>
        <sz val="10"/>
        <rFont val="Arial"/>
        <family val="2"/>
      </rPr>
      <t xml:space="preserve">Water Report Input </t>
    </r>
    <r>
      <rPr>
        <sz val="10"/>
        <rFont val="Arial"/>
        <family val="2"/>
      </rPr>
      <t xml:space="preserve">sheet to get proper output on the </t>
    </r>
    <r>
      <rPr>
        <b/>
        <sz val="10"/>
        <rFont val="Arial"/>
        <family val="2"/>
      </rPr>
      <t xml:space="preserve">Grain Bill Input </t>
    </r>
    <r>
      <rPr>
        <sz val="10"/>
        <rFont val="Arial"/>
        <family val="2"/>
      </rPr>
      <t xml:space="preserve">and </t>
    </r>
    <r>
      <rPr>
        <b/>
        <sz val="10"/>
        <rFont val="Arial"/>
        <family val="2"/>
      </rPr>
      <t xml:space="preserve">Adjustment Summary </t>
    </r>
    <r>
      <rPr>
        <sz val="10"/>
        <rFont val="Arial"/>
        <family val="2"/>
      </rPr>
      <t xml:space="preserve">sheets. If the Sparging Water is diluted with RO or Distilled water, that information must be input on the </t>
    </r>
    <r>
      <rPr>
        <b/>
        <sz val="10"/>
        <rFont val="Arial"/>
        <family val="2"/>
      </rPr>
      <t>Sparge Acidification</t>
    </r>
    <r>
      <rPr>
        <sz val="10"/>
        <rFont val="Arial"/>
        <family val="2"/>
      </rPr>
      <t xml:space="preserve"> sheet.  </t>
    </r>
  </si>
  <si>
    <r>
      <t xml:space="preserve">5. Bru'n Water assesses the acidity of the brewer's grain bill to predict mash pH.  </t>
    </r>
    <r>
      <rPr>
        <b/>
        <sz val="10"/>
        <rFont val="Arial"/>
        <family val="2"/>
      </rPr>
      <t>Input the mashing grain bill</t>
    </r>
    <r>
      <rPr>
        <sz val="10"/>
        <rFont val="Arial"/>
        <family val="2"/>
      </rPr>
      <t xml:space="preserve"> on the </t>
    </r>
    <r>
      <rPr>
        <b/>
        <sz val="10"/>
        <rFont val="Arial"/>
        <family val="2"/>
      </rPr>
      <t>Grain Bill Input</t>
    </r>
    <r>
      <rPr>
        <sz val="10"/>
        <rFont val="Arial"/>
        <family val="2"/>
      </rPr>
      <t xml:space="preserve"> sheet.  </t>
    </r>
  </si>
  <si>
    <t>When opening the program for the first time, the zoom on each of the sheets is set low (small) so that most users can see the full extent of the working area when they open the program.  Increase the zoom setting on each sheet so that each sheet is enlarged and visible on your monitor.  When the program is saved, your preferred zoom settings on each sheet will be saved.  If text in some cells does not appear correctly, increasing the zoom may improve the appearance.</t>
  </si>
  <si>
    <r>
      <t xml:space="preserve">Aquarium test kits may report their results in terms of German degrees of Hardness, American Grains per Gallon, milliequivalents per liter, milligrams per liter, or parts per million.  Results must converted to milligrams per liter (mg/L) or parts per million (ppm) for use in </t>
    </r>
    <r>
      <rPr>
        <b/>
        <sz val="10"/>
        <rFont val="Arial"/>
        <family val="2"/>
      </rPr>
      <t>Bru'n Water</t>
    </r>
    <r>
      <rPr>
        <sz val="10"/>
        <rFont val="Arial"/>
        <family val="2"/>
      </rPr>
      <t xml:space="preserve">.  Note that ppm and mg/L are generally equivalent.  Conversion factors are provided below and some are included in the </t>
    </r>
    <r>
      <rPr>
        <b/>
        <sz val="10"/>
        <rFont val="Arial"/>
        <family val="2"/>
      </rPr>
      <t xml:space="preserve">Conversion Calculator </t>
    </r>
    <r>
      <rPr>
        <sz val="10"/>
        <rFont val="Arial"/>
        <family val="2"/>
      </rPr>
      <t xml:space="preserve">on the </t>
    </r>
    <r>
      <rPr>
        <b/>
        <sz val="10"/>
        <rFont val="Arial"/>
        <family val="2"/>
      </rPr>
      <t>Water Report Input</t>
    </r>
    <r>
      <rPr>
        <sz val="10"/>
        <rFont val="Arial"/>
        <family val="2"/>
      </rPr>
      <t xml:space="preserve"> sheet.  </t>
    </r>
  </si>
  <si>
    <t xml:space="preserve">When the reported water testing results do not indicate balanced ion concentrations, there are things the brewer can check to evaluate what the potential errors are.  </t>
  </si>
  <si>
    <r>
      <t xml:space="preserve">Potassium, iron, nitrate, nitrite, and fluoride are typically present in low concentration, so their values should be small (frequently less than 10 ppm).  Verify if they were reported in parts per billion (ppb) units if their concentration values are significantly greater than 10.  Use the conversion tool in </t>
    </r>
    <r>
      <rPr>
        <b/>
        <sz val="10"/>
        <rFont val="Arial"/>
        <family val="2"/>
      </rPr>
      <t>Bru'n Water</t>
    </r>
    <r>
      <rPr>
        <sz val="10"/>
        <rFont val="Arial"/>
        <family val="2"/>
      </rPr>
      <t xml:space="preserve"> to convert from ppb to ppm.  </t>
    </r>
  </si>
  <si>
    <t>If any of these corrections produce a better ion balance, then the brewer may elect to use these revised concentrations for their water profile instead of having another water test performed or asking for additional water testing information.</t>
  </si>
  <si>
    <r>
      <t xml:space="preserve">Hot water added to the mash (Infusions) to raise the temperature of the mash should be considered to be a portion of the brewer's </t>
    </r>
    <r>
      <rPr>
        <b/>
        <sz val="10"/>
        <rFont val="Arial"/>
        <family val="2"/>
      </rPr>
      <t xml:space="preserve">Sparging Water </t>
    </r>
    <r>
      <rPr>
        <sz val="10"/>
        <rFont val="Arial"/>
        <family val="2"/>
      </rPr>
      <t xml:space="preserve">volume.  Acidify and treat the Water Infusions as recommended for Sparging Water on the </t>
    </r>
    <r>
      <rPr>
        <b/>
        <sz val="10"/>
        <rFont val="Arial"/>
        <family val="2"/>
      </rPr>
      <t>Sparge Acidification</t>
    </r>
    <r>
      <rPr>
        <sz val="10"/>
        <rFont val="Arial"/>
        <family val="2"/>
      </rPr>
      <t xml:space="preserve"> sheet. </t>
    </r>
  </si>
  <si>
    <r>
      <t xml:space="preserve">The </t>
    </r>
    <r>
      <rPr>
        <b/>
        <sz val="10"/>
        <rFont val="Arial"/>
        <family val="2"/>
      </rPr>
      <t xml:space="preserve">Final Water Alkalinity </t>
    </r>
    <r>
      <rPr>
        <sz val="10"/>
        <rFont val="Arial"/>
        <family val="2"/>
      </rPr>
      <t xml:space="preserve">of the sparging water is the criteria used to guide the degree of acidification.  Reduce sparging water alkalinity to </t>
    </r>
    <r>
      <rPr>
        <b/>
        <sz val="10"/>
        <rFont val="Arial"/>
        <family val="2"/>
      </rPr>
      <t>25 ppm</t>
    </r>
    <r>
      <rPr>
        <sz val="10"/>
        <rFont val="Arial"/>
        <family val="2"/>
      </rPr>
      <t xml:space="preserve"> or less (as CaCO</t>
    </r>
    <r>
      <rPr>
        <vertAlign val="subscript"/>
        <sz val="10"/>
        <rFont val="Arial"/>
        <family val="2"/>
      </rPr>
      <t>3</t>
    </r>
    <r>
      <rPr>
        <sz val="10"/>
        <rFont val="Arial"/>
        <family val="2"/>
      </rPr>
      <t xml:space="preserve">) for best results.  </t>
    </r>
  </si>
  <si>
    <r>
      <t xml:space="preserve">To adjust the Final Alkalinity, vary the </t>
    </r>
    <r>
      <rPr>
        <b/>
        <sz val="10"/>
        <rFont val="Arial"/>
        <family val="2"/>
      </rPr>
      <t>Target Water pH</t>
    </r>
    <r>
      <rPr>
        <sz val="10"/>
        <rFont val="Arial"/>
        <family val="2"/>
      </rPr>
      <t xml:space="preserve"> value until a desirable low Final Alkalinity result is produced.  The </t>
    </r>
    <r>
      <rPr>
        <b/>
        <sz val="10"/>
        <rFont val="Arial"/>
        <family val="2"/>
      </rPr>
      <t>Set the Target Water pH</t>
    </r>
    <r>
      <rPr>
        <sz val="10"/>
        <rFont val="Arial"/>
        <family val="2"/>
      </rPr>
      <t xml:space="preserve"> value is the primary way to adjust the level of sparging water acidification.</t>
    </r>
  </si>
  <si>
    <r>
      <t xml:space="preserve">To increase the program's versatility, </t>
    </r>
    <r>
      <rPr>
        <b/>
        <sz val="10"/>
        <rFont val="Arial"/>
        <family val="2"/>
      </rPr>
      <t>Bru'n Water</t>
    </r>
    <r>
      <rPr>
        <sz val="10"/>
        <rFont val="Arial"/>
        <family val="2"/>
      </rPr>
      <t xml:space="preserve"> allows brewers to use </t>
    </r>
    <r>
      <rPr>
        <b/>
        <sz val="10"/>
        <rFont val="Arial"/>
        <family val="2"/>
      </rPr>
      <t>2 different acids in both the sparging and mashing water treatment (up to 4 different acid additions)</t>
    </r>
    <r>
      <rPr>
        <sz val="10"/>
        <rFont val="Arial"/>
        <family val="2"/>
      </rPr>
      <t xml:space="preserve">. This feature may be useful for brewers with high alkalinity water that may incur excessive anion concentrations if only one type of acid is used. Using multiple acids may help keep those anions, such as lactate or sulfate, under their taste thresholds. The brewer must set the acid type and strength on both the </t>
    </r>
    <r>
      <rPr>
        <b/>
        <sz val="10"/>
        <rFont val="Arial"/>
        <family val="2"/>
      </rPr>
      <t>Sparge Acidification</t>
    </r>
    <r>
      <rPr>
        <sz val="10"/>
        <rFont val="Arial"/>
        <family val="2"/>
      </rPr>
      <t xml:space="preserve"> and </t>
    </r>
    <r>
      <rPr>
        <b/>
        <sz val="10"/>
        <rFont val="Arial"/>
        <family val="2"/>
      </rPr>
      <t>Water Adjustment</t>
    </r>
    <r>
      <rPr>
        <sz val="10"/>
        <rFont val="Arial"/>
        <family val="2"/>
      </rPr>
      <t xml:space="preserve"> sheets since each acid entry is separate.</t>
    </r>
  </si>
  <si>
    <r>
      <t xml:space="preserve">Variation in the water source pH or alkalinity can cause the pH target to be missed.  Heating or boiling water with moderate to high Temporary Hardness will Decarbonate the water.  This reduces the hardness and alkalinity of that water which will result in the overdosing of acid additions.   Since acid additions are calculated based on the unboiled alkalinity, </t>
    </r>
    <r>
      <rPr>
        <b/>
        <sz val="10"/>
        <rFont val="Arial"/>
        <family val="2"/>
      </rPr>
      <t xml:space="preserve">Add acid before heating water to avoid decarbonation and dropping water pH too low. </t>
    </r>
    <r>
      <rPr>
        <sz val="10"/>
        <rFont val="Arial"/>
        <family val="2"/>
      </rPr>
      <t xml:space="preserve"> The brewer should be aware of this possibility and measure their actual pH's when possible. </t>
    </r>
  </si>
  <si>
    <r>
      <t xml:space="preserve">When Sulfuric acid or CRS acid-blend is used, the concentration of added sulfate ions is provided in the </t>
    </r>
    <r>
      <rPr>
        <b/>
        <sz val="10"/>
        <rFont val="Arial"/>
        <family val="2"/>
      </rPr>
      <t>Outputs</t>
    </r>
    <r>
      <rPr>
        <sz val="10"/>
        <rFont val="Arial"/>
        <family val="2"/>
      </rPr>
      <t xml:space="preserve">.  When Hydrochloric acid or CRS acid-blend is used, the concentration of added chloride ions is provided in the </t>
    </r>
    <r>
      <rPr>
        <b/>
        <sz val="10"/>
        <rFont val="Arial"/>
        <family val="2"/>
      </rPr>
      <t>Outputs</t>
    </r>
    <r>
      <rPr>
        <sz val="10"/>
        <rFont val="Arial"/>
        <family val="2"/>
      </rPr>
      <t xml:space="preserve">.  These ion concentrations are averaged into the overall ionic profile of the finished water profile.     </t>
    </r>
  </si>
  <si>
    <r>
      <t xml:space="preserve">All acids used for acidification in the brewery should be sourced as Food-Grade chemicals.  The brewer should use acids with the designation: </t>
    </r>
    <r>
      <rPr>
        <b/>
        <sz val="10"/>
        <rFont val="Arial"/>
        <family val="2"/>
      </rPr>
      <t>Food Chemical Codex (FCC) or United States Pharmacopeia (USP)</t>
    </r>
    <r>
      <rPr>
        <sz val="10"/>
        <rFont val="Arial"/>
        <family val="2"/>
      </rPr>
      <t xml:space="preserve">.  This is particularly important for the acids since they can easily dissolve and contaminated with heavy metals that are hazardous to health.  Although the highest purity classification for chemicals in the U.S. is </t>
    </r>
    <r>
      <rPr>
        <b/>
        <sz val="10"/>
        <rFont val="Arial"/>
        <family val="2"/>
      </rPr>
      <t xml:space="preserve">Reagent ACS </t>
    </r>
    <r>
      <rPr>
        <sz val="10"/>
        <rFont val="Arial"/>
        <family val="2"/>
      </rPr>
      <t xml:space="preserve">grade as designated by the American Chemical Society (ACS), it does not guarantee that hazardous or deleterious substances have not been introduced into the acid.  The </t>
    </r>
    <r>
      <rPr>
        <b/>
        <sz val="10"/>
        <rFont val="Arial"/>
        <family val="2"/>
      </rPr>
      <t>FCC</t>
    </r>
    <r>
      <rPr>
        <sz val="10"/>
        <rFont val="Arial"/>
        <family val="2"/>
      </rPr>
      <t xml:space="preserve"> grade should be preferentially sourced for brewery use.  </t>
    </r>
    <r>
      <rPr>
        <b/>
        <sz val="10"/>
        <rFont val="Arial"/>
        <family val="2"/>
      </rPr>
      <t>Reagent ACS</t>
    </r>
    <r>
      <rPr>
        <sz val="10"/>
        <rFont val="Arial"/>
        <family val="2"/>
      </rPr>
      <t xml:space="preserve"> or </t>
    </r>
    <r>
      <rPr>
        <b/>
        <sz val="10"/>
        <rFont val="Arial"/>
        <family val="2"/>
      </rPr>
      <t>Reagen</t>
    </r>
    <r>
      <rPr>
        <sz val="10"/>
        <rFont val="Arial"/>
        <family val="2"/>
      </rPr>
      <t>t grade acids might be considered if food-grade acids cannot be obtained.</t>
    </r>
  </si>
  <si>
    <r>
      <t xml:space="preserve">The </t>
    </r>
    <r>
      <rPr>
        <b/>
        <sz val="10"/>
        <rFont val="Arial"/>
        <family val="2"/>
      </rPr>
      <t>Grain Bill Input</t>
    </r>
    <r>
      <rPr>
        <sz val="10"/>
        <rFont val="Arial"/>
        <family val="2"/>
      </rPr>
      <t xml:space="preserve"> sheet is where the brewer enters the actual types and quantities of grains used in the mash.</t>
    </r>
  </si>
  <si>
    <r>
      <t xml:space="preserve">In the past, rough correlations between beer color and appropriate Residual Alkalinity (RA) had been proposed.  Due to the non-linear relationships between grain color and its acidity, a good correlation cannot definitively be made between RA and beer color.  This </t>
    </r>
    <r>
      <rPr>
        <b/>
        <sz val="10"/>
        <rFont val="Arial"/>
        <family val="2"/>
      </rPr>
      <t xml:space="preserve">Grain Bill Input </t>
    </r>
    <r>
      <rPr>
        <sz val="10"/>
        <rFont val="Arial"/>
        <family val="2"/>
      </rPr>
      <t xml:space="preserve">sheet was developed to provide brewers with a more accurate assessment of beer color, alkalinity, and the resulting Net Acidity that drives the mash pH. </t>
    </r>
  </si>
  <si>
    <r>
      <t xml:space="preserve">After the grain information is entered, the </t>
    </r>
    <r>
      <rPr>
        <b/>
        <sz val="10"/>
        <rFont val="Arial"/>
        <family val="2"/>
      </rPr>
      <t>Total Weight</t>
    </r>
    <r>
      <rPr>
        <sz val="10"/>
        <rFont val="Arial"/>
        <family val="2"/>
      </rPr>
      <t xml:space="preserve"> of the grist and its </t>
    </r>
    <r>
      <rPr>
        <b/>
        <sz val="10"/>
        <rFont val="Arial"/>
        <family val="2"/>
      </rPr>
      <t>Water to Grist Ratio</t>
    </r>
    <r>
      <rPr>
        <sz val="10"/>
        <rFont val="Arial"/>
        <family val="2"/>
      </rPr>
      <t xml:space="preserve"> are provided at the bottom of the sheet.  Compare the calculated total weight to your recipe total to verify the grain entries are correct.   A listing of the relative percentage of each grain in the grist is provided for confirmation with any other brewing recipe software the brewer uses. </t>
    </r>
  </si>
  <si>
    <r>
      <t xml:space="preserve">The </t>
    </r>
    <r>
      <rPr>
        <b/>
        <sz val="10"/>
        <rFont val="Arial"/>
        <family val="2"/>
      </rPr>
      <t>Estimated Color</t>
    </r>
    <r>
      <rPr>
        <sz val="10"/>
        <rFont val="Arial"/>
        <family val="2"/>
      </rPr>
      <t xml:space="preserve"> of the beer (in EBC and SRM units) is provided at the bottom of the sheet for comparison with the brewer's brewing calculations or software results (Promash, Beersmith, etc.).  Note that the batch volume (entered on the </t>
    </r>
    <r>
      <rPr>
        <b/>
        <sz val="10"/>
        <rFont val="Arial"/>
        <family val="2"/>
      </rPr>
      <t>Water Adjustment</t>
    </r>
    <r>
      <rPr>
        <sz val="10"/>
        <rFont val="Arial"/>
        <family val="2"/>
      </rPr>
      <t xml:space="preserve"> sheet) affects this calculation and must be the same as the brewing calculation's or software's input in order to see agreement.  The Morey equation is used for the color calculation. </t>
    </r>
  </si>
  <si>
    <r>
      <rPr>
        <b/>
        <sz val="10"/>
        <rFont val="Arial"/>
        <family val="2"/>
      </rPr>
      <t>Water Source Setting</t>
    </r>
    <r>
      <rPr>
        <sz val="10"/>
        <rFont val="Arial"/>
        <family val="2"/>
      </rPr>
      <t xml:space="preserve">: At the bottom of the </t>
    </r>
    <r>
      <rPr>
        <b/>
        <sz val="10"/>
        <rFont val="Arial"/>
        <family val="2"/>
      </rPr>
      <t>Grain Bill Input</t>
    </r>
    <r>
      <rPr>
        <sz val="10"/>
        <rFont val="Arial"/>
        <family val="2"/>
      </rPr>
      <t xml:space="preserve"> sheet, a drop-down box allows the brewer to toggle between the brewer's </t>
    </r>
    <r>
      <rPr>
        <b/>
        <sz val="10"/>
        <rFont val="Arial"/>
        <family val="2"/>
      </rPr>
      <t>Existing</t>
    </r>
    <r>
      <rPr>
        <sz val="10"/>
        <rFont val="Arial"/>
        <family val="2"/>
      </rPr>
      <t xml:space="preserve"> </t>
    </r>
    <r>
      <rPr>
        <b/>
        <sz val="10"/>
        <rFont val="Arial"/>
        <family val="2"/>
      </rPr>
      <t>Water</t>
    </r>
    <r>
      <rPr>
        <sz val="10"/>
        <rFont val="Arial"/>
        <family val="2"/>
      </rPr>
      <t xml:space="preserve"> (unadjusted) and the </t>
    </r>
    <r>
      <rPr>
        <b/>
        <sz val="10"/>
        <rFont val="Arial"/>
        <family val="2"/>
      </rPr>
      <t>Adjusted</t>
    </r>
    <r>
      <rPr>
        <sz val="10"/>
        <rFont val="Arial"/>
        <family val="2"/>
      </rPr>
      <t xml:space="preserve"> </t>
    </r>
    <r>
      <rPr>
        <b/>
        <sz val="10"/>
        <rFont val="Arial"/>
        <family val="2"/>
      </rPr>
      <t>Water</t>
    </r>
    <r>
      <rPr>
        <sz val="10"/>
        <rFont val="Arial"/>
        <family val="2"/>
      </rPr>
      <t xml:space="preserve"> (Finished) calculated on the </t>
    </r>
    <r>
      <rPr>
        <b/>
        <sz val="10"/>
        <rFont val="Arial"/>
        <family val="2"/>
      </rPr>
      <t>Water  Adjustment</t>
    </r>
    <r>
      <rPr>
        <sz val="10"/>
        <rFont val="Arial"/>
        <family val="2"/>
      </rPr>
      <t xml:space="preserve"> sheet.  Typically, the box should be left on the </t>
    </r>
    <r>
      <rPr>
        <b/>
        <sz val="10"/>
        <rFont val="Arial"/>
        <family val="2"/>
      </rPr>
      <t>Adjusted Water</t>
    </r>
    <r>
      <rPr>
        <sz val="10"/>
        <rFont val="Arial"/>
        <family val="2"/>
      </rPr>
      <t xml:space="preserve"> setting, but the brewer can use the other setting to see what the </t>
    </r>
    <r>
      <rPr>
        <b/>
        <sz val="10"/>
        <rFont val="Arial"/>
        <family val="2"/>
      </rPr>
      <t>mash pH</t>
    </r>
    <r>
      <rPr>
        <sz val="10"/>
        <rFont val="Arial"/>
        <family val="2"/>
      </rPr>
      <t xml:space="preserve"> would be without water adjustment.  Select the cell and the drop-down selection box will appear.</t>
    </r>
  </si>
  <si>
    <r>
      <t xml:space="preserve">The </t>
    </r>
    <r>
      <rPr>
        <b/>
        <sz val="10"/>
        <rFont val="Arial"/>
        <family val="2"/>
      </rPr>
      <t>Bru'n Water</t>
    </r>
    <r>
      <rPr>
        <sz val="10"/>
        <rFont val="Arial"/>
        <family val="2"/>
      </rPr>
      <t xml:space="preserve"> mash pH estimation should only be considered a good approximation.  Variation in water, mineral, and grain quality can easily alter the actual mash pH.  The brewer can expect that the estimated mash pH should typically be within 0.2 units from the room-temperature mash pH reading.  The algorithm used to estimate the mash pH was produced through the evaluation of actual mashs and resulting pH.  That algorithm will be modified based on the results of brewer's reports.  A copy of this program that includes the brewer's input data along with their measured room-temperature mash pH can be sent to the program author for inclusion in this study and refinement.  </t>
    </r>
  </si>
  <si>
    <r>
      <t xml:space="preserve">Characteristics of wort from the mash can be altered slightly through adjustment of the mash pH.  The Extract and Fermentability of the wort can be enhanced by adjusting the wort pH toward the low end of the range.  Conversely, the Body and Mouthfeel of the wort can be enhanced by adjusting the wort pH toward the high end of the range (from Malting and Brewing Science, 1981).  The brewer should consider these results when adjusting the mashing water alkalinity and the resulting mash pH. </t>
    </r>
    <r>
      <rPr>
        <b/>
        <sz val="10"/>
        <rFont val="Arial"/>
        <family val="2"/>
      </rPr>
      <t/>
    </r>
  </si>
  <si>
    <r>
      <rPr>
        <b/>
        <sz val="10"/>
        <rFont val="Arial"/>
        <family val="2"/>
      </rPr>
      <t>Remember:</t>
    </r>
    <r>
      <rPr>
        <sz val="10"/>
        <rFont val="Arial"/>
        <family val="2"/>
      </rPr>
      <t xml:space="preserve"> 
              </t>
    </r>
    <r>
      <rPr>
        <b/>
        <sz val="10"/>
        <rFont val="Arial"/>
        <family val="2"/>
      </rPr>
      <t>Lower mash pH = higher fermentability and less body</t>
    </r>
    <r>
      <rPr>
        <sz val="10"/>
        <rFont val="Arial"/>
        <family val="2"/>
      </rPr>
      <t xml:space="preserve">
             </t>
    </r>
    <r>
      <rPr>
        <b/>
        <sz val="10"/>
        <rFont val="Arial"/>
        <family val="2"/>
      </rPr>
      <t xml:space="preserve"> Higher mash pH = lower fermentability and more body</t>
    </r>
    <r>
      <rPr>
        <sz val="10"/>
        <rFont val="Arial"/>
        <family val="2"/>
      </rPr>
      <t xml:space="preserve">
Keep mash pH within the desired pH range to help produce your desired result.</t>
    </r>
  </si>
  <si>
    <r>
      <t xml:space="preserve">To produce the mash pH effects mentioned above, the brewer should generally target a room-temperature pH range of between 5.3 and 5.5.  </t>
    </r>
    <r>
      <rPr>
        <b/>
        <sz val="10"/>
        <rFont val="Arial"/>
        <family val="2"/>
      </rPr>
      <t>Target a mash pH of 5.3 for the lower mash pH perceptions and target a mash pH of 5.5 for the higher mash pH perceptions.</t>
    </r>
  </si>
  <si>
    <r>
      <t xml:space="preserve">Adjust the acid malt content of the grain bill or revisit the </t>
    </r>
    <r>
      <rPr>
        <b/>
        <sz val="10"/>
        <rFont val="Arial"/>
        <family val="2"/>
      </rPr>
      <t>Water Adjustment</t>
    </r>
    <r>
      <rPr>
        <sz val="10"/>
        <rFont val="Arial"/>
        <family val="2"/>
      </rPr>
      <t xml:space="preserve"> sheet if the </t>
    </r>
    <r>
      <rPr>
        <b/>
        <sz val="10"/>
        <rFont val="Arial"/>
        <family val="2"/>
      </rPr>
      <t xml:space="preserve">Predicted Mash pH </t>
    </r>
    <r>
      <rPr>
        <sz val="10"/>
        <rFont val="Arial"/>
        <family val="2"/>
      </rPr>
      <t xml:space="preserve">does not fall within the brewer's target pH range. The </t>
    </r>
    <r>
      <rPr>
        <b/>
        <sz val="10"/>
        <rFont val="Arial"/>
        <family val="2"/>
      </rPr>
      <t>Water Adjustment</t>
    </r>
    <r>
      <rPr>
        <sz val="10"/>
        <rFont val="Arial"/>
        <family val="2"/>
      </rPr>
      <t xml:space="preserve"> sheet provides tools to adjust the mash pH.  The mash pH prediction from the </t>
    </r>
    <r>
      <rPr>
        <b/>
        <sz val="10"/>
        <rFont val="Arial"/>
        <family val="2"/>
      </rPr>
      <t>Grain Bill Input</t>
    </r>
    <r>
      <rPr>
        <sz val="10"/>
        <rFont val="Arial"/>
        <family val="2"/>
      </rPr>
      <t xml:space="preserve"> sheet is also shown on the </t>
    </r>
    <r>
      <rPr>
        <b/>
        <sz val="10"/>
        <rFont val="Arial"/>
        <family val="2"/>
      </rPr>
      <t xml:space="preserve">Water Adjustment </t>
    </r>
    <r>
      <rPr>
        <sz val="10"/>
        <rFont val="Arial"/>
        <family val="2"/>
      </rPr>
      <t xml:space="preserve">sheet so that the brewer can fine-tune the mineral and acid additions without switching to the </t>
    </r>
    <r>
      <rPr>
        <b/>
        <sz val="10"/>
        <rFont val="Arial"/>
        <family val="2"/>
      </rPr>
      <t>Grain Bill Input</t>
    </r>
    <r>
      <rPr>
        <sz val="10"/>
        <rFont val="Arial"/>
        <family val="2"/>
      </rPr>
      <t xml:space="preserve"> sheet.  Be aware that the mash pH predictions are not valid until the mash grist and water volume are properly entered on the </t>
    </r>
    <r>
      <rPr>
        <b/>
        <sz val="10"/>
        <rFont val="Arial"/>
        <family val="2"/>
      </rPr>
      <t>Grain Bill Input</t>
    </r>
    <r>
      <rPr>
        <sz val="10"/>
        <rFont val="Arial"/>
        <family val="2"/>
      </rPr>
      <t xml:space="preserve"> sheet.</t>
    </r>
  </si>
  <si>
    <t xml:space="preserve">The Mash Acidification analysis provides a better assessment of what mash pH will be produced.  This enables the brewer to better adjust their water or mashing conditions to produce the beer characteristics they prefer or require.  </t>
  </si>
  <si>
    <r>
      <t xml:space="preserve">If the Brewery has a consistent source water quality, its likely that the </t>
    </r>
    <r>
      <rPr>
        <b/>
        <sz val="10"/>
        <rFont val="Arial"/>
        <family val="2"/>
      </rPr>
      <t>Water Report Input</t>
    </r>
    <r>
      <rPr>
        <sz val="10"/>
        <rFont val="Arial"/>
        <family val="2"/>
      </rPr>
      <t xml:space="preserve"> and </t>
    </r>
    <r>
      <rPr>
        <b/>
        <sz val="10"/>
        <rFont val="Arial"/>
        <family val="2"/>
      </rPr>
      <t>Sparge Acidification</t>
    </r>
    <r>
      <rPr>
        <sz val="10"/>
        <rFont val="Arial"/>
        <family val="2"/>
      </rPr>
      <t xml:space="preserve"> sheets will not need to be updated for subsequent brews.  Only the </t>
    </r>
    <r>
      <rPr>
        <b/>
        <sz val="10"/>
        <rFont val="Arial"/>
        <family val="2"/>
      </rPr>
      <t>Water Adjustment</t>
    </r>
    <r>
      <rPr>
        <sz val="10"/>
        <rFont val="Arial"/>
        <family val="2"/>
      </rPr>
      <t xml:space="preserve"> and </t>
    </r>
    <r>
      <rPr>
        <b/>
        <sz val="10"/>
        <rFont val="Arial"/>
        <family val="2"/>
      </rPr>
      <t>Grain Bill Input</t>
    </r>
    <r>
      <rPr>
        <sz val="10"/>
        <rFont val="Arial"/>
        <family val="2"/>
      </rPr>
      <t xml:space="preserve"> sheets will have to be updated for each brew.  </t>
    </r>
  </si>
  <si>
    <r>
      <t xml:space="preserve">If the </t>
    </r>
    <r>
      <rPr>
        <b/>
        <sz val="10"/>
        <rFont val="Arial"/>
        <family val="2"/>
      </rPr>
      <t>Existing Water Profile</t>
    </r>
    <r>
      <rPr>
        <sz val="10"/>
        <rFont val="Arial"/>
        <family val="2"/>
      </rPr>
      <t xml:space="preserve"> has ion concentrations that are higher than the </t>
    </r>
    <r>
      <rPr>
        <b/>
        <sz val="10"/>
        <rFont val="Arial"/>
        <family val="2"/>
      </rPr>
      <t>Desired Water Profile</t>
    </r>
    <r>
      <rPr>
        <sz val="10"/>
        <rFont val="Arial"/>
        <family val="2"/>
      </rPr>
      <t xml:space="preserve">, then dilution with distilled water (DI) or reverse osmosis (RO) water can be used to reduce those ion concentrations.  To help identify when ion concentrations in the </t>
    </r>
    <r>
      <rPr>
        <b/>
        <sz val="10"/>
        <rFont val="Arial"/>
        <family val="2"/>
      </rPr>
      <t>Existing Water Profile</t>
    </r>
    <r>
      <rPr>
        <sz val="10"/>
        <rFont val="Arial"/>
        <family val="2"/>
      </rPr>
      <t xml:space="preserve"> are higher than the </t>
    </r>
    <r>
      <rPr>
        <b/>
        <sz val="10"/>
        <rFont val="Arial"/>
        <family val="2"/>
      </rPr>
      <t>Desired Water Profile</t>
    </r>
    <r>
      <rPr>
        <sz val="10"/>
        <rFont val="Arial"/>
        <family val="2"/>
      </rPr>
      <t xml:space="preserve">, cells within the </t>
    </r>
    <r>
      <rPr>
        <b/>
        <sz val="10"/>
        <rFont val="Arial"/>
        <family val="2"/>
      </rPr>
      <t>Target Water Adjustment</t>
    </r>
    <r>
      <rPr>
        <sz val="10"/>
        <rFont val="Arial"/>
        <family val="2"/>
      </rPr>
      <t xml:space="preserve"> line will be colored </t>
    </r>
    <r>
      <rPr>
        <b/>
        <sz val="10"/>
        <color indexed="10"/>
        <rFont val="Arial"/>
        <family val="2"/>
      </rPr>
      <t>RED</t>
    </r>
    <r>
      <rPr>
        <sz val="10"/>
        <rFont val="Arial"/>
        <family val="2"/>
      </rPr>
      <t xml:space="preserve">.  If the difference between the </t>
    </r>
    <r>
      <rPr>
        <b/>
        <sz val="10"/>
        <rFont val="Arial"/>
        <family val="2"/>
      </rPr>
      <t>Existing</t>
    </r>
    <r>
      <rPr>
        <sz val="10"/>
        <rFont val="Arial"/>
        <family val="2"/>
      </rPr>
      <t xml:space="preserve"> and </t>
    </r>
    <r>
      <rPr>
        <b/>
        <sz val="10"/>
        <rFont val="Arial"/>
        <family val="2"/>
      </rPr>
      <t>Desired</t>
    </r>
    <r>
      <rPr>
        <sz val="10"/>
        <rFont val="Arial"/>
        <family val="2"/>
      </rPr>
      <t xml:space="preserve"> ion concentrations are small, the brewer may decide to ignore the need to dilute the existing water to reduce the </t>
    </r>
    <r>
      <rPr>
        <b/>
        <sz val="10"/>
        <rFont val="Arial"/>
        <family val="2"/>
      </rPr>
      <t>Existing</t>
    </r>
    <r>
      <rPr>
        <sz val="10"/>
        <rFont val="Arial"/>
        <family val="2"/>
      </rPr>
      <t xml:space="preserve"> concentrations.  The brewer should avoid adding minerals that increase over-Target ion concentrations.  </t>
    </r>
  </si>
  <si>
    <r>
      <rPr>
        <b/>
        <sz val="10"/>
        <rFont val="Arial"/>
        <family val="2"/>
      </rPr>
      <t>Customizing Water Profiles:</t>
    </r>
    <r>
      <rPr>
        <sz val="10"/>
        <rFont val="Arial"/>
        <family val="2"/>
      </rPr>
      <t xml:space="preserve"> If the brewer desires to adjust the ion concentrations or names of the supplied water profiles, the water profile table is located at the bottom of the </t>
    </r>
    <r>
      <rPr>
        <b/>
        <sz val="10"/>
        <rFont val="Arial"/>
        <family val="2"/>
      </rPr>
      <t>Water Adjustment</t>
    </r>
    <r>
      <rPr>
        <sz val="10"/>
        <rFont val="Arial"/>
        <family val="2"/>
      </rPr>
      <t xml:space="preserve"> sheet (scroll down) and the water profiles can be adjusted by the brewer.  The </t>
    </r>
    <r>
      <rPr>
        <b/>
        <sz val="10"/>
        <rFont val="Arial"/>
        <family val="2"/>
      </rPr>
      <t>Distilled</t>
    </r>
    <r>
      <rPr>
        <sz val="10"/>
        <rFont val="Arial"/>
        <family val="2"/>
      </rPr>
      <t xml:space="preserve"> and </t>
    </r>
    <r>
      <rPr>
        <b/>
        <sz val="10"/>
        <rFont val="Arial"/>
        <family val="2"/>
      </rPr>
      <t>RO</t>
    </r>
    <r>
      <rPr>
        <sz val="10"/>
        <rFont val="Arial"/>
        <family val="2"/>
      </rPr>
      <t xml:space="preserve"> water profiles can also be renamed and their concentrations changed. Be sure to verify that the Cation and Anion totals match when adjustments to a water profile are entered.  The Cation and Anion cells in the table will turn </t>
    </r>
    <r>
      <rPr>
        <b/>
        <sz val="10"/>
        <color indexed="17"/>
        <rFont val="Arial"/>
        <family val="2"/>
      </rPr>
      <t xml:space="preserve">GREEN </t>
    </r>
    <r>
      <rPr>
        <sz val="10"/>
        <rFont val="Arial"/>
        <family val="2"/>
      </rPr>
      <t>when the ion totals are within 0.1 of each other to alert the brewer that the ion totals are appropriate.</t>
    </r>
  </si>
  <si>
    <r>
      <t>To effectively use Chalk, the Chalk has to be fully dissolved by mixing it with water in a sealed container and then pressurizing with Carbon Dioxide (CO</t>
    </r>
    <r>
      <rPr>
        <vertAlign val="subscript"/>
        <sz val="10"/>
        <rFont val="Arial"/>
        <family val="2"/>
      </rPr>
      <t>2</t>
    </r>
    <r>
      <rPr>
        <sz val="10"/>
        <rFont val="Arial"/>
        <family val="2"/>
      </rPr>
      <t>).  The CO</t>
    </r>
    <r>
      <rPr>
        <vertAlign val="subscript"/>
        <sz val="10"/>
        <rFont val="Arial"/>
        <family val="2"/>
      </rPr>
      <t>2</t>
    </r>
    <r>
      <rPr>
        <sz val="10"/>
        <rFont val="Arial"/>
        <family val="2"/>
      </rPr>
      <t xml:space="preserve"> dissolves the Chalk in the water, changing the water from cloudy to clear.   This process is not quick and requires planning and preparation.  Therefore, using Chalk to add alkalinity to mash water is not recommended unless the brewer is going to perform these measures.   </t>
    </r>
  </si>
  <si>
    <r>
      <t xml:space="preserve">Acids and Bases (Baking Soda, Chalk, and Pickling Lime) should not both be added to water since they counteract each other.  Add either an acid or a base as needed to control mash pH, not both.  If both an acid and base are entered on the </t>
    </r>
    <r>
      <rPr>
        <b/>
        <sz val="10"/>
        <rFont val="Arial"/>
        <family val="2"/>
      </rPr>
      <t xml:space="preserve">Water Adjustment </t>
    </r>
    <r>
      <rPr>
        <sz val="10"/>
        <rFont val="Arial"/>
        <family val="2"/>
      </rPr>
      <t xml:space="preserve">sheet, warnings will be displayed on the </t>
    </r>
    <r>
      <rPr>
        <b/>
        <sz val="10"/>
        <rFont val="Arial"/>
        <family val="2"/>
      </rPr>
      <t xml:space="preserve">Water Adjustment </t>
    </r>
    <r>
      <rPr>
        <sz val="10"/>
        <rFont val="Arial"/>
        <family val="2"/>
      </rPr>
      <t>sheet (</t>
    </r>
    <r>
      <rPr>
        <b/>
        <sz val="10"/>
        <color indexed="10"/>
        <rFont val="Arial"/>
        <family val="2"/>
      </rPr>
      <t>red cells</t>
    </r>
    <r>
      <rPr>
        <sz val="10"/>
        <rFont val="Arial"/>
        <family val="2"/>
      </rPr>
      <t>) to alert the brewer of this error. This warning is also displayed if acid malt is included in the grain bill and a base is added to the mashing water.</t>
    </r>
  </si>
  <si>
    <r>
      <t xml:space="preserve">All minerals and acids used for water adjustment should be identified as </t>
    </r>
    <r>
      <rPr>
        <b/>
        <sz val="10"/>
        <rFont val="Arial"/>
        <family val="2"/>
      </rPr>
      <t>Food-Grade</t>
    </r>
    <r>
      <rPr>
        <sz val="10"/>
        <rFont val="Arial"/>
        <family val="2"/>
      </rPr>
      <t xml:space="preserve"> chemicals.  This is particularly important for the acids used for water adjustment since acids can easily dissolve and contain heavy metals that are hazardous to health. </t>
    </r>
  </si>
  <si>
    <t>Homebrewers are encouraged to use a scale with an accuracy of at least 0.1 gram to measure mineral additions.  Craftbrewers can use scales with 1 gram accuracy since their batch size is typically larger.  Volume measures such as teaspoon or tablespoon can be significantly less accurate than weight measures for dry mineral additions.  Inexpensive scales with good accuracy are available and recommended.</t>
  </si>
  <si>
    <r>
      <rPr>
        <b/>
        <sz val="10"/>
        <rFont val="Arial"/>
        <family val="2"/>
      </rPr>
      <t>Sparging Water</t>
    </r>
    <r>
      <rPr>
        <sz val="10"/>
        <rFont val="Arial"/>
        <family val="2"/>
      </rPr>
      <t xml:space="preserve"> mineral additions can be added directly to the Sparging Water or can be reserved and added directly to the boil kettle.  Acid additions calculated for the Sparging Water must be added to the Sparging Water to reduce its alkalinity prior to use.  If CRS, Hydrochloric, or Sulfuric acids are used to acidify the sparging water, their chloride or sulfate ion contributions are included in the overall ionic concentrations computed by </t>
    </r>
    <r>
      <rPr>
        <b/>
        <sz val="10"/>
        <rFont val="Arial"/>
        <family val="2"/>
      </rPr>
      <t>Bru'n Water</t>
    </r>
    <r>
      <rPr>
        <sz val="10"/>
        <rFont val="Arial"/>
        <family val="2"/>
      </rPr>
      <t>.</t>
    </r>
  </si>
  <si>
    <r>
      <t xml:space="preserve">Proceed to the </t>
    </r>
    <r>
      <rPr>
        <b/>
        <sz val="10"/>
        <rFont val="Arial"/>
        <family val="2"/>
      </rPr>
      <t>Adjustment Summary</t>
    </r>
    <r>
      <rPr>
        <sz val="10"/>
        <rFont val="Arial"/>
        <family val="2"/>
      </rPr>
      <t xml:space="preserve"> sheet to review the final water adjustment results.</t>
    </r>
  </si>
  <si>
    <t>Brewers using Malt Extract for their brewing can still benefit from Water Adjustments.  This is particularly true when using either highly mineralized or alkaline water or when using RO or Distilled Water.  Best results for Extract Brewers will typically be achieved by using water with very low mineralization.  If desired for flavor purposes, small additions of either gypsum or calcium chloride can be added to the water for flavor purposes.  Its recommended that no more than 50 ppm chloride be added to low mineralized water when creating malty styles and no more than about 150 ppm sulfate be added to low mineralized water when brewing hoppy styles since the extract typically provides some mineralization to the water.</t>
  </si>
  <si>
    <r>
      <t xml:space="preserve">When using highly mineralized or alkaline water, the water can impart poor flavor to the beer.  Using highly alkaline water may increase the pH of the resulting wort and create a coarser and rougher flavored beer.  If the water has high ion concentrations, dilution with RO or Distilled Water may be appropriate.  The brewer should know what is in their tap water prior to contemplating mineral additions.  The </t>
    </r>
    <r>
      <rPr>
        <b/>
        <sz val="10"/>
        <rFont val="Arial"/>
        <family val="2"/>
      </rPr>
      <t>Dilution Calculator</t>
    </r>
    <r>
      <rPr>
        <sz val="10"/>
        <rFont val="Arial"/>
        <family val="2"/>
      </rPr>
      <t xml:space="preserve"> on the </t>
    </r>
    <r>
      <rPr>
        <b/>
        <sz val="10"/>
        <rFont val="Arial"/>
        <family val="2"/>
      </rPr>
      <t>Water Adjustment</t>
    </r>
    <r>
      <rPr>
        <sz val="10"/>
        <rFont val="Arial"/>
        <family val="2"/>
      </rPr>
      <t xml:space="preserve"> sheet can help the brewer assess how much dilution will be needed to produce a desirable water profile.  If the water has high alkalinity, the </t>
    </r>
    <r>
      <rPr>
        <b/>
        <sz val="10"/>
        <rFont val="Arial"/>
        <family val="2"/>
      </rPr>
      <t>Sparge Water Acidification Calculator</t>
    </r>
    <r>
      <rPr>
        <sz val="10"/>
        <rFont val="Arial"/>
        <family val="2"/>
      </rPr>
      <t xml:space="preserve"> can be used to reduce water alkalinity to under 50 ppm which should allow the wort and resulting beer to reach desirable pH.  The Water Profiles on the </t>
    </r>
    <r>
      <rPr>
        <b/>
        <sz val="10"/>
        <rFont val="Arial"/>
        <family val="2"/>
      </rPr>
      <t>Water Adjustment</t>
    </r>
    <r>
      <rPr>
        <sz val="10"/>
        <rFont val="Arial"/>
        <family val="2"/>
      </rPr>
      <t xml:space="preserve"> sheet are appropriate goals for Extract Brewers.</t>
    </r>
  </si>
  <si>
    <r>
      <t xml:space="preserve">When brewing with RO or Distilled Water and Malt Extracts, the extract should provide most of the minerals needed for proper fermentation performance.  Although the ion content in the Malt Extract is typically low to moderate, some extract products may have high content.  Be aware that Briess malt extracts have high sodium content (about 100 ppm Na in a wort reconstituted to 1.045 gravity, 200 ppm @ 1.089).  If the brewer desires a specific flavor profile, additional sodium-, sulfate- or chloride-containing minerals can be added to the brewing water.  The </t>
    </r>
    <r>
      <rPr>
        <b/>
        <sz val="10"/>
        <rFont val="Arial"/>
        <family val="2"/>
      </rPr>
      <t>Water Adjustment</t>
    </r>
    <r>
      <rPr>
        <sz val="10"/>
        <rFont val="Arial"/>
        <family val="2"/>
      </rPr>
      <t xml:space="preserve"> sheet can help the brewer assess how much of these minerals should be added to the brewing water.   </t>
    </r>
  </si>
  <si>
    <r>
      <t xml:space="preserve">Recommended ranges for the various ions are shown on the sheet to provide the brewer with a quick check of their proposed brewing water profile.  The brewer's identifier or batch name is shown at the top of the sheet.  The </t>
    </r>
    <r>
      <rPr>
        <b/>
        <sz val="10"/>
        <rFont val="Arial"/>
        <family val="2"/>
      </rPr>
      <t>Water Profile</t>
    </r>
    <r>
      <rPr>
        <sz val="10"/>
        <rFont val="Arial"/>
        <family val="2"/>
      </rPr>
      <t xml:space="preserve"> name selected on the </t>
    </r>
    <r>
      <rPr>
        <b/>
        <sz val="10"/>
        <rFont val="Arial"/>
        <family val="2"/>
      </rPr>
      <t>Water Adjustment</t>
    </r>
    <r>
      <rPr>
        <sz val="10"/>
        <rFont val="Arial"/>
        <family val="2"/>
      </rPr>
      <t xml:space="preserve"> sheet is shown on the summary sheet for reference.  All of the information shown on the </t>
    </r>
    <r>
      <rPr>
        <b/>
        <sz val="10"/>
        <rFont val="Arial"/>
        <family val="2"/>
      </rPr>
      <t>Adjustment Summary</t>
    </r>
    <r>
      <rPr>
        <sz val="10"/>
        <rFont val="Arial"/>
        <family val="2"/>
      </rPr>
      <t xml:space="preserve"> is input or calculated on the other sheets within </t>
    </r>
    <r>
      <rPr>
        <b/>
        <sz val="10"/>
        <rFont val="Arial"/>
        <family val="2"/>
      </rPr>
      <t>Bru'n Water</t>
    </r>
    <r>
      <rPr>
        <sz val="10"/>
        <rFont val="Arial"/>
        <family val="2"/>
      </rPr>
      <t xml:space="preserve">.  No inputs are performed on the </t>
    </r>
    <r>
      <rPr>
        <b/>
        <sz val="10"/>
        <rFont val="Arial"/>
        <family val="2"/>
      </rPr>
      <t>Adjustment Summary</t>
    </r>
    <r>
      <rPr>
        <sz val="10"/>
        <rFont val="Arial"/>
        <family val="2"/>
      </rPr>
      <t xml:space="preserve"> sheet.  Be sure that water volumes are properly entered on the </t>
    </r>
    <r>
      <rPr>
        <b/>
        <sz val="10"/>
        <rFont val="Arial"/>
        <family val="2"/>
      </rPr>
      <t>Sparge Acidification</t>
    </r>
    <r>
      <rPr>
        <sz val="10"/>
        <rFont val="Arial"/>
        <family val="2"/>
      </rPr>
      <t xml:space="preserve"> and </t>
    </r>
    <r>
      <rPr>
        <b/>
        <sz val="10"/>
        <rFont val="Arial"/>
        <family val="2"/>
      </rPr>
      <t>Water Adjustment</t>
    </r>
    <r>
      <rPr>
        <sz val="10"/>
        <rFont val="Arial"/>
        <family val="2"/>
      </rPr>
      <t xml:space="preserve"> sheets.  The water volume input on the </t>
    </r>
    <r>
      <rPr>
        <b/>
        <sz val="10"/>
        <rFont val="Arial"/>
        <family val="2"/>
      </rPr>
      <t>Sparge Acidification</t>
    </r>
    <r>
      <rPr>
        <sz val="10"/>
        <rFont val="Arial"/>
        <family val="2"/>
      </rPr>
      <t xml:space="preserve"> sheet can be entered as either the unit (1) volume or the total sparge volume.  The water volumes input on the </t>
    </r>
    <r>
      <rPr>
        <b/>
        <sz val="10"/>
        <rFont val="Arial"/>
        <family val="2"/>
      </rPr>
      <t>Water Adjustment</t>
    </r>
    <r>
      <rPr>
        <sz val="10"/>
        <rFont val="Arial"/>
        <family val="2"/>
      </rPr>
      <t xml:space="preserve"> sheet should reflect the total volumes of water to be used for mashing and for sparging. </t>
    </r>
  </si>
  <si>
    <t>Percent Dilution Water</t>
  </si>
  <si>
    <r>
      <t xml:space="preserve">Brewers should use caution in the use of historical water profiles.  Although the water profiles are accurate, that does not mean that the brewers in those locations used that water without modification.  For example, brewers performed operations such as Decarbonation by Boiling to reduce hardness and alkalinity and used acid rests and saurermalt (acid malt) or saurergut (soured wort) to reduce high alkalinity.  Profiles with high bicarbonate concentrations are likely to have been treated by those means prior to mashing when light-colored beers were brewed.  </t>
    </r>
    <r>
      <rPr>
        <b/>
        <sz val="10"/>
        <rFont val="Arial"/>
        <family val="2"/>
      </rPr>
      <t xml:space="preserve">Brewers should approach these profiles with a focus on the mash pH they produce with their proposed grain bill and be ready to adjust the mashing water alkalinity if the water does not produce a desirable mash pH. </t>
    </r>
  </si>
  <si>
    <t>-</t>
  </si>
  <si>
    <r>
      <t xml:space="preserve">Most mineral additions should be added to both the mash water and sparge water.  DO NOT add alkalinity producing minerals such as chalk, baking soda, or pickling lime to sparge water since that counteracts the desired sparge water acidification.  Either reserve those minerals from the sparge water and add directly to the kettle, or delete them and substitute other calcium or sodium containing minerals to make up for their contributions.  Do not use the acid amount calculated for Mash Adjustment from this sheet for the Sparge Water adjustment.  Use the acid amount calculated on the Sparge Acidification sheet for Sparge Water.  </t>
    </r>
    <r>
      <rPr>
        <b/>
        <sz val="8"/>
        <rFont val="Arial"/>
        <family val="2"/>
      </rPr>
      <t>For best result, add acids prior to heating the water since heating can drive off a portion of the alkalinity that the acid addition was calculated to remove.</t>
    </r>
  </si>
  <si>
    <r>
      <t xml:space="preserve">The brewer should typically start with a water profile that agrees with their intended beer color.  If brewing a lighter colored beer and the brewer wants to use a historic water profile, select the "boiled" version of the historic profile to avoid excessive alkalinity.  Water profiles should be considered approximate.  Variation of the water profile to meet the brewer's taste is acceptable and recommended.   It may be necessary to revise the selected mineral profile if the proposed grain bill and water profile do not produce a desirable mash pH.  </t>
    </r>
    <r>
      <rPr>
        <b/>
        <sz val="10"/>
        <rFont val="Arial"/>
        <family val="2"/>
      </rPr>
      <t>WHEN THE MASH pH DOES NOT FALL WITHIN A DESIRABLE RANGE, ADJUST THE PROFILE'S ALKALINITY AWAY FROM THE TARGET VALUE</t>
    </r>
    <r>
      <rPr>
        <sz val="10"/>
        <rFont val="Arial"/>
        <family val="2"/>
      </rPr>
      <t xml:space="preserve">. In most cases, it is also acceptable to let the calcium content vary from the profile's target value. The only recommendation for calcium content is to have </t>
    </r>
    <r>
      <rPr>
        <b/>
        <sz val="10"/>
        <rFont val="Arial"/>
        <family val="2"/>
      </rPr>
      <t>at least 40 ppm in the mash</t>
    </r>
    <r>
      <rPr>
        <sz val="10"/>
        <rFont val="Arial"/>
        <family val="2"/>
      </rPr>
      <t xml:space="preserve"> to precipitate oxalate. Since the water profiles do not consider what the actual grist used was or what the brewers in that historic brewing location had to do to use their water (acid rest, boiling, etc.), the brewer should rely more on the pH result rather than the ionic content recommended by the water profile.   An appropriate mash pH result is the brewer's primary goal.</t>
    </r>
  </si>
  <si>
    <r>
      <rPr>
        <b/>
        <sz val="10"/>
        <rFont val="Arial"/>
        <family val="2"/>
      </rPr>
      <t xml:space="preserve">Dilution: </t>
    </r>
    <r>
      <rPr>
        <sz val="10"/>
        <rFont val="Arial"/>
        <family val="2"/>
      </rPr>
      <t xml:space="preserve">If dilution is desired, select the type of dilution water from the drop-down box and dial up the percentage of dilution water added to the existing water until the </t>
    </r>
    <r>
      <rPr>
        <b/>
        <sz val="10"/>
        <color indexed="10"/>
        <rFont val="Arial"/>
        <family val="2"/>
      </rPr>
      <t>RED</t>
    </r>
    <r>
      <rPr>
        <b/>
        <sz val="10"/>
        <rFont val="Arial"/>
        <family val="2"/>
      </rPr>
      <t xml:space="preserve"> </t>
    </r>
    <r>
      <rPr>
        <sz val="10"/>
        <rFont val="Arial"/>
        <family val="2"/>
      </rPr>
      <t xml:space="preserve">cells in the </t>
    </r>
    <r>
      <rPr>
        <b/>
        <sz val="10"/>
        <rFont val="Arial"/>
        <family val="2"/>
      </rPr>
      <t>Target Water Adjustment</t>
    </r>
    <r>
      <rPr>
        <sz val="10"/>
        <rFont val="Arial"/>
        <family val="2"/>
      </rPr>
      <t xml:space="preserve"> line return to </t>
    </r>
    <r>
      <rPr>
        <b/>
        <sz val="10"/>
        <color indexed="51"/>
        <rFont val="Arial"/>
        <family val="2"/>
      </rPr>
      <t>YELLOW</t>
    </r>
    <r>
      <rPr>
        <sz val="10"/>
        <rFont val="Arial"/>
        <family val="2"/>
      </rPr>
      <t xml:space="preserve"> color.  Dilution water must have low ionic content in order to be effective. Water such Distilled and RO water are potential resources. Distilled water is typically available in bottles or jugs and it typically contains virtually no ionic content.  RO is produced by specialized apparatus that is available in residential and industrial sizes. Commercial water vending machines such as those in grocery stores typically provide RO water.  RO water does contain low concentrations of ions.  A typical RO water profile is included in </t>
    </r>
    <r>
      <rPr>
        <b/>
        <sz val="10"/>
        <rFont val="Arial"/>
        <family val="2"/>
      </rPr>
      <t>Bru'n Water</t>
    </r>
    <r>
      <rPr>
        <sz val="10"/>
        <rFont val="Arial"/>
        <family val="2"/>
      </rPr>
      <t xml:space="preserve">.  That RO profile can be adjusted to reflect the brewer's RO water quality at the bottom of the water profile table.   </t>
    </r>
  </si>
  <si>
    <r>
      <rPr>
        <b/>
        <sz val="10"/>
        <rFont val="Arial"/>
        <family val="2"/>
      </rPr>
      <t>Entering or Revising Water Profiles</t>
    </r>
    <r>
      <rPr>
        <sz val="10"/>
        <rFont val="Arial"/>
        <family val="2"/>
      </rPr>
      <t xml:space="preserve">: Any of the water profiles included in </t>
    </r>
    <r>
      <rPr>
        <b/>
        <sz val="10"/>
        <rFont val="Arial"/>
        <family val="2"/>
      </rPr>
      <t>Bru'n Water</t>
    </r>
    <r>
      <rPr>
        <sz val="10"/>
        <rFont val="Arial"/>
        <family val="2"/>
      </rPr>
      <t xml:space="preserve"> can be altered to fit the brewer's taste. Go to the table at the bottom of the Water Adjustment sheet and revise the existing data and names, as desired. The profiles for Distilled and RO water can also be adjusted as desired.</t>
    </r>
  </si>
  <si>
    <r>
      <rPr>
        <b/>
        <sz val="10"/>
        <rFont val="Arial"/>
        <family val="2"/>
      </rPr>
      <t>Water Volumes</t>
    </r>
    <r>
      <rPr>
        <sz val="10"/>
        <rFont val="Arial"/>
        <family val="2"/>
      </rPr>
      <t xml:space="preserve">: Enter the water volumes to be used in the brewing and production in the </t>
    </r>
    <r>
      <rPr>
        <b/>
        <sz val="10"/>
        <color indexed="62"/>
        <rFont val="Arial"/>
        <family val="2"/>
      </rPr>
      <t>BLUE</t>
    </r>
    <r>
      <rPr>
        <sz val="10"/>
        <rFont val="Arial"/>
        <family val="2"/>
      </rPr>
      <t xml:space="preserve"> cells at the top of the </t>
    </r>
    <r>
      <rPr>
        <b/>
        <sz val="10"/>
        <rFont val="Arial"/>
        <family val="2"/>
      </rPr>
      <t>Water Additions</t>
    </r>
    <r>
      <rPr>
        <sz val="10"/>
        <rFont val="Arial"/>
        <family val="2"/>
      </rPr>
      <t xml:space="preserve"> area.  Enter the total volume of water that will be added to the mash tun as the </t>
    </r>
    <r>
      <rPr>
        <b/>
        <sz val="10"/>
        <rFont val="Arial"/>
        <family val="2"/>
      </rPr>
      <t>Mash Water Volume</t>
    </r>
    <r>
      <rPr>
        <sz val="10"/>
        <rFont val="Arial"/>
        <family val="2"/>
      </rPr>
      <t xml:space="preserve">.  Enter the total volume of water that will be added for mash out and sparging as the </t>
    </r>
    <r>
      <rPr>
        <b/>
        <sz val="10"/>
        <rFont val="Arial"/>
        <family val="2"/>
      </rPr>
      <t>Sparge Water Volume</t>
    </r>
    <r>
      <rPr>
        <sz val="10"/>
        <rFont val="Arial"/>
        <family val="2"/>
      </rPr>
      <t xml:space="preserve">.  Enter the total finished volume of the batch as the </t>
    </r>
    <r>
      <rPr>
        <b/>
        <sz val="10"/>
        <rFont val="Arial"/>
        <family val="2"/>
      </rPr>
      <t>Total Batch Volume</t>
    </r>
    <r>
      <rPr>
        <sz val="10"/>
        <rFont val="Arial"/>
        <family val="2"/>
      </rPr>
      <t xml:space="preserve">.  The </t>
    </r>
    <r>
      <rPr>
        <b/>
        <sz val="10"/>
        <rFont val="Arial"/>
        <family val="2"/>
      </rPr>
      <t>Total Batch Volume</t>
    </r>
    <r>
      <rPr>
        <sz val="10"/>
        <rFont val="Arial"/>
        <family val="2"/>
      </rPr>
      <t xml:space="preserve"> is only used to estimate the beer color (SRM) on the </t>
    </r>
    <r>
      <rPr>
        <b/>
        <sz val="10"/>
        <rFont val="Arial"/>
        <family val="2"/>
      </rPr>
      <t xml:space="preserve">Grain Bill Input </t>
    </r>
    <r>
      <rPr>
        <sz val="10"/>
        <rFont val="Arial"/>
        <family val="2"/>
      </rPr>
      <t xml:space="preserve">sheet.  Note that the </t>
    </r>
    <r>
      <rPr>
        <b/>
        <sz val="10"/>
        <rFont val="Arial"/>
        <family val="2"/>
      </rPr>
      <t>Total Batch Volume</t>
    </r>
    <r>
      <rPr>
        <sz val="10"/>
        <rFont val="Arial"/>
        <family val="2"/>
      </rPr>
      <t xml:space="preserve"> will be less than the mash plus sparge volume due to grain adsorption, evaporation, etc.  </t>
    </r>
  </si>
  <si>
    <r>
      <rPr>
        <b/>
        <sz val="10"/>
        <rFont val="Arial"/>
        <family val="2"/>
      </rPr>
      <t xml:space="preserve">Warning: </t>
    </r>
    <r>
      <rPr>
        <sz val="10"/>
        <rFont val="Arial"/>
        <family val="2"/>
      </rPr>
      <t xml:space="preserve">Pickling Lime is a strong caustic and can cause burns.  Pickling Lime is typically available as a fine powder and can easily be blown onto skin, eyes, nose, and mouth.  Use great care when using Pickling Lime and measure carefully.  ADD PICKLING LIME ONLY TO THE MASH.  AVOID ADDING LIME TO ONLY THE WATER OR THE WATER pH MAY INCREASE EXCESSIVELY AND MAY PRECIPITATE CALCIUM CARBONATE.   Most alkalinity adjustment requires very small Pickling Lime additions.  If the brewer does not have a scale that can measure down to 0.1 gram accuracy, creating a Lime Water solution may be an acceptable alternative.  For instance, a solution can be created by adding 1 gram of Pickling Lime to 1 liter of water.  Add tenths of the liter of solution to the mash corresponding to the tenths of a gram of Pickling Lime indicated on the </t>
    </r>
    <r>
      <rPr>
        <b/>
        <sz val="10"/>
        <rFont val="Arial"/>
        <family val="2"/>
      </rPr>
      <t xml:space="preserve">Water Adjustment </t>
    </r>
    <r>
      <rPr>
        <sz val="10"/>
        <rFont val="Arial"/>
        <family val="2"/>
      </rPr>
      <t>sheet.  Craftbrewer batch sizes are typically large enough to reduce the need to dose lime at tenth of a gram accuracy.</t>
    </r>
  </si>
  <si>
    <t>Yellow Full</t>
  </si>
  <si>
    <t>Yellow Dry</t>
  </si>
  <si>
    <t>Amber Full</t>
  </si>
  <si>
    <t>Brown Full</t>
  </si>
  <si>
    <t>Black Full</t>
  </si>
  <si>
    <t>Amber Dry</t>
  </si>
  <si>
    <t>Brown Dry</t>
  </si>
  <si>
    <t>Black Dry</t>
  </si>
  <si>
    <t>&lt; Select</t>
  </si>
  <si>
    <t xml:space="preserve">Here are a few program setup recommendations to aid your use of Bru'n Water. </t>
  </si>
  <si>
    <r>
      <t xml:space="preserve">An accurate scale should be used for measuring solid acid additions and an accurate volume measure such as a graduated cylinder, pipette, or graduated dropper should be used for liquid additions.  Care and proper protective gear must be used when working with acid since it can cause serious physical harm.  Measure carefully and use instruments such as graduated pipettes or droppers to transfer acid.  If the brewer has a calibrated pH meter or test strips available, add about 3/4 of the calculated acid amount and mix the water thoroughly prior to checking the pH.  Add the remainder of the acid incrementally while checking the water pH to make sure the pH isn't overshot.  Once the performance of the Existing Water and the acid are confirmed to hit the Target pH, acid additions for future brewing sessions can typically be added all at once. </t>
    </r>
    <r>
      <rPr>
        <b/>
        <sz val="10"/>
        <rFont val="Arial"/>
        <family val="2"/>
      </rPr>
      <t xml:space="preserve"> Use caution when using pH strips since there is evidence that the typical strips used by homebrewers measure about 0.2 to 0.3 units LOWER than actually present in the mash.  pH measurement with a calibrated meter is recommended.  If using pH strips, a pH reading that is about 0.2 units BELOW your targeted pH should be considered good.  Plastic (ColorpHast brand) pH strips are preferred since paper pH strips are known to be unsuitable for brewery use. Measurements from a properly calibrated pH meter will always be more accurate than strips. </t>
    </r>
  </si>
  <si>
    <r>
      <t xml:space="preserve">The </t>
    </r>
    <r>
      <rPr>
        <b/>
        <sz val="10"/>
        <rFont val="Arial"/>
        <family val="2"/>
      </rPr>
      <t xml:space="preserve">Adjustment Summary </t>
    </r>
    <r>
      <rPr>
        <sz val="10"/>
        <rFont val="Arial"/>
        <family val="2"/>
      </rPr>
      <t xml:space="preserve">sheet provides the brewer with a concise report of the </t>
    </r>
    <r>
      <rPr>
        <b/>
        <sz val="10"/>
        <rFont val="Arial"/>
        <family val="2"/>
      </rPr>
      <t>Existing, Mashing,</t>
    </r>
    <r>
      <rPr>
        <sz val="10"/>
        <rFont val="Arial"/>
        <family val="2"/>
      </rPr>
      <t xml:space="preserve"> and </t>
    </r>
    <r>
      <rPr>
        <b/>
        <sz val="10"/>
        <rFont val="Arial"/>
        <family val="2"/>
      </rPr>
      <t>Finished Water</t>
    </r>
    <r>
      <rPr>
        <sz val="10"/>
        <rFont val="Arial"/>
        <family val="2"/>
      </rPr>
      <t xml:space="preserve"> characteristics and the Mineral and Acid adjustments recommended to produce the </t>
    </r>
    <r>
      <rPr>
        <b/>
        <sz val="10"/>
        <rFont val="Arial"/>
        <family val="2"/>
      </rPr>
      <t xml:space="preserve">Finished Water. </t>
    </r>
    <r>
      <rPr>
        <sz val="10"/>
        <rFont val="Arial"/>
        <family val="2"/>
      </rPr>
      <t xml:space="preserve"> It is intended to provide a single sheet that can be used as a quick reference during brewing.</t>
    </r>
  </si>
  <si>
    <t xml:space="preserve">            The Author thanks A.J. DeLange for producing and publishing outstanding resources on mash chemistry and acidification and serving as a continuing resource to the brewing community.  The Author also thanks Kai Troester for the grain acidity information used in this program and his service to the brewing community.  Thanks to James Marsh for pointing out programming enhancements for the program.</t>
  </si>
  <si>
    <t>Suggested mash pH range for darker colored beers is 5.4 to 5.6</t>
  </si>
  <si>
    <r>
      <t xml:space="preserve">The color of the cells in the Grain Color column change to help signal the brewer what grain type is selected and if a color rating greater than 478 EBC (180 Lovibond) is used for a non-roasted grain or if a low color rating is used for a roasted grain.  When using Excel to run Bru'n Water, the cells are </t>
    </r>
    <r>
      <rPr>
        <b/>
        <sz val="10"/>
        <color indexed="40"/>
        <rFont val="Arial"/>
        <family val="2"/>
      </rPr>
      <t>BLUE</t>
    </r>
    <r>
      <rPr>
        <sz val="10"/>
        <rFont val="Arial"/>
        <family val="2"/>
      </rPr>
      <t xml:space="preserve"> for Base Grains, </t>
    </r>
    <r>
      <rPr>
        <b/>
        <sz val="10"/>
        <color indexed="47"/>
        <rFont val="Arial"/>
        <family val="2"/>
      </rPr>
      <t>LIGHT TAN</t>
    </r>
    <r>
      <rPr>
        <sz val="10"/>
        <color indexed="47"/>
        <rFont val="Arial"/>
        <family val="2"/>
      </rPr>
      <t xml:space="preserve"> </t>
    </r>
    <r>
      <rPr>
        <sz val="10"/>
        <rFont val="Arial"/>
        <family val="2"/>
      </rPr>
      <t>for Crystal Malts,</t>
    </r>
    <r>
      <rPr>
        <b/>
        <sz val="10"/>
        <color indexed="52"/>
        <rFont val="Arial"/>
        <family val="2"/>
      </rPr>
      <t xml:space="preserve"> DARK TAN</t>
    </r>
    <r>
      <rPr>
        <sz val="10"/>
        <rFont val="Arial"/>
        <family val="2"/>
      </rPr>
      <t xml:space="preserve"> for Roast Malts, and </t>
    </r>
    <r>
      <rPr>
        <sz val="10"/>
        <color indexed="17"/>
        <rFont val="Arial"/>
        <family val="2"/>
      </rPr>
      <t>GREEN</t>
    </r>
    <r>
      <rPr>
        <sz val="10"/>
        <rFont val="Arial"/>
        <family val="2"/>
      </rPr>
      <t xml:space="preserve"> for Acid Malt.  The cells turn </t>
    </r>
    <r>
      <rPr>
        <b/>
        <sz val="10"/>
        <color indexed="10"/>
        <rFont val="Arial"/>
        <family val="2"/>
      </rPr>
      <t>RED</t>
    </r>
    <r>
      <rPr>
        <sz val="10"/>
        <rFont val="Arial"/>
        <family val="2"/>
      </rPr>
      <t xml:space="preserve"> when the color rating and roast malt settings do not agree with each other. </t>
    </r>
  </si>
  <si>
    <r>
      <t xml:space="preserve">The results of the analyses are summarized as the </t>
    </r>
    <r>
      <rPr>
        <b/>
        <sz val="10"/>
        <rFont val="Arial"/>
        <family val="2"/>
      </rPr>
      <t xml:space="preserve">Mash pH. </t>
    </r>
    <r>
      <rPr>
        <sz val="10"/>
        <rFont val="Arial"/>
        <family val="2"/>
      </rPr>
      <t xml:space="preserve">If the mash pH falls well outside the preferred range,  </t>
    </r>
    <r>
      <rPr>
        <b/>
        <sz val="10"/>
        <rFont val="Arial"/>
        <family val="2"/>
      </rPr>
      <t xml:space="preserve">BE SURE THAT ALL THE CORRECT GRAIN TYPE SELECTIONS ARE MADE FOR EACH GRAIN LISTING.  IT MAKES A BIG DIFFERENCE IN THE RESULTS!  </t>
    </r>
    <r>
      <rPr>
        <sz val="10"/>
        <rFont val="Arial"/>
        <family val="2"/>
      </rPr>
      <t xml:space="preserve">When using Excel to run Bru'n Water, the </t>
    </r>
    <r>
      <rPr>
        <b/>
        <sz val="10"/>
        <rFont val="Arial"/>
        <family val="2"/>
      </rPr>
      <t>Estimated Mash pH</t>
    </r>
    <r>
      <rPr>
        <sz val="10"/>
        <rFont val="Arial"/>
        <family val="2"/>
      </rPr>
      <t xml:space="preserve"> cell color changes from </t>
    </r>
    <r>
      <rPr>
        <b/>
        <sz val="10"/>
        <color indexed="10"/>
        <rFont val="Arial"/>
        <family val="2"/>
      </rPr>
      <t>RED</t>
    </r>
    <r>
      <rPr>
        <sz val="10"/>
        <rFont val="Arial"/>
        <family val="2"/>
      </rPr>
      <t xml:space="preserve"> to </t>
    </r>
    <r>
      <rPr>
        <b/>
        <sz val="10"/>
        <color indexed="51"/>
        <rFont val="Arial"/>
        <family val="2"/>
      </rPr>
      <t>ORANGE</t>
    </r>
    <r>
      <rPr>
        <sz val="10"/>
        <rFont val="Arial"/>
        <family val="2"/>
      </rPr>
      <t xml:space="preserve"> to </t>
    </r>
    <r>
      <rPr>
        <b/>
        <sz val="10"/>
        <color indexed="17"/>
        <rFont val="Arial"/>
        <family val="2"/>
      </rPr>
      <t>GREEN</t>
    </r>
    <r>
      <rPr>
        <sz val="10"/>
        <rFont val="Arial"/>
        <family val="2"/>
      </rPr>
      <t xml:space="preserve"> to indicate to the brewer the deviation in the result from the suggested range. </t>
    </r>
  </si>
  <si>
    <r>
      <rPr>
        <b/>
        <sz val="10"/>
        <rFont val="Arial"/>
        <family val="2"/>
      </rPr>
      <t>Estimated Mash pH</t>
    </r>
    <r>
      <rPr>
        <sz val="10"/>
        <rFont val="Arial"/>
        <family val="2"/>
      </rPr>
      <t xml:space="preserve"> is provided on both the </t>
    </r>
    <r>
      <rPr>
        <b/>
        <sz val="10"/>
        <rFont val="Arial"/>
        <family val="2"/>
      </rPr>
      <t xml:space="preserve">Water Adjustment </t>
    </r>
    <r>
      <rPr>
        <sz val="10"/>
        <rFont val="Arial"/>
        <family val="2"/>
      </rPr>
      <t xml:space="preserve">and </t>
    </r>
    <r>
      <rPr>
        <b/>
        <sz val="10"/>
        <rFont val="Arial"/>
        <family val="2"/>
      </rPr>
      <t>Grain Bill Input</t>
    </r>
    <r>
      <rPr>
        <sz val="10"/>
        <rFont val="Arial"/>
        <family val="2"/>
      </rPr>
      <t xml:space="preserve"> sheets to allow the brewer to quickly assess the effect of the water adjustments on the mash.  The estimated pH value is identical on both sheets. This pH estimate is not valid until the grain additions are properly entered on the </t>
    </r>
    <r>
      <rPr>
        <b/>
        <sz val="10"/>
        <rFont val="Arial"/>
        <family val="2"/>
      </rPr>
      <t>Grain Bill Input</t>
    </r>
    <r>
      <rPr>
        <sz val="10"/>
        <rFont val="Arial"/>
        <family val="2"/>
      </rPr>
      <t xml:space="preserve"> sheet.  When using Excel to run Bru'n Water, the color of the pH estimate cell changes color from </t>
    </r>
    <r>
      <rPr>
        <b/>
        <sz val="10"/>
        <color indexed="10"/>
        <rFont val="Arial"/>
        <family val="2"/>
      </rPr>
      <t>RED</t>
    </r>
    <r>
      <rPr>
        <sz val="10"/>
        <rFont val="Arial"/>
        <family val="2"/>
      </rPr>
      <t xml:space="preserve"> to </t>
    </r>
    <r>
      <rPr>
        <b/>
        <sz val="10"/>
        <color indexed="51"/>
        <rFont val="Arial"/>
        <family val="2"/>
      </rPr>
      <t>ORANGE</t>
    </r>
    <r>
      <rPr>
        <sz val="10"/>
        <rFont val="Arial"/>
        <family val="2"/>
      </rPr>
      <t xml:space="preserve"> to </t>
    </r>
    <r>
      <rPr>
        <b/>
        <sz val="10"/>
        <color indexed="17"/>
        <rFont val="Arial"/>
        <family val="2"/>
      </rPr>
      <t>GREEN</t>
    </r>
    <r>
      <rPr>
        <sz val="10"/>
        <rFont val="Arial"/>
        <family val="2"/>
      </rPr>
      <t xml:space="preserve"> to help alert the brewer if their pH result is in range.  </t>
    </r>
  </si>
  <si>
    <r>
      <t xml:space="preserve">The sheet includes information on the total mineral and acid quantities needed for both the mashing and sparging water.  The estimated mash pH is also shown.  The mash pH cell changes color to signal how the estimated pH compares to the optimum range (5.3 to 5.5).  When using Excel to run Bru'n Water, the cell is </t>
    </r>
    <r>
      <rPr>
        <b/>
        <sz val="10"/>
        <color indexed="17"/>
        <rFont val="Arial"/>
        <family val="2"/>
      </rPr>
      <t>GREEN</t>
    </r>
    <r>
      <rPr>
        <sz val="10"/>
        <rFont val="Arial"/>
        <family val="2"/>
      </rPr>
      <t xml:space="preserve"> when the estimated pH is within that range and </t>
    </r>
    <r>
      <rPr>
        <b/>
        <sz val="10"/>
        <color indexed="51"/>
        <rFont val="Arial"/>
        <family val="2"/>
      </rPr>
      <t>ORANGE</t>
    </r>
    <r>
      <rPr>
        <sz val="10"/>
        <rFont val="Arial"/>
        <family val="2"/>
      </rPr>
      <t xml:space="preserve"> when just outside that range.  The cell turns </t>
    </r>
    <r>
      <rPr>
        <b/>
        <sz val="10"/>
        <color indexed="10"/>
        <rFont val="Arial"/>
        <family val="2"/>
      </rPr>
      <t>RED</t>
    </r>
    <r>
      <rPr>
        <sz val="10"/>
        <rFont val="Arial"/>
        <family val="2"/>
      </rPr>
      <t xml:space="preserve"> when the estimated pH falls outside the recommended range of 5.2 to 5.8.   </t>
    </r>
  </si>
  <si>
    <t>Dublin water source used by Guinness</t>
  </si>
  <si>
    <t>Hover cursor over cells w/ red corner marks to display information</t>
  </si>
  <si>
    <t>Link to Bru'n Water website for updates and to donate</t>
  </si>
  <si>
    <r>
      <t xml:space="preserve">Enter data into </t>
    </r>
    <r>
      <rPr>
        <b/>
        <sz val="10"/>
        <color indexed="15"/>
        <rFont val="Arial"/>
        <family val="2"/>
      </rPr>
      <t>Light Blue</t>
    </r>
    <r>
      <rPr>
        <b/>
        <sz val="10"/>
        <rFont val="Arial"/>
        <family val="2"/>
      </rPr>
      <t xml:space="preserve"> cells, </t>
    </r>
    <r>
      <rPr>
        <b/>
        <sz val="10"/>
        <color indexed="13"/>
        <rFont val="Arial"/>
        <family val="2"/>
      </rPr>
      <t>Yellow</t>
    </r>
    <r>
      <rPr>
        <b/>
        <sz val="10"/>
        <rFont val="Arial"/>
        <family val="2"/>
      </rPr>
      <t xml:space="preserve"> cells display calculated results, </t>
    </r>
    <r>
      <rPr>
        <b/>
        <sz val="10"/>
        <color indexed="29"/>
        <rFont val="Arial"/>
        <family val="2"/>
      </rPr>
      <t>Pink</t>
    </r>
    <r>
      <rPr>
        <b/>
        <sz val="10"/>
        <rFont val="Arial"/>
        <family val="2"/>
      </rPr>
      <t xml:space="preserve"> cells contain selection boxes</t>
    </r>
  </si>
  <si>
    <t>Hover cursor over cells w/ red corner marks to display helpful information</t>
  </si>
  <si>
    <t xml:space="preserve"> Hover cursor over cells w/ red corner marks to display helpful information</t>
  </si>
  <si>
    <t>Calculated Alkalinity</t>
  </si>
  <si>
    <r>
      <t xml:space="preserve">&lt;-- This value is automatically entered on the </t>
    </r>
    <r>
      <rPr>
        <b/>
        <sz val="10"/>
        <rFont val="Arial"/>
        <family val="2"/>
      </rPr>
      <t>Sparge Acidification</t>
    </r>
    <r>
      <rPr>
        <sz val="10"/>
        <rFont val="Arial"/>
        <family val="2"/>
      </rPr>
      <t xml:space="preserve"> sheet</t>
    </r>
  </si>
  <si>
    <t>Alkalinity Conversion Calculator</t>
  </si>
  <si>
    <r>
      <t xml:space="preserve">If water report provides only </t>
    </r>
    <r>
      <rPr>
        <b/>
        <sz val="10"/>
        <rFont val="Arial"/>
        <family val="2"/>
      </rPr>
      <t>Total Alkalinity</t>
    </r>
    <r>
      <rPr>
        <sz val="10"/>
        <rFont val="Arial"/>
        <family val="2"/>
      </rPr>
      <t xml:space="preserve"> or </t>
    </r>
    <r>
      <rPr>
        <b/>
        <sz val="10"/>
        <rFont val="Arial"/>
        <family val="2"/>
      </rPr>
      <t>Temporary Hardnes</t>
    </r>
    <r>
      <rPr>
        <sz val="10"/>
        <rFont val="Arial"/>
        <family val="2"/>
      </rPr>
      <t>s (as CaCO</t>
    </r>
    <r>
      <rPr>
        <vertAlign val="subscript"/>
        <sz val="10"/>
        <rFont val="Arial"/>
        <family val="2"/>
      </rPr>
      <t>3</t>
    </r>
    <r>
      <rPr>
        <sz val="10"/>
        <rFont val="Arial"/>
        <family val="2"/>
      </rPr>
      <t>), use this calculator to estimate the Bicarbonate and Carbonate concentrations.  Insert the estimated Bicarbonate and Carbonate results in the Water Report table above.</t>
    </r>
  </si>
  <si>
    <t>Acid Type =</t>
  </si>
  <si>
    <t>Use the calculators below, only if your water report does not balance and you need to convert some values.</t>
  </si>
  <si>
    <t>Acid Strength =</t>
  </si>
  <si>
    <r>
      <t>Optional Inputs</t>
    </r>
    <r>
      <rPr>
        <sz val="10"/>
        <rFont val="Arial"/>
        <family val="2"/>
      </rPr>
      <t xml:space="preserve"> (not required, but may improve ion balance)</t>
    </r>
  </si>
  <si>
    <r>
      <rPr>
        <b/>
        <sz val="10"/>
        <rFont val="Arial"/>
        <family val="2"/>
      </rPr>
      <t>Set the units</t>
    </r>
    <r>
      <rPr>
        <sz val="10"/>
        <rFont val="Arial"/>
        <family val="2"/>
      </rPr>
      <t xml:space="preserve"> desired for the brewing calculations at the top of the </t>
    </r>
    <r>
      <rPr>
        <b/>
        <sz val="10"/>
        <rFont val="Arial"/>
        <family val="2"/>
      </rPr>
      <t>Water Report Input</t>
    </r>
    <r>
      <rPr>
        <sz val="10"/>
        <rFont val="Arial"/>
        <family val="2"/>
      </rPr>
      <t xml:space="preserve"> sheet.  Homebrewers may select either </t>
    </r>
    <r>
      <rPr>
        <b/>
        <sz val="10"/>
        <rFont val="Arial"/>
        <family val="2"/>
      </rPr>
      <t>Gallons</t>
    </r>
    <r>
      <rPr>
        <sz val="10"/>
        <rFont val="Arial"/>
        <family val="2"/>
      </rPr>
      <t xml:space="preserve"> or</t>
    </r>
    <r>
      <rPr>
        <b/>
        <sz val="10"/>
        <rFont val="Arial"/>
        <family val="2"/>
      </rPr>
      <t xml:space="preserve"> Liters</t>
    </r>
    <r>
      <rPr>
        <sz val="10"/>
        <rFont val="Arial"/>
        <family val="2"/>
      </rPr>
      <t>.</t>
    </r>
    <r>
      <rPr>
        <sz val="10"/>
        <rFont val="Arial"/>
        <family val="2"/>
      </rPr>
      <t xml:space="preserve">The units for grain amounts switch to pounds when the water volume is set to either gallons or Barrels and to kilograms when the water volume is set to liters or hectoliters. </t>
    </r>
  </si>
  <si>
    <r>
      <t xml:space="preserve">With the alkalinity information for the </t>
    </r>
    <r>
      <rPr>
        <b/>
        <sz val="10"/>
        <rFont val="Arial"/>
        <family val="2"/>
      </rPr>
      <t>Existing Water</t>
    </r>
    <r>
      <rPr>
        <sz val="10"/>
        <rFont val="Arial"/>
        <family val="2"/>
      </rPr>
      <t xml:space="preserve"> entered in the </t>
    </r>
    <r>
      <rPr>
        <b/>
        <sz val="10"/>
        <rFont val="Arial"/>
        <family val="2"/>
      </rPr>
      <t xml:space="preserve">Water Report Input </t>
    </r>
    <r>
      <rPr>
        <sz val="10"/>
        <rFont val="Arial"/>
        <family val="2"/>
      </rPr>
      <t xml:space="preserve">sheet, the proper amount of acid can be calculated for that water without significant trial and error.   The </t>
    </r>
    <r>
      <rPr>
        <b/>
        <sz val="10"/>
        <rFont val="Arial"/>
        <family val="2"/>
      </rPr>
      <t>Sparge Acidification</t>
    </r>
    <r>
      <rPr>
        <sz val="10"/>
        <rFont val="Arial"/>
        <family val="2"/>
      </rPr>
      <t xml:space="preserve"> sheet is intended only for sparge water adjustments and should not be used for mashing water adjustment.  A separate mashing acidification (alkalinity adjustment) tool is provided at the bottom of the </t>
    </r>
    <r>
      <rPr>
        <b/>
        <sz val="10"/>
        <rFont val="Arial"/>
        <family val="2"/>
      </rPr>
      <t xml:space="preserve">Water Adjustment </t>
    </r>
    <r>
      <rPr>
        <sz val="10"/>
        <rFont val="Arial"/>
        <family val="2"/>
      </rPr>
      <t>sheet for mashing water adjustment.</t>
    </r>
  </si>
  <si>
    <r>
      <t xml:space="preserve">If the brewer will be diluting the existing tap water with distilled or RO water, you will have to manually calculate the resulting alkalinity for your sparging water. That calculation is included in the Supporter's version of </t>
    </r>
    <r>
      <rPr>
        <b/>
        <sz val="10"/>
        <rFont val="Arial"/>
        <family val="2"/>
      </rPr>
      <t>Bru'n Water</t>
    </r>
    <r>
      <rPr>
        <sz val="10"/>
        <rFont val="Arial"/>
        <family val="2"/>
      </rPr>
      <t xml:space="preserve">.  </t>
    </r>
  </si>
  <si>
    <r>
      <t xml:space="preserve">If the </t>
    </r>
    <r>
      <rPr>
        <b/>
        <sz val="10"/>
        <rFont val="Arial"/>
        <family val="2"/>
      </rPr>
      <t>Existing</t>
    </r>
    <r>
      <rPr>
        <sz val="10"/>
        <rFont val="Arial"/>
        <family val="2"/>
      </rPr>
      <t xml:space="preserve"> or </t>
    </r>
    <r>
      <rPr>
        <b/>
        <sz val="10"/>
        <rFont val="Arial"/>
        <family val="2"/>
      </rPr>
      <t>Diluted Water Alkalinity</t>
    </r>
    <r>
      <rPr>
        <sz val="10"/>
        <rFont val="Arial"/>
        <family val="2"/>
      </rPr>
      <t xml:space="preserve"> is less than 25 ppm, then it may not be necessary to acidify the diluted sparging water.  </t>
    </r>
  </si>
  <si>
    <r>
      <t>Under most conditions, the brewer should</t>
    </r>
    <r>
      <rPr>
        <b/>
        <sz val="10"/>
        <rFont val="Arial"/>
        <family val="2"/>
      </rPr>
      <t xml:space="preserve"> leave the Water Volume to Treat set to 1.0</t>
    </r>
    <r>
      <rPr>
        <sz val="10"/>
        <rFont val="Arial"/>
        <family val="2"/>
      </rPr>
      <t xml:space="preserve">.  Setting the water volume to either </t>
    </r>
    <r>
      <rPr>
        <b/>
        <sz val="10"/>
        <rFont val="Arial"/>
        <family val="2"/>
      </rPr>
      <t>One (1)</t>
    </r>
    <r>
      <rPr>
        <sz val="10"/>
        <rFont val="Arial"/>
        <family val="2"/>
      </rPr>
      <t xml:space="preserve"> </t>
    </r>
    <r>
      <rPr>
        <b/>
        <sz val="10"/>
        <rFont val="Arial"/>
        <family val="2"/>
      </rPr>
      <t xml:space="preserve">Gallon or Liter </t>
    </r>
    <r>
      <rPr>
        <sz val="10"/>
        <rFont val="Arial"/>
        <family val="2"/>
      </rPr>
      <t xml:space="preserve">and the program will automatically scale the acid addition to correspond to the sparging water volume that is entered on the </t>
    </r>
    <r>
      <rPr>
        <b/>
        <sz val="10"/>
        <rFont val="Arial"/>
        <family val="2"/>
      </rPr>
      <t xml:space="preserve">Water Adjustment </t>
    </r>
    <r>
      <rPr>
        <sz val="10"/>
        <rFont val="Arial"/>
        <family val="2"/>
      </rPr>
      <t xml:space="preserve">sheet.  The Water Volume on the </t>
    </r>
    <r>
      <rPr>
        <b/>
        <sz val="10"/>
        <rFont val="Arial"/>
        <family val="2"/>
      </rPr>
      <t>Sparge Acidificaton</t>
    </r>
    <r>
      <rPr>
        <sz val="10"/>
        <rFont val="Arial"/>
        <family val="2"/>
      </rPr>
      <t xml:space="preserve"> sheet can be reset to an actual volume (other than 1) if the brewer wants to perform a quick acid addition calculation instead of working through the rest of the program.  </t>
    </r>
    <r>
      <rPr>
        <b/>
        <sz val="10"/>
        <rFont val="Arial"/>
        <family val="2"/>
      </rPr>
      <t xml:space="preserve">For normal brewing usage, set the water volume to 1. </t>
    </r>
  </si>
  <si>
    <r>
      <t xml:space="preserve">Use drop-down box to select the type of acid used for sparging acidification.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the capability to use 2 acids for your sparging water and another 2 acids in your mashing water.  Typical solid and liquid acids used in brewing and wine-making are provided in the selection boxes.  </t>
    </r>
    <r>
      <rPr>
        <b/>
        <sz val="10"/>
        <rFont val="Arial"/>
        <family val="2"/>
      </rPr>
      <t>If the acid is a liquid,</t>
    </r>
    <r>
      <rPr>
        <sz val="10"/>
        <rFont val="Arial"/>
        <family val="2"/>
      </rPr>
      <t xml:space="preserve"> enter the numerical strength reported for the acid and select the strength parameter   (</t>
    </r>
    <r>
      <rPr>
        <b/>
        <sz val="10"/>
        <rFont val="Arial"/>
        <family val="2"/>
      </rPr>
      <t>% = Percentage, N = Normality, M = Molarity</t>
    </r>
    <r>
      <rPr>
        <sz val="10"/>
        <rFont val="Arial"/>
        <family val="2"/>
      </rPr>
      <t xml:space="preserve">).  When entering acid percentage, enter as a whole number.  For example: enter 88% as 88 and not 0.88.  </t>
    </r>
    <r>
      <rPr>
        <b/>
        <sz val="10"/>
        <rFont val="Arial"/>
        <family val="2"/>
      </rPr>
      <t>When using solid acids, the strength parameter setting is not used and has no effect on the calculations</t>
    </r>
    <r>
      <rPr>
        <sz val="10"/>
        <rFont val="Arial"/>
        <family val="2"/>
      </rPr>
      <t>.</t>
    </r>
  </si>
  <si>
    <r>
      <t xml:space="preserve">The </t>
    </r>
    <r>
      <rPr>
        <b/>
        <sz val="10"/>
        <rFont val="Arial"/>
        <family val="2"/>
      </rPr>
      <t>Sparge Acidification</t>
    </r>
    <r>
      <rPr>
        <sz val="10"/>
        <rFont val="Arial"/>
        <family val="2"/>
      </rPr>
      <t xml:space="preserve"> sheet also reports the concentrations of the anions from those acids. Chloride and sulfate concentrations from hydrochloric and sulfuric acids are reported.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CRS acid as a selection.  In addition, the various anions from lactic, acetic, phosphoric, tartaric, malic, and citric acids are also reported. While concentrations of the ions are reported on the </t>
    </r>
    <r>
      <rPr>
        <b/>
        <sz val="10"/>
        <rFont val="Arial"/>
        <family val="2"/>
      </rPr>
      <t>Sparge Acidification</t>
    </r>
    <r>
      <rPr>
        <sz val="10"/>
        <rFont val="Arial"/>
        <family val="2"/>
      </rPr>
      <t xml:space="preserve"> and </t>
    </r>
    <r>
      <rPr>
        <b/>
        <sz val="10"/>
        <rFont val="Arial"/>
        <family val="2"/>
      </rPr>
      <t xml:space="preserve">Water Adjustment </t>
    </r>
    <r>
      <rPr>
        <sz val="10"/>
        <rFont val="Arial"/>
        <family val="2"/>
      </rPr>
      <t xml:space="preserve">sheets, refer to the </t>
    </r>
    <r>
      <rPr>
        <b/>
        <sz val="10"/>
        <rFont val="Arial"/>
        <family val="2"/>
      </rPr>
      <t>Adjustment Summary</t>
    </r>
    <r>
      <rPr>
        <sz val="10"/>
        <rFont val="Arial"/>
        <family val="2"/>
      </rPr>
      <t xml:space="preserve"> sheet to find what the averaged concentrations of those anions are in the kettle and if they may be over their taste threshold. Anions over their taste threshold may affect beer flavor.  </t>
    </r>
  </si>
  <si>
    <r>
      <t xml:space="preserve">In a typical mash, the mash pH tends to trend toward a pH of about 5.4. If the pH is initially lower than 5.4, it tends to rise during the course of the mash. If the pH is initially above 5.4, it tends to fall during the mash.  </t>
    </r>
    <r>
      <rPr>
        <b/>
        <sz val="10"/>
        <rFont val="Arial"/>
        <family val="2"/>
      </rPr>
      <t>Bru'n Water</t>
    </r>
    <r>
      <rPr>
        <sz val="10"/>
        <rFont val="Arial"/>
        <family val="2"/>
      </rPr>
      <t xml:space="preserve"> pH prediction tends to present the pH during the early stage of mashing when most enzymatic activity and starch conversion occurs. </t>
    </r>
    <r>
      <rPr>
        <sz val="10"/>
        <rFont val="Arial"/>
        <family val="2"/>
      </rPr>
      <t xml:space="preserve"> </t>
    </r>
  </si>
  <si>
    <r>
      <t xml:space="preserve">A </t>
    </r>
    <r>
      <rPr>
        <b/>
        <sz val="10"/>
        <rFont val="Arial"/>
        <family val="2"/>
      </rPr>
      <t>Desired Water Profile</t>
    </r>
    <r>
      <rPr>
        <sz val="10"/>
        <rFont val="Arial"/>
        <family val="2"/>
      </rPr>
      <t xml:space="preserve"> can be selected in the </t>
    </r>
    <r>
      <rPr>
        <b/>
        <sz val="10"/>
        <rFont val="Arial"/>
        <family val="2"/>
      </rPr>
      <t>Water Adjustment</t>
    </r>
    <r>
      <rPr>
        <sz val="10"/>
        <rFont val="Arial"/>
        <family val="2"/>
      </rPr>
      <t xml:space="preserve"> sheet from either a selection of profiles that generally fit the intended beer style.  The </t>
    </r>
    <r>
      <rPr>
        <b/>
        <sz val="10"/>
        <rFont val="Arial"/>
        <family val="2"/>
      </rPr>
      <t>Water Adjustment</t>
    </r>
    <r>
      <rPr>
        <sz val="10"/>
        <rFont val="Arial"/>
        <family val="2"/>
      </rPr>
      <t xml:space="preserve"> sheet includes typical minerals and acids that can be used to adjust the water ion content.</t>
    </r>
  </si>
  <si>
    <r>
      <t xml:space="preserve">The </t>
    </r>
    <r>
      <rPr>
        <b/>
        <sz val="10"/>
        <rFont val="Arial"/>
        <family val="2"/>
      </rPr>
      <t xml:space="preserve">Bru'n Water </t>
    </r>
    <r>
      <rPr>
        <sz val="10"/>
        <rFont val="Arial"/>
        <family val="2"/>
      </rPr>
      <t xml:space="preserve">water profiles include recommendations based on the color of the beer to be produced.  These profiles were devised to provide relatively low mineralization while providing minimum recommended calcium concentration and modest levels of magnesium, sodium, chloride, and sulfate.  For the brewer's convenience, a description of the color range for the color descriptors used in the provided water profiles is provided below and on the </t>
    </r>
    <r>
      <rPr>
        <b/>
        <sz val="10"/>
        <rFont val="Arial"/>
        <family val="2"/>
      </rPr>
      <t>Water Adjustment</t>
    </r>
    <r>
      <rPr>
        <sz val="10"/>
        <rFont val="Arial"/>
        <family val="2"/>
      </rPr>
      <t xml:space="preserve"> sheet.  </t>
    </r>
  </si>
  <si>
    <r>
      <t>If only the bicarbonate (HCO</t>
    </r>
    <r>
      <rPr>
        <vertAlign val="subscript"/>
        <sz val="10"/>
        <rFont val="Arial"/>
        <family val="2"/>
      </rPr>
      <t>3</t>
    </r>
    <r>
      <rPr>
        <sz val="10"/>
        <rFont val="Arial"/>
        <family val="2"/>
      </rPr>
      <t xml:space="preserve">) concentration of the water supply is too high and the other ions are not too high, then acidification may be preferred for bicarbonate reduction instead of dilution.  An </t>
    </r>
    <r>
      <rPr>
        <b/>
        <sz val="10"/>
        <rFont val="Arial"/>
        <family val="2"/>
      </rPr>
      <t xml:space="preserve">Acid Addition </t>
    </r>
    <r>
      <rPr>
        <sz val="10"/>
        <rFont val="Arial"/>
        <family val="2"/>
      </rPr>
      <t xml:space="preserve">calculator is provided at the bottom of the </t>
    </r>
    <r>
      <rPr>
        <b/>
        <sz val="10"/>
        <rFont val="Arial"/>
        <family val="2"/>
      </rPr>
      <t>Water Additions</t>
    </r>
    <r>
      <rPr>
        <sz val="10"/>
        <rFont val="Arial"/>
        <family val="2"/>
      </rPr>
      <t xml:space="preserve"> section that shows the bicarbonate reduction provided by acid addition.  An acid can be selected on the </t>
    </r>
    <r>
      <rPr>
        <b/>
        <sz val="10"/>
        <rFont val="Arial"/>
        <family val="2"/>
      </rPr>
      <t>Water Adjustment</t>
    </r>
    <r>
      <rPr>
        <sz val="10"/>
        <rFont val="Arial"/>
        <family val="2"/>
      </rPr>
      <t xml:space="preserve"> sheet. The acid type, form, and strength parameters are entered on the </t>
    </r>
    <r>
      <rPr>
        <b/>
        <sz val="10"/>
        <rFont val="Arial"/>
        <family val="2"/>
      </rPr>
      <t>Water Adjustment</t>
    </r>
    <r>
      <rPr>
        <sz val="10"/>
        <rFont val="Arial"/>
        <family val="2"/>
      </rPr>
      <t xml:space="preserve"> sheet.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enables you to use 2 different acids in the mash.  The </t>
    </r>
    <r>
      <rPr>
        <b/>
        <sz val="10"/>
        <rFont val="Arial"/>
        <family val="2"/>
      </rPr>
      <t>Acid Addition</t>
    </r>
    <r>
      <rPr>
        <sz val="10"/>
        <rFont val="Arial"/>
        <family val="2"/>
      </rPr>
      <t xml:space="preserve"> calculator indicates the bicarbonate consumed (-HCO</t>
    </r>
    <r>
      <rPr>
        <vertAlign val="subscript"/>
        <sz val="10"/>
        <rFont val="Arial"/>
        <family val="2"/>
      </rPr>
      <t>3</t>
    </r>
    <r>
      <rPr>
        <sz val="10"/>
        <rFont val="Arial"/>
        <family val="2"/>
      </rPr>
      <t xml:space="preserve">) by the acid addition.  It also indicates the sulfate added when using Sulfuric Acid or the chloride added when using Hydrochloric Acid.  These ion additions are included in the </t>
    </r>
    <r>
      <rPr>
        <b/>
        <sz val="10"/>
        <rFont val="Arial"/>
        <family val="2"/>
      </rPr>
      <t>Actual Water Adjustment</t>
    </r>
    <r>
      <rPr>
        <sz val="10"/>
        <rFont val="Arial"/>
        <family val="2"/>
      </rPr>
      <t xml:space="preserve">.  </t>
    </r>
  </si>
  <si>
    <r>
      <t xml:space="preserve">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reporting on the concentration of acid anions that you add to your water. These can be important since many acid anions add flavor to the beer and can be detrimental at excessive concentrations.</t>
    </r>
    <r>
      <rPr>
        <b/>
        <sz val="10"/>
        <rFont val="Arial"/>
        <family val="2"/>
      </rPr>
      <t xml:space="preserve">  </t>
    </r>
    <r>
      <rPr>
        <sz val="10"/>
        <rFont val="Arial"/>
        <family val="2"/>
      </rPr>
      <t xml:space="preserve">The concentrations of anions such as </t>
    </r>
    <r>
      <rPr>
        <b/>
        <sz val="10"/>
        <rFont val="Arial"/>
        <family val="2"/>
      </rPr>
      <t>lactate, phosphate, malate, citrate, tartarate,</t>
    </r>
    <r>
      <rPr>
        <sz val="10"/>
        <rFont val="Arial"/>
        <family val="2"/>
      </rPr>
      <t xml:space="preserve"> and </t>
    </r>
    <r>
      <rPr>
        <b/>
        <sz val="10"/>
        <rFont val="Arial"/>
        <family val="2"/>
      </rPr>
      <t>acetate</t>
    </r>
    <r>
      <rPr>
        <sz val="10"/>
        <rFont val="Arial"/>
        <family val="2"/>
      </rPr>
      <t xml:space="preserve"> are calculated and displayed alongside the acid calculations. </t>
    </r>
    <r>
      <rPr>
        <sz val="10"/>
        <rFont val="Arial"/>
        <family val="2"/>
      </rPr>
      <t xml:space="preserve">Text displays alert the brewer if the concentrations are above or below the typical taste thresholds for each ion. If an anion is reported to be above its taste threshold, the brewer may elect to alter the amount of the excessive acid.  </t>
    </r>
  </si>
  <si>
    <r>
      <t xml:space="preserve">A very useful feature of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is its ability to estimate the overall concentrations of ions in the final wort. Those concentrations can be quite different from the mashing water concentrations. In addition, that version includes the ability to tell the program that you are considering techniques such as adding all the mashing and sparging mineral additions to the mash or reserving the mineral additions for the kettle. </t>
    </r>
  </si>
  <si>
    <r>
      <t>The variation of Dry, Balanced, and Full water profiles generally reflect the relative content of sulfate (SO</t>
    </r>
    <r>
      <rPr>
        <vertAlign val="subscript"/>
        <sz val="10"/>
        <rFont val="Arial"/>
        <family val="2"/>
      </rPr>
      <t>4</t>
    </r>
    <r>
      <rPr>
        <sz val="10"/>
        <rFont val="Arial"/>
        <family val="2"/>
      </rPr>
      <t xml:space="preserve">) and chloride (Cl) in the water profile.  Select the water profile that generally meets your taste goal.  As an example, a hoppy American style may benefit from a bitter water profile while a sweeter German style may benefit from a malty water profile.  The concept of this sulfate/chloride ratio was modified from the Handbook of Brewing, Priest &amp; Stewart, 2006 and the water chapter by David Taylor.  This concept assumes that chloride accentuates malt and sweetness and sulfate accentuates dryness and bitterness.   Therefore, the ratio of these ions is used as an indicator of the sweetness or bitterness perception of the finished beer.   </t>
    </r>
  </si>
  <si>
    <r>
      <t xml:space="preserve">The </t>
    </r>
    <r>
      <rPr>
        <b/>
        <sz val="10"/>
        <rFont val="Arial"/>
        <family val="2"/>
      </rPr>
      <t>Water Adjustment</t>
    </r>
    <r>
      <rPr>
        <sz val="10"/>
        <rFont val="Arial"/>
        <family val="2"/>
      </rPr>
      <t xml:space="preserve"> sheet reports the ion concentrations for both Mashing and Finished worts. The </t>
    </r>
    <r>
      <rPr>
        <b/>
        <sz val="10"/>
        <rFont val="Arial"/>
        <family val="2"/>
      </rPr>
      <t>Mashing Water Profile</t>
    </r>
    <r>
      <rPr>
        <sz val="10"/>
        <rFont val="Arial"/>
        <family val="2"/>
      </rPr>
      <t xml:space="preserve"> enables separate monitoring of calcium, magnesium, and bicarbonate levels in the mash that are important for pH and oxalate reduction. To estimate the</t>
    </r>
    <r>
      <rPr>
        <b/>
        <sz val="10"/>
        <rFont val="Arial"/>
        <family val="2"/>
      </rPr>
      <t xml:space="preserve"> Finished Water Profile </t>
    </r>
    <r>
      <rPr>
        <sz val="10"/>
        <rFont val="Arial"/>
        <family val="2"/>
      </rPr>
      <t xml:space="preserve">which reports overall ion concentrations in the kettle that are important for yeast flocculation and beer flavor, you should upgrade to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t>
    </r>
  </si>
  <si>
    <r>
      <t xml:space="preserve">All </t>
    </r>
    <r>
      <rPr>
        <b/>
        <sz val="10"/>
        <rFont val="Arial"/>
        <family val="2"/>
      </rPr>
      <t>Mash Water</t>
    </r>
    <r>
      <rPr>
        <sz val="10"/>
        <rFont val="Arial"/>
        <family val="2"/>
      </rPr>
      <t xml:space="preserve"> mineral and acid additions are typically added to the mash in order to create the desired water profile and produce the desired mash pH.  These additions are not typically added directly to the boil kettle except when the hardening the mash water will increase the need for alkalinity in the mash water.  If the mash pH calculations indicate that additional alkalinity is required, the brewer may consider adding hardening minerals such as gypsum, calcium chloride, and epsom salt directly to the kettle to avoid hardening the water and reducing mash pH. </t>
    </r>
  </si>
  <si>
    <r>
      <t xml:space="preserve">The volumes of dilution water for both the mashing and sparging are shown on the </t>
    </r>
    <r>
      <rPr>
        <b/>
        <sz val="10"/>
        <rFont val="Arial"/>
        <family val="2"/>
      </rPr>
      <t xml:space="preserve">Adjustment Summary </t>
    </r>
    <r>
      <rPr>
        <sz val="10"/>
        <rFont val="Arial"/>
        <family val="2"/>
      </rPr>
      <t xml:space="preserve">sheet.  The </t>
    </r>
    <r>
      <rPr>
        <b/>
        <sz val="10"/>
        <rFont val="Arial"/>
        <family val="2"/>
      </rPr>
      <t>Dilution Water</t>
    </r>
    <r>
      <rPr>
        <sz val="10"/>
        <rFont val="Arial"/>
        <family val="2"/>
      </rPr>
      <t xml:space="preserve"> volume is calculated from the dilution percentages input for the mashing water adjustments and the total mashing and sparging water volumes.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information on Sparging water dilution volume. The </t>
    </r>
    <r>
      <rPr>
        <b/>
        <sz val="10"/>
        <rFont val="Arial"/>
        <family val="2"/>
      </rPr>
      <t>Total Water</t>
    </r>
    <r>
      <rPr>
        <sz val="10"/>
        <rFont val="Arial"/>
        <family val="2"/>
      </rPr>
      <t xml:space="preserve"> volumes are equal to </t>
    </r>
    <r>
      <rPr>
        <b/>
        <sz val="10"/>
        <rFont val="Arial"/>
        <family val="2"/>
      </rPr>
      <t>Dilution Water</t>
    </r>
    <r>
      <rPr>
        <sz val="10"/>
        <rFont val="Arial"/>
        <family val="2"/>
      </rPr>
      <t xml:space="preserve"> volume plus </t>
    </r>
    <r>
      <rPr>
        <b/>
        <sz val="10"/>
        <rFont val="Arial"/>
        <family val="2"/>
      </rPr>
      <t>Tap Water</t>
    </r>
    <r>
      <rPr>
        <sz val="10"/>
        <rFont val="Arial"/>
        <family val="2"/>
      </rPr>
      <t xml:space="preserve"> volume.  A suggested approach is to add the </t>
    </r>
    <r>
      <rPr>
        <b/>
        <sz val="10"/>
        <rFont val="Arial"/>
        <family val="2"/>
      </rPr>
      <t>Dilution Water</t>
    </r>
    <r>
      <rPr>
        <sz val="10"/>
        <rFont val="Arial"/>
        <family val="2"/>
      </rPr>
      <t xml:space="preserve"> volume to the vessel and then add </t>
    </r>
    <r>
      <rPr>
        <b/>
        <sz val="10"/>
        <rFont val="Arial"/>
        <family val="2"/>
      </rPr>
      <t xml:space="preserve">Tap Water </t>
    </r>
    <r>
      <rPr>
        <sz val="10"/>
        <rFont val="Arial"/>
        <family val="2"/>
      </rPr>
      <t xml:space="preserve">to reach the desired </t>
    </r>
    <r>
      <rPr>
        <b/>
        <sz val="10"/>
        <rFont val="Arial"/>
        <family val="2"/>
      </rPr>
      <t xml:space="preserve">Total Water </t>
    </r>
    <r>
      <rPr>
        <sz val="10"/>
        <rFont val="Arial"/>
        <family val="2"/>
      </rPr>
      <t>volume.</t>
    </r>
  </si>
  <si>
    <r>
      <t xml:space="preserve">The acids used for both sparging and mashing are shown on the </t>
    </r>
    <r>
      <rPr>
        <b/>
        <sz val="10"/>
        <rFont val="Arial"/>
        <family val="2"/>
      </rPr>
      <t>Adjustment Summary</t>
    </r>
    <r>
      <rPr>
        <sz val="10"/>
        <rFont val="Arial"/>
        <family val="2"/>
      </rPr>
      <t xml:space="preserve">. The cells may be blank if no acids were selected or used on the </t>
    </r>
    <r>
      <rPr>
        <b/>
        <sz val="10"/>
        <rFont val="Arial"/>
        <family val="2"/>
      </rPr>
      <t xml:space="preserve">Sparge Acidification </t>
    </r>
    <r>
      <rPr>
        <sz val="10"/>
        <rFont val="Arial"/>
        <family val="2"/>
      </rPr>
      <t xml:space="preserve">and </t>
    </r>
    <r>
      <rPr>
        <b/>
        <sz val="10"/>
        <rFont val="Arial"/>
        <family val="2"/>
      </rPr>
      <t>Water Adjustment</t>
    </r>
    <r>
      <rPr>
        <sz val="10"/>
        <rFont val="Arial"/>
        <family val="2"/>
      </rPr>
      <t xml:space="preserve"> sheets. </t>
    </r>
  </si>
  <si>
    <r>
      <t xml:space="preserve">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a significant number of enhancements that aid brewers in improving their beers. Donating at least $10 will get you the latest Supporter's version and keep you in the upgrade loop.  Users that value the use and development of </t>
    </r>
    <r>
      <rPr>
        <b/>
        <sz val="10"/>
        <rFont val="Arial"/>
        <family val="2"/>
      </rPr>
      <t>Bru'n Water</t>
    </r>
    <r>
      <rPr>
        <sz val="10"/>
        <rFont val="Arial"/>
        <family val="2"/>
      </rPr>
      <t xml:space="preserve"> can support the continued development and show support by donating through their PayPal account.    To assist the team in continuing the improvement of this program and to indicate your approval and support, donations through </t>
    </r>
    <r>
      <rPr>
        <b/>
        <sz val="10"/>
        <rFont val="Arial"/>
        <family val="2"/>
      </rPr>
      <t>PayPal</t>
    </r>
    <r>
      <rPr>
        <sz val="10"/>
        <rFont val="Arial"/>
        <family val="2"/>
      </rPr>
      <t xml:space="preserve"> are welcome.  A few dollars are truly welcome from those that find this program and water knowledge useful.  Use the email address </t>
    </r>
    <r>
      <rPr>
        <b/>
        <sz val="10"/>
        <rFont val="Arial"/>
        <family val="2"/>
      </rPr>
      <t>mabrungard@hotmail.com</t>
    </r>
    <r>
      <rPr>
        <sz val="10"/>
        <rFont val="Arial"/>
        <family val="2"/>
      </rPr>
      <t xml:space="preserve"> to forward comments about the program and to direct donations to the development team.  For those with a </t>
    </r>
    <r>
      <rPr>
        <b/>
        <sz val="10"/>
        <rFont val="Arial"/>
        <family val="2"/>
      </rPr>
      <t>PayPal</t>
    </r>
    <r>
      <rPr>
        <sz val="10"/>
        <rFont val="Arial"/>
        <family val="2"/>
      </rPr>
      <t xml:space="preserve"> account, a link to the</t>
    </r>
    <r>
      <rPr>
        <b/>
        <sz val="10"/>
        <rFont val="Arial"/>
        <family val="2"/>
      </rPr>
      <t xml:space="preserve"> Bru'n Water website </t>
    </r>
    <r>
      <rPr>
        <sz val="10"/>
        <rFont val="Arial"/>
        <family val="2"/>
      </rPr>
      <t xml:space="preserve">is provided below.  The website has links to Paypal to support Bru'n Water.  Use the SEND MONEY tool and select the PERSONAL tab to direct a GIFT amount to the developers.                                                                                                                        </t>
    </r>
  </si>
  <si>
    <r>
      <rPr>
        <sz val="10"/>
        <rFont val="Arial"/>
        <family val="2"/>
      </rPr>
      <t xml:space="preserve">1. Knowing your Existing Water is a key requirement for assessing how to adjust it.  Input the ion content of the existing water source on the </t>
    </r>
    <r>
      <rPr>
        <b/>
        <sz val="10"/>
        <rFont val="Arial"/>
        <family val="2"/>
      </rPr>
      <t xml:space="preserve">Water Report Input </t>
    </r>
    <r>
      <rPr>
        <sz val="10"/>
        <rFont val="Arial"/>
        <family val="2"/>
      </rPr>
      <t xml:space="preserve">sheet.  </t>
    </r>
  </si>
  <si>
    <r>
      <rPr>
        <sz val="10"/>
        <rFont val="Arial"/>
        <family val="2"/>
      </rPr>
      <t xml:space="preserve">3. All sparging Water must have </t>
    </r>
    <r>
      <rPr>
        <b/>
        <sz val="10"/>
        <rFont val="Arial"/>
        <family val="2"/>
      </rPr>
      <t>low</t>
    </r>
    <r>
      <rPr>
        <sz val="10"/>
        <rFont val="Arial"/>
        <family val="2"/>
      </rPr>
      <t xml:space="preserve"> alkalinity. If your water source has moderate to high alkalinity, that water must be acidified to reduce its alkalinity.  The alkalinity of the tap water is calculated from the information input on the </t>
    </r>
    <r>
      <rPr>
        <b/>
        <sz val="10"/>
        <rFont val="Arial"/>
        <family val="2"/>
      </rPr>
      <t>Water Report Input</t>
    </r>
    <r>
      <rPr>
        <sz val="10"/>
        <rFont val="Arial"/>
        <family val="2"/>
      </rPr>
      <t xml:space="preserve"> sheet and it is copied to the </t>
    </r>
    <r>
      <rPr>
        <b/>
        <sz val="10"/>
        <rFont val="Arial"/>
        <family val="2"/>
      </rPr>
      <t>Sparge Acidification</t>
    </r>
    <r>
      <rPr>
        <sz val="10"/>
        <rFont val="Arial"/>
        <family val="2"/>
      </rPr>
      <t xml:space="preserve"> sheet.  It is used to calculate the amount of acid needed to bring the Sparging Water pH and Alkalinity down to a proper level.  </t>
    </r>
  </si>
  <si>
    <r>
      <t xml:space="preserve">6. Because the water profiles on the </t>
    </r>
    <r>
      <rPr>
        <b/>
        <sz val="10"/>
        <rFont val="Arial"/>
        <family val="2"/>
      </rPr>
      <t xml:space="preserve">Water Adjustment </t>
    </r>
    <r>
      <rPr>
        <sz val="10"/>
        <rFont val="Arial"/>
        <family val="2"/>
      </rPr>
      <t xml:space="preserve">sheet may not always produce a good mash pH, minor adjustment of the bicarbonate content of those water profiles may be needed.  Check the resulting </t>
    </r>
    <r>
      <rPr>
        <b/>
        <sz val="10"/>
        <rFont val="Arial"/>
        <family val="2"/>
      </rPr>
      <t>Estimated Mash pH</t>
    </r>
    <r>
      <rPr>
        <sz val="10"/>
        <rFont val="Arial"/>
        <family val="2"/>
      </rPr>
      <t xml:space="preserve"> on either the </t>
    </r>
    <r>
      <rPr>
        <b/>
        <sz val="10"/>
        <rFont val="Arial"/>
        <family val="2"/>
      </rPr>
      <t>Grain Bill Input</t>
    </r>
    <r>
      <rPr>
        <sz val="10"/>
        <rFont val="Arial"/>
        <family val="2"/>
      </rPr>
      <t xml:space="preserve"> or </t>
    </r>
    <r>
      <rPr>
        <b/>
        <sz val="10"/>
        <rFont val="Arial"/>
        <family val="2"/>
      </rPr>
      <t>Water Adjustment</t>
    </r>
    <r>
      <rPr>
        <sz val="10"/>
        <rFont val="Arial"/>
        <family val="2"/>
      </rPr>
      <t xml:space="preserve"> sheets.  If the pH is lower than desired, increase the bicarbonate content of the mashing water on the </t>
    </r>
    <r>
      <rPr>
        <b/>
        <sz val="10"/>
        <rFont val="Arial"/>
        <family val="2"/>
      </rPr>
      <t xml:space="preserve">Water Adjustment </t>
    </r>
    <r>
      <rPr>
        <sz val="10"/>
        <rFont val="Arial"/>
        <family val="2"/>
      </rPr>
      <t>sheet.  If the pH is higher than desired, reduce the bicarbonate content.  Adjust the mashing water ion concentrations until the desired mash pH is predicted.</t>
    </r>
  </si>
  <si>
    <r>
      <t xml:space="preserve">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a </t>
    </r>
    <r>
      <rPr>
        <b/>
        <sz val="10"/>
        <rFont val="Arial"/>
        <family val="2"/>
      </rPr>
      <t xml:space="preserve">Raw Text Summary </t>
    </r>
    <r>
      <rPr>
        <sz val="10"/>
        <rFont val="Arial"/>
        <family val="2"/>
      </rPr>
      <t xml:space="preserve">sheet that is provided to enable the brewer to convey their brewing water information to others.  By copying the information in the cells highlighted in </t>
    </r>
    <r>
      <rPr>
        <b/>
        <sz val="10"/>
        <color indexed="63"/>
        <rFont val="Arial"/>
        <family val="2"/>
      </rPr>
      <t>GRAY</t>
    </r>
    <r>
      <rPr>
        <sz val="10"/>
        <rFont val="Arial"/>
        <family val="2"/>
      </rPr>
      <t xml:space="preserve"> cells on the </t>
    </r>
    <r>
      <rPr>
        <b/>
        <sz val="10"/>
        <rFont val="Arial"/>
        <family val="2"/>
      </rPr>
      <t>Raw Text Summary</t>
    </r>
    <r>
      <rPr>
        <sz val="10"/>
        <rFont val="Arial"/>
        <family val="2"/>
      </rPr>
      <t xml:space="preserve"> sheet, the brewer can easily paste that information in emails, webpages, brewing logs, or into notes in typical brewing software such as ProMash or Beersmith.  The formatting of the information on that sheet will typically produce uniform columns when pasted as TEXT.  The </t>
    </r>
    <r>
      <rPr>
        <b/>
        <sz val="10"/>
        <rFont val="Arial"/>
        <family val="2"/>
      </rPr>
      <t>Supporter's version</t>
    </r>
    <r>
      <rPr>
        <sz val="10"/>
        <rFont val="Arial"/>
        <family val="2"/>
      </rPr>
      <t xml:space="preserve"> also includes the capability to save 100 </t>
    </r>
    <r>
      <rPr>
        <b/>
        <sz val="10"/>
        <rFont val="Arial"/>
        <family val="2"/>
      </rPr>
      <t xml:space="preserve">Bru'n Water </t>
    </r>
    <r>
      <rPr>
        <sz val="10"/>
        <rFont val="Arial"/>
        <family val="2"/>
      </rPr>
      <t xml:space="preserve">sessions in the program so that they can be recalled and reused the next time you brew that beer. </t>
    </r>
  </si>
  <si>
    <r>
      <t xml:space="preserve">If Reverse Osmosis (RO) or Distilled Water is the brewer's primary water source, then you must input appropriate ion concentrations on the </t>
    </r>
    <r>
      <rPr>
        <b/>
        <sz val="10"/>
        <rFont val="Arial"/>
        <family val="2"/>
      </rPr>
      <t xml:space="preserve">Water Report Input </t>
    </r>
    <r>
      <rPr>
        <sz val="10"/>
        <rFont val="Arial"/>
        <family val="2"/>
      </rPr>
      <t xml:space="preserve">sheet so that the </t>
    </r>
    <r>
      <rPr>
        <b/>
        <sz val="10"/>
        <rFont val="Arial"/>
        <family val="2"/>
      </rPr>
      <t>Sparge Acidification</t>
    </r>
    <r>
      <rPr>
        <sz val="10"/>
        <rFont val="Arial"/>
        <family val="2"/>
      </rPr>
      <t xml:space="preserve"> calculations are correct. The water adjustments can then be properly entered to create the desired water profile. In the </t>
    </r>
    <r>
      <rPr>
        <b/>
        <sz val="10"/>
        <rFont val="Arial"/>
        <family val="2"/>
      </rPr>
      <t>Supporter's version</t>
    </r>
    <r>
      <rPr>
        <sz val="10"/>
        <rFont val="Arial"/>
        <family val="2"/>
      </rPr>
      <t xml:space="preserve"> of </t>
    </r>
    <r>
      <rPr>
        <b/>
        <sz val="10"/>
        <rFont val="Arial"/>
        <family val="2"/>
      </rPr>
      <t>Bru'n Water</t>
    </r>
    <r>
      <rPr>
        <sz val="10"/>
        <rFont val="Arial"/>
        <family val="2"/>
      </rPr>
      <t>, this task is easily accomplished by setting the Dilution Water setting to either RO or Distilled and setting the sparging and mashing Dilution values to 100%.</t>
    </r>
  </si>
  <si>
    <r>
      <t xml:space="preserve">The program is set up with color-coded cells to aid and direct the brewer.  </t>
    </r>
    <r>
      <rPr>
        <b/>
        <sz val="10"/>
        <color indexed="12"/>
        <rFont val="Arial"/>
        <family val="2"/>
      </rPr>
      <t>Blue</t>
    </r>
    <r>
      <rPr>
        <sz val="10"/>
        <rFont val="Arial"/>
        <family val="2"/>
      </rPr>
      <t xml:space="preserve"> colored cells accept brewer input. </t>
    </r>
    <r>
      <rPr>
        <sz val="10"/>
        <color indexed="13"/>
        <rFont val="Arial"/>
        <family val="2"/>
      </rPr>
      <t xml:space="preserve"> </t>
    </r>
    <r>
      <rPr>
        <b/>
        <sz val="10"/>
        <color indexed="51"/>
        <rFont val="Arial"/>
        <family val="2"/>
      </rPr>
      <t>Yellow</t>
    </r>
    <r>
      <rPr>
        <sz val="10"/>
        <rFont val="Arial"/>
        <family val="2"/>
      </rPr>
      <t xml:space="preserve"> colored cells present calculated data and results.  </t>
    </r>
    <r>
      <rPr>
        <b/>
        <sz val="10"/>
        <color indexed="29"/>
        <rFont val="Arial"/>
        <family val="2"/>
      </rPr>
      <t>Pink</t>
    </r>
    <r>
      <rPr>
        <sz val="10"/>
        <rFont val="Arial"/>
        <family val="2"/>
      </rPr>
      <t xml:space="preserve"> cells contain drop-down selection boxes. Many cells within each sheet contain informational comments that help the brewer understand the inputs and results.  Cells with comments have a small </t>
    </r>
    <r>
      <rPr>
        <b/>
        <sz val="10"/>
        <color indexed="10"/>
        <rFont val="Arial"/>
        <family val="2"/>
      </rPr>
      <t>red</t>
    </r>
    <r>
      <rPr>
        <sz val="10"/>
        <rFont val="Arial"/>
        <family val="2"/>
      </rPr>
      <t xml:space="preserve"> </t>
    </r>
    <r>
      <rPr>
        <b/>
        <sz val="10"/>
        <color indexed="10"/>
        <rFont val="Arial"/>
        <family val="2"/>
      </rPr>
      <t>mark</t>
    </r>
    <r>
      <rPr>
        <sz val="10"/>
        <rFont val="Arial"/>
        <family val="2"/>
      </rPr>
      <t xml:space="preserve"> in their right upper corner.  Hover the cursor over cells to see the informational comments.  When using Excel to run Bru'n Water, some cells will change their color to </t>
    </r>
    <r>
      <rPr>
        <b/>
        <sz val="10"/>
        <color indexed="17"/>
        <rFont val="Arial"/>
        <family val="2"/>
      </rPr>
      <t>Green</t>
    </r>
    <r>
      <rPr>
        <sz val="10"/>
        <rFont val="Arial"/>
        <family val="2"/>
      </rPr>
      <t xml:space="preserve"> when inputs are within recommended tolerance and some cells will turn </t>
    </r>
    <r>
      <rPr>
        <b/>
        <sz val="10"/>
        <color indexed="10"/>
        <rFont val="Arial"/>
        <family val="2"/>
      </rPr>
      <t>Red</t>
    </r>
    <r>
      <rPr>
        <sz val="10"/>
        <rFont val="Arial"/>
        <family val="2"/>
      </rPr>
      <t xml:space="preserve"> if potentially incorrect or problematic input or result is provided.  </t>
    </r>
    <r>
      <rPr>
        <b/>
        <sz val="10"/>
        <rFont val="Arial"/>
        <family val="2"/>
      </rPr>
      <t xml:space="preserve">If the sheet does not show comments or red corner marks, select the REVIEW tab in the Excel program menu and click the SHOW ALL COMMENTS </t>
    </r>
    <r>
      <rPr>
        <sz val="10"/>
        <rFont val="Arial"/>
        <family val="2"/>
      </rPr>
      <t>button twice.</t>
    </r>
  </si>
  <si>
    <r>
      <t>Select the volume units used in the brewery for</t>
    </r>
    <r>
      <rPr>
        <b/>
        <sz val="10"/>
        <rFont val="Arial"/>
        <family val="2"/>
      </rPr>
      <t xml:space="preserve"> Bru'n Water</t>
    </r>
    <r>
      <rPr>
        <sz val="10"/>
        <rFont val="Arial"/>
        <family val="2"/>
      </rPr>
      <t xml:space="preserve">.  The </t>
    </r>
    <r>
      <rPr>
        <b/>
        <sz val="10"/>
        <color indexed="45"/>
        <rFont val="Arial"/>
        <family val="2"/>
      </rPr>
      <t>Pink</t>
    </r>
    <r>
      <rPr>
        <sz val="10"/>
        <rFont val="Arial"/>
        <family val="2"/>
      </rPr>
      <t xml:space="preserve"> drop-down box is used to select the volume units used throughout the program.  Both U.S. and S.I. units are available in homebrewing sizes. (Gallons and Barrels, or Liters and Hectoliters). Note: Barrels and Hectoliters are available in the Supporter's version of </t>
    </r>
    <r>
      <rPr>
        <b/>
        <sz val="10"/>
        <rFont val="Arial"/>
        <family val="2"/>
      </rPr>
      <t>Bru'n Water</t>
    </r>
    <r>
      <rPr>
        <sz val="10"/>
        <rFont val="Arial"/>
        <family val="2"/>
      </rPr>
      <t>.</t>
    </r>
  </si>
  <si>
    <r>
      <t xml:space="preserve">If the brewer's water report does not include information on minor ions such as potassium, fluoride, iron, nitrate, or nitrite, </t>
    </r>
    <r>
      <rPr>
        <b/>
        <sz val="10"/>
        <rFont val="Arial"/>
        <family val="2"/>
      </rPr>
      <t>enter Zero</t>
    </r>
    <r>
      <rPr>
        <sz val="10"/>
        <rFont val="Arial"/>
        <family val="2"/>
      </rPr>
      <t xml:space="preserve"> for those concentrations.  The concentration of these ions is typically low and should only produce a minor error in the cation/anion difference if they are entered as </t>
    </r>
    <r>
      <rPr>
        <b/>
        <sz val="10"/>
        <rFont val="Arial"/>
        <family val="2"/>
      </rPr>
      <t>Zero</t>
    </r>
    <r>
      <rPr>
        <sz val="10"/>
        <rFont val="Arial"/>
        <family val="2"/>
      </rPr>
      <t>.   In the case of Murphy's water reports which don't report sodium, input all the other reported ions (</t>
    </r>
    <r>
      <rPr>
        <b/>
        <sz val="10"/>
        <rFont val="Arial"/>
        <family val="2"/>
      </rPr>
      <t>be sure to convert the Alkalinity value to mg/L of HCO</t>
    </r>
    <r>
      <rPr>
        <b/>
        <vertAlign val="subscript"/>
        <sz val="10"/>
        <rFont val="Arial"/>
        <family val="2"/>
      </rPr>
      <t>3</t>
    </r>
    <r>
      <rPr>
        <sz val="10"/>
        <rFont val="Arial"/>
        <family val="2"/>
      </rPr>
      <t xml:space="preserve">) into the </t>
    </r>
    <r>
      <rPr>
        <b/>
        <sz val="10"/>
        <rFont val="Arial"/>
        <family val="2"/>
      </rPr>
      <t xml:space="preserve">Water Report Input </t>
    </r>
    <r>
      <rPr>
        <sz val="10"/>
        <rFont val="Arial"/>
        <family val="2"/>
      </rPr>
      <t>area and input increasing sodium concentrations until the cation and anions are balanced.  That can serve as an estimate of the water's sodium content.</t>
    </r>
  </si>
  <si>
    <r>
      <t xml:space="preserve">Water testing reports can contain testing and reporting errors.  Therefore, a review of the ionic balance between the positively-charged ions (Cations) and negatively-charged ions (Anions) is helpful.  The </t>
    </r>
    <r>
      <rPr>
        <b/>
        <sz val="10"/>
        <rFont val="Arial"/>
        <family val="2"/>
      </rPr>
      <t>Water Report Input</t>
    </r>
    <r>
      <rPr>
        <sz val="10"/>
        <rFont val="Arial"/>
        <family val="2"/>
      </rPr>
      <t xml:space="preserve"> sheet includes an Ion Balance calculation that warns you when the cation and anion totals are more than 0.5 meq/L apart (they should be equal). There can be some difference in the totals if there were errors in the testing or reporting or if there are other ions in the water that were not reported.  If no ion balance warning is displayed, the water report inputs should be close enough to operate the program.</t>
    </r>
  </si>
  <si>
    <r>
      <t xml:space="preserve">The ion concentrations that were entered on the </t>
    </r>
    <r>
      <rPr>
        <b/>
        <sz val="10"/>
        <rFont val="Arial"/>
        <family val="2"/>
      </rPr>
      <t>Water Report Input</t>
    </r>
    <r>
      <rPr>
        <sz val="10"/>
        <rFont val="Arial"/>
        <family val="2"/>
      </rPr>
      <t xml:space="preserve"> sheet are automatically entered in the </t>
    </r>
    <r>
      <rPr>
        <b/>
        <sz val="10"/>
        <rFont val="Arial"/>
        <family val="2"/>
      </rPr>
      <t>Water Adjustment</t>
    </r>
    <r>
      <rPr>
        <sz val="10"/>
        <rFont val="Arial"/>
        <family val="2"/>
      </rPr>
      <t xml:space="preserve"> sheet.  If the water source is fairly stable, the brewer may not need to adjust the </t>
    </r>
    <r>
      <rPr>
        <b/>
        <sz val="10"/>
        <rFont val="Arial"/>
        <family val="2"/>
      </rPr>
      <t>Water Report Input</t>
    </r>
    <r>
      <rPr>
        <sz val="10"/>
        <rFont val="Arial"/>
        <family val="2"/>
      </rPr>
      <t xml:space="preserve"> page in the future.  Saving the program with those values on the </t>
    </r>
    <r>
      <rPr>
        <b/>
        <sz val="10"/>
        <rFont val="Arial"/>
        <family val="2"/>
      </rPr>
      <t>Water Report Input</t>
    </r>
    <r>
      <rPr>
        <sz val="10"/>
        <rFont val="Arial"/>
        <family val="2"/>
      </rPr>
      <t xml:space="preserve"> sheet will speed the future use of the program.  </t>
    </r>
  </si>
  <si>
    <r>
      <t xml:space="preserve">Proceed to the </t>
    </r>
    <r>
      <rPr>
        <b/>
        <sz val="10"/>
        <rFont val="Arial"/>
        <family val="2"/>
      </rPr>
      <t>Sparge Acidification</t>
    </r>
    <r>
      <rPr>
        <sz val="10"/>
        <rFont val="Arial"/>
        <family val="2"/>
      </rPr>
      <t xml:space="preserve"> sheet to calculate the quantity of acid needed to properly adjust water alkalinity for sparging.</t>
    </r>
  </si>
  <si>
    <t>**Things to Check when your Water Report does not balance**</t>
  </si>
  <si>
    <r>
      <t xml:space="preserve">If the calculated Alkalinity value does not agree with the Alkalinity presented in the Water Report, adjust the Bicarbonate content on the </t>
    </r>
    <r>
      <rPr>
        <b/>
        <sz val="10"/>
        <rFont val="Arial"/>
        <family val="2"/>
      </rPr>
      <t>Water Report Input</t>
    </r>
    <r>
      <rPr>
        <sz val="10"/>
        <rFont val="Arial"/>
        <family val="2"/>
      </rPr>
      <t xml:space="preserve"> sheet to better match the reported value.  </t>
    </r>
  </si>
  <si>
    <r>
      <t xml:space="preserve">Acidification of brewing water to reduce alkalinity can be difficult to perform accurately without a good tool.  The adjustment of sparging water alkalinity is important for producing good brewing results.   Proper pH and temperature of sparging water will help reduce tannin extraction.   The </t>
    </r>
    <r>
      <rPr>
        <b/>
        <sz val="10"/>
        <rFont val="Arial"/>
        <family val="2"/>
      </rPr>
      <t>recommended maximums for pH and temperature</t>
    </r>
    <r>
      <rPr>
        <sz val="10"/>
        <rFont val="Arial"/>
        <family val="2"/>
      </rPr>
      <t xml:space="preserve"> of sparging water to reduce tannin and silicate extraction are </t>
    </r>
    <r>
      <rPr>
        <b/>
        <sz val="10"/>
        <rFont val="Arial"/>
        <family val="2"/>
      </rPr>
      <t>6.0 and 170F (76C)</t>
    </r>
    <r>
      <rPr>
        <sz val="10"/>
        <rFont val="Arial"/>
        <family val="2"/>
      </rPr>
      <t>, respectively.</t>
    </r>
  </si>
  <si>
    <r>
      <t xml:space="preserve">If only RO or Distilled Water is used for brewing, it may not be necessary to acidify the sparge water since RO and Distilled water already have low alkalinity.  Acidification of sparge water is only needed when water supply alkalinity is moderate or high.  pH targets for acidification only serve as indicators of low alkalinity.  </t>
    </r>
    <r>
      <rPr>
        <b/>
        <sz val="10"/>
        <rFont val="Arial"/>
        <family val="2"/>
      </rPr>
      <t>Sparging water alkalinity reduction is the real goal of acidification, not pH adjustment</t>
    </r>
    <r>
      <rPr>
        <sz val="10"/>
        <rFont val="Arial"/>
        <family val="2"/>
      </rPr>
      <t>.  When the starting water alkalinity is less than about 25 ppm, then further acidification should not be necessary.</t>
    </r>
  </si>
  <si>
    <r>
      <t xml:space="preserve">If the </t>
    </r>
    <r>
      <rPr>
        <b/>
        <sz val="10"/>
        <rFont val="Arial"/>
        <family val="2"/>
      </rPr>
      <t xml:space="preserve">Starting Water pH </t>
    </r>
    <r>
      <rPr>
        <sz val="10"/>
        <rFont val="Arial"/>
        <family val="2"/>
      </rPr>
      <t xml:space="preserve">is not known, you can assume a relatively neutral pH between 7 and 8 without much impact to the acidification results.  The </t>
    </r>
    <r>
      <rPr>
        <b/>
        <sz val="10"/>
        <rFont val="Arial"/>
        <family val="2"/>
      </rPr>
      <t>Target Water pH</t>
    </r>
    <r>
      <rPr>
        <sz val="10"/>
        <rFont val="Arial"/>
        <family val="2"/>
      </rPr>
      <t xml:space="preserve"> is also entered here.  Although the pH of sparging water is not the primary concern, it is the parameter used to adjust the sparging water acidification. The </t>
    </r>
    <r>
      <rPr>
        <b/>
        <sz val="10"/>
        <rFont val="Arial"/>
        <family val="2"/>
      </rPr>
      <t>Target Water pH</t>
    </r>
    <r>
      <rPr>
        <sz val="10"/>
        <rFont val="Arial"/>
        <family val="2"/>
      </rPr>
      <t xml:space="preserve"> for sparge water generally ranges between 5.5 and 6.0.  </t>
    </r>
  </si>
  <si>
    <r>
      <t xml:space="preserve">The </t>
    </r>
    <r>
      <rPr>
        <b/>
        <sz val="10"/>
        <rFont val="Arial"/>
        <family val="2"/>
      </rPr>
      <t>Outputs</t>
    </r>
    <r>
      <rPr>
        <sz val="10"/>
        <rFont val="Arial"/>
        <family val="2"/>
      </rPr>
      <t xml:space="preserve"> section on the </t>
    </r>
    <r>
      <rPr>
        <b/>
        <sz val="10"/>
        <rFont val="Arial"/>
        <family val="2"/>
      </rPr>
      <t>Sparge Acidification</t>
    </r>
    <r>
      <rPr>
        <sz val="10"/>
        <rFont val="Arial"/>
        <family val="2"/>
      </rPr>
      <t xml:space="preserve"> sheet reports the quantity of the specified acid needed to bring the water to the desired pH and alkalinity.  If the specified acid is in solid form, the acid amount is provided as a mass.  If the specified acid is in liquid form, the acid amount is provided as a volume.  A conversion from milliliters (mL) to teaspoons (tsp) is provided for user convenience. If the </t>
    </r>
    <r>
      <rPr>
        <b/>
        <sz val="10"/>
        <rFont val="Arial"/>
        <family val="2"/>
      </rPr>
      <t xml:space="preserve">Water Volume </t>
    </r>
    <r>
      <rPr>
        <sz val="10"/>
        <rFont val="Arial"/>
        <family val="2"/>
      </rPr>
      <t xml:space="preserve">setting is </t>
    </r>
    <r>
      <rPr>
        <b/>
        <sz val="10"/>
        <rFont val="Arial"/>
        <family val="2"/>
      </rPr>
      <t>1</t>
    </r>
    <r>
      <rPr>
        <sz val="10"/>
        <rFont val="Arial"/>
        <family val="2"/>
      </rPr>
      <t xml:space="preserve">, the acid amounts shown on the </t>
    </r>
    <r>
      <rPr>
        <b/>
        <sz val="10"/>
        <rFont val="Arial"/>
        <family val="2"/>
      </rPr>
      <t>Sparge Acidificaton</t>
    </r>
    <r>
      <rPr>
        <sz val="10"/>
        <rFont val="Arial"/>
        <family val="2"/>
      </rPr>
      <t xml:space="preserve"> sheet are for </t>
    </r>
    <r>
      <rPr>
        <b/>
        <sz val="10"/>
        <rFont val="Arial"/>
        <family val="2"/>
      </rPr>
      <t>1</t>
    </r>
    <r>
      <rPr>
        <sz val="10"/>
        <rFont val="Arial"/>
        <family val="2"/>
      </rPr>
      <t xml:space="preserve"> unit (gallon or liter) of water. The </t>
    </r>
    <r>
      <rPr>
        <b/>
        <sz val="10"/>
        <rFont val="Arial"/>
        <family val="2"/>
      </rPr>
      <t xml:space="preserve">total </t>
    </r>
    <r>
      <rPr>
        <sz val="10"/>
        <rFont val="Arial"/>
        <family val="2"/>
      </rPr>
      <t xml:space="preserve">acid additions for the </t>
    </r>
    <r>
      <rPr>
        <b/>
        <sz val="10"/>
        <rFont val="Arial"/>
        <family val="2"/>
      </rPr>
      <t>total</t>
    </r>
    <r>
      <rPr>
        <sz val="10"/>
        <rFont val="Arial"/>
        <family val="2"/>
      </rPr>
      <t xml:space="preserve"> sparging water volume are correctly adjusted on the </t>
    </r>
    <r>
      <rPr>
        <b/>
        <sz val="10"/>
        <rFont val="Arial"/>
        <family val="2"/>
      </rPr>
      <t xml:space="preserve">Water Adjustment </t>
    </r>
    <r>
      <rPr>
        <sz val="10"/>
        <rFont val="Arial"/>
        <family val="2"/>
      </rPr>
      <t xml:space="preserve">and </t>
    </r>
    <r>
      <rPr>
        <b/>
        <sz val="10"/>
        <rFont val="Arial"/>
        <family val="2"/>
      </rPr>
      <t>Adjustment Summary</t>
    </r>
    <r>
      <rPr>
        <sz val="10"/>
        <rFont val="Arial"/>
        <family val="2"/>
      </rPr>
      <t xml:space="preserve"> sheets for the water volumes entered there. </t>
    </r>
  </si>
  <si>
    <r>
      <rPr>
        <b/>
        <sz val="10"/>
        <rFont val="Arial"/>
        <family val="2"/>
      </rPr>
      <t>Grain Type</t>
    </r>
    <r>
      <rPr>
        <sz val="10"/>
        <rFont val="Arial"/>
        <family val="2"/>
      </rPr>
      <t xml:space="preserve">: For each grain, use the </t>
    </r>
    <r>
      <rPr>
        <b/>
        <sz val="10"/>
        <color indexed="45"/>
        <rFont val="Arial"/>
        <family val="2"/>
      </rPr>
      <t>Pink</t>
    </r>
    <r>
      <rPr>
        <sz val="10"/>
        <rFont val="Arial"/>
        <family val="2"/>
      </rPr>
      <t xml:space="preserve"> </t>
    </r>
    <r>
      <rPr>
        <b/>
        <sz val="10"/>
        <rFont val="Arial"/>
        <family val="2"/>
      </rPr>
      <t>drop-down boxes</t>
    </r>
    <r>
      <rPr>
        <sz val="10"/>
        <rFont val="Arial"/>
        <family val="2"/>
      </rPr>
      <t xml:space="preserve"> to signify what type of grain is on that line (</t>
    </r>
    <r>
      <rPr>
        <b/>
        <sz val="10"/>
        <rFont val="Arial"/>
        <family val="2"/>
      </rPr>
      <t>Base Malt, Crystal Malt, Roast Malt, or Acid Malt</t>
    </r>
    <r>
      <rPr>
        <sz val="10"/>
        <rFont val="Arial"/>
        <family val="2"/>
      </rPr>
      <t>).  This selection is important since each category of malt has differing acidity versus grain color characteristics.  Grains with color greater than about 180 Lovibond should be entered as Roast Malts.  Be aware that these rules are not always true and some grains may be better represented with another grain-type setting. Grains with color lower than 478 EBC (180 Lovibond) should typically be entered as Base or Crystal Malts.  Acid Malt is also referred to as Saurermalt.</t>
    </r>
  </si>
  <si>
    <r>
      <t xml:space="preserve">The </t>
    </r>
    <r>
      <rPr>
        <b/>
        <sz val="10"/>
        <rFont val="Arial"/>
        <family val="2"/>
      </rPr>
      <t xml:space="preserve">Supporter's version </t>
    </r>
    <r>
      <rPr>
        <sz val="10"/>
        <rFont val="Arial"/>
        <family val="2"/>
      </rPr>
      <t>of</t>
    </r>
    <r>
      <rPr>
        <b/>
        <sz val="10"/>
        <rFont val="Arial"/>
        <family val="2"/>
      </rPr>
      <t xml:space="preserve"> Bru'n Water </t>
    </r>
    <r>
      <rPr>
        <sz val="10"/>
        <rFont val="Arial"/>
        <family val="2"/>
      </rPr>
      <t xml:space="preserve">includes the ability to reserve crystal malts or roasted grains from the mash to improve the mashing pH. That version also includes the ability to adjust the strength setting of Acid Malt so that it better reflects the pH adjustment it creates.  </t>
    </r>
  </si>
  <si>
    <r>
      <t xml:space="preserve">A wide range of target water profiles are available in the </t>
    </r>
    <r>
      <rPr>
        <b/>
        <sz val="10"/>
        <color indexed="45"/>
        <rFont val="Arial"/>
        <family val="2"/>
      </rPr>
      <t>Pink</t>
    </r>
    <r>
      <rPr>
        <sz val="10"/>
        <rFont val="Arial"/>
        <family val="2"/>
      </rPr>
      <t xml:space="preserve"> drop-down selector box to suit a variety of beer styles.  These water profiles have been thoroughly researched and represent accurate and balanced ion concentrations for either the brewing center location or the beer style.  Unfortunately, water profiles previously published in both print and electronic resources have had serious errors in ion content and ionic balance and cannot always be considered accurate or appropriate.  The water profiles presented in this program provide the brewer with the best information available.  </t>
    </r>
  </si>
  <si>
    <r>
      <t xml:space="preserve">A variety of minerals used for water chemistry adjustment are referenced in the spreadsheet.  Vary the mineral amounts and compare the </t>
    </r>
    <r>
      <rPr>
        <b/>
        <sz val="10"/>
        <rFont val="Arial"/>
        <family val="2"/>
      </rPr>
      <t xml:space="preserve">Target Water Adjustment </t>
    </r>
    <r>
      <rPr>
        <sz val="10"/>
        <rFont val="Arial"/>
        <family val="2"/>
      </rPr>
      <t xml:space="preserve">and </t>
    </r>
    <r>
      <rPr>
        <b/>
        <sz val="10"/>
        <rFont val="Arial"/>
        <family val="2"/>
      </rPr>
      <t>Actual Water Adjustment</t>
    </r>
    <r>
      <rPr>
        <sz val="10"/>
        <rFont val="Arial"/>
        <family val="2"/>
      </rPr>
      <t xml:space="preserve"> results to find the combination of minerals that best approximate the </t>
    </r>
    <r>
      <rPr>
        <b/>
        <sz val="10"/>
        <rFont val="Arial"/>
        <family val="2"/>
      </rPr>
      <t>Desired Water Profile.</t>
    </r>
    <r>
      <rPr>
        <sz val="10"/>
        <rFont val="Arial"/>
        <family val="2"/>
      </rPr>
      <t xml:space="preserve">  When using </t>
    </r>
    <r>
      <rPr>
        <b/>
        <sz val="10"/>
        <rFont val="Arial"/>
        <family val="2"/>
      </rPr>
      <t>Excel</t>
    </r>
    <r>
      <rPr>
        <sz val="10"/>
        <rFont val="Arial"/>
        <family val="2"/>
      </rPr>
      <t xml:space="preserve"> to run </t>
    </r>
    <r>
      <rPr>
        <b/>
        <sz val="10"/>
        <rFont val="Arial"/>
        <family val="2"/>
      </rPr>
      <t>Bru'n Water</t>
    </r>
    <r>
      <rPr>
        <sz val="10"/>
        <rFont val="Arial"/>
        <family val="2"/>
      </rPr>
      <t xml:space="preserve">, the </t>
    </r>
    <r>
      <rPr>
        <b/>
        <sz val="10"/>
        <rFont val="Arial"/>
        <family val="2"/>
      </rPr>
      <t xml:space="preserve">Target </t>
    </r>
    <r>
      <rPr>
        <sz val="10"/>
        <rFont val="Arial"/>
        <family val="2"/>
      </rPr>
      <t xml:space="preserve">and </t>
    </r>
    <r>
      <rPr>
        <b/>
        <sz val="10"/>
        <rFont val="Arial"/>
        <family val="2"/>
      </rPr>
      <t>Actual</t>
    </r>
    <r>
      <rPr>
        <sz val="10"/>
        <rFont val="Arial"/>
        <family val="2"/>
      </rPr>
      <t xml:space="preserve"> adjustment cells will turn </t>
    </r>
    <r>
      <rPr>
        <b/>
        <sz val="10"/>
        <color indexed="17"/>
        <rFont val="Arial"/>
        <family val="2"/>
      </rPr>
      <t xml:space="preserve">GREEN </t>
    </r>
    <r>
      <rPr>
        <sz val="10"/>
        <rFont val="Arial"/>
        <family val="2"/>
      </rPr>
      <t xml:space="preserve">when the values are within 10 ppm of each other.  You should not be too concerned with a difference greater than </t>
    </r>
    <r>
      <rPr>
        <b/>
        <sz val="10"/>
        <rFont val="Arial"/>
        <family val="2"/>
      </rPr>
      <t>10 ppm</t>
    </r>
    <r>
      <rPr>
        <sz val="10"/>
        <rFont val="Arial"/>
        <family val="2"/>
      </rPr>
      <t xml:space="preserve">, but that is a reasonable target range.  In general, you should use a lower than targeted concentration when they have difficulty in finding the correct combination of minerals to add to meet the targeted concentrations.  </t>
    </r>
  </si>
  <si>
    <r>
      <rPr>
        <b/>
        <sz val="10"/>
        <rFont val="Arial"/>
        <family val="2"/>
      </rPr>
      <t>Working with Calcium Chloride</t>
    </r>
    <r>
      <rPr>
        <sz val="10"/>
        <rFont val="Arial"/>
        <family val="2"/>
      </rPr>
      <t xml:space="preserve">: Calcium chloride can easily absorb moisture from the air and alter the density of the solid calcium chloride mineral. In addition, calcium chloride is commonly available in anhydrous (no water) and dihydrate (2 water molecule) forms. This version of </t>
    </r>
    <r>
      <rPr>
        <b/>
        <sz val="10"/>
        <rFont val="Arial"/>
        <family val="2"/>
      </rPr>
      <t>Bru'n Water</t>
    </r>
    <r>
      <rPr>
        <sz val="10"/>
        <rFont val="Arial"/>
        <family val="2"/>
      </rPr>
      <t xml:space="preserve"> assumes your calcium chloride is in the anhydrous form which helps you avoid overdosing with calcium or chloride.  Since the mineral can easily pick up moisture and alter its density, which subsequently changes how much calcium chloride is actually added to the water, an alternative is to use a calcium chloride solution. Calcium chloride solution strength is more consistent when it is stored in an air-tight container. The </t>
    </r>
    <r>
      <rPr>
        <b/>
        <sz val="10"/>
        <rFont val="Arial"/>
        <family val="2"/>
      </rPr>
      <t>Supporter's version</t>
    </r>
    <r>
      <rPr>
        <sz val="10"/>
        <rFont val="Arial"/>
        <family val="2"/>
      </rPr>
      <t xml:space="preserve"> of </t>
    </r>
    <r>
      <rPr>
        <b/>
        <sz val="10"/>
        <rFont val="Arial"/>
        <family val="2"/>
      </rPr>
      <t>Bru'n Water</t>
    </r>
    <r>
      <rPr>
        <sz val="10"/>
        <rFont val="Arial"/>
        <family val="2"/>
      </rPr>
      <t xml:space="preserve"> includes the capability to select anhydrous, dihydrate, and liquid forms of calcium chloride as inputs for your additions.</t>
    </r>
  </si>
  <si>
    <r>
      <t xml:space="preserve">Mineral and acid additions to Mash and Sparge Water are calculated for their water volumes and shown on the </t>
    </r>
    <r>
      <rPr>
        <b/>
        <sz val="10"/>
        <rFont val="Arial"/>
        <family val="2"/>
      </rPr>
      <t>Water Adjustment</t>
    </r>
    <r>
      <rPr>
        <sz val="10"/>
        <rFont val="Arial"/>
        <family val="2"/>
      </rPr>
      <t xml:space="preserve"> sheet.  Sparge additions should not include the alkalinity increasing minerals (Baking Soda, Chalk, &amp; Pickling Lime) since alkalinity is not needed or desirable in the sparge water. When using </t>
    </r>
    <r>
      <rPr>
        <b/>
        <sz val="10"/>
        <rFont val="Arial"/>
        <family val="2"/>
      </rPr>
      <t>Excel</t>
    </r>
    <r>
      <rPr>
        <sz val="10"/>
        <rFont val="Arial"/>
        <family val="2"/>
      </rPr>
      <t xml:space="preserve"> to run </t>
    </r>
    <r>
      <rPr>
        <b/>
        <sz val="10"/>
        <rFont val="Arial"/>
        <family val="2"/>
      </rPr>
      <t>Bru'n Water</t>
    </r>
    <r>
      <rPr>
        <sz val="10"/>
        <rFont val="Arial"/>
        <family val="2"/>
      </rPr>
      <t xml:space="preserve">, the cells for acids and alkalinity increasing minerals will turn </t>
    </r>
    <r>
      <rPr>
        <b/>
        <sz val="10"/>
        <color indexed="10"/>
        <rFont val="Arial"/>
        <family val="2"/>
      </rPr>
      <t xml:space="preserve">Red </t>
    </r>
    <r>
      <rPr>
        <sz val="10"/>
        <rFont val="Arial"/>
        <family val="2"/>
      </rPr>
      <t xml:space="preserve">if both acids and bases are both entered for the mash. Since those materials counteract each other, the brewer should avoid adding both. Remove one of the materials and reduce the quantity of the other to avoid adding both materials. If the grain bill includes Acid malt and an alkalinity increasing mineral is added to the mashing water, the cells will also turn </t>
    </r>
    <r>
      <rPr>
        <b/>
        <sz val="10"/>
        <color indexed="10"/>
        <rFont val="Arial"/>
        <family val="2"/>
      </rPr>
      <t xml:space="preserve">Red </t>
    </r>
    <r>
      <rPr>
        <sz val="10"/>
        <rFont val="Arial"/>
        <family val="2"/>
      </rPr>
      <t xml:space="preserve">to warn the brewer. </t>
    </r>
  </si>
  <si>
    <r>
      <rPr>
        <b/>
        <sz val="10"/>
        <rFont val="Arial"/>
        <family val="2"/>
      </rPr>
      <t>Note to previous Bru'n Water users:</t>
    </r>
    <r>
      <rPr>
        <sz val="10"/>
        <rFont val="Arial"/>
        <family val="2"/>
      </rPr>
      <t xml:space="preserve"> References to </t>
    </r>
    <r>
      <rPr>
        <b/>
        <sz val="10"/>
        <rFont val="Arial"/>
        <family val="2"/>
      </rPr>
      <t>Residual Alkalinity</t>
    </r>
    <r>
      <rPr>
        <sz val="10"/>
        <rFont val="Arial"/>
        <family val="2"/>
      </rPr>
      <t xml:space="preserve"> and the </t>
    </r>
    <r>
      <rPr>
        <b/>
        <sz val="10"/>
        <rFont val="Arial"/>
        <family val="2"/>
      </rPr>
      <t>SO4/Cl ratio</t>
    </r>
    <r>
      <rPr>
        <sz val="10"/>
        <rFont val="Arial"/>
        <family val="2"/>
      </rPr>
      <t xml:space="preserve"> have been largely erased from the new version. Those concepts have done a great disservice to brewing water chemistry and removing them from this version is your first step to ridding them from your brewing practice. We extend our apologies if you felt they were useful. </t>
    </r>
  </si>
  <si>
    <r>
      <rPr>
        <sz val="10"/>
        <rFont val="Arial"/>
        <family val="2"/>
      </rPr>
      <t xml:space="preserve">2. Water reports can be difficult to understand and they sometimes have errors.  A warning will display on the </t>
    </r>
    <r>
      <rPr>
        <b/>
        <sz val="10"/>
        <rFont val="Arial"/>
        <family val="2"/>
      </rPr>
      <t xml:space="preserve">Water Report Input </t>
    </r>
    <r>
      <rPr>
        <sz val="10"/>
        <rFont val="Arial"/>
        <family val="2"/>
      </rPr>
      <t>sheet</t>
    </r>
    <r>
      <rPr>
        <b/>
        <sz val="10"/>
        <rFont val="Arial"/>
        <family val="2"/>
      </rPr>
      <t xml:space="preserve"> </t>
    </r>
    <r>
      <rPr>
        <sz val="10"/>
        <rFont val="Arial"/>
        <family val="2"/>
      </rPr>
      <t xml:space="preserve">if the ion inputs are out of balance.  If the warning is displayed, double check the reporting units from the water report and convert any quantities that are not reported in actual ppm or mg/L units for each ion. Sometimes, water reports provide information in units other than ppm or mg/L and those values need to be converted. For example: (not as ppm as CaCO3, or not as Sulfate as Sulfur (SO4-S), or not as Nitrate as Nitrogen (N03-N)  ). There is a </t>
    </r>
    <r>
      <rPr>
        <b/>
        <sz val="10"/>
        <rFont val="Arial"/>
        <family val="2"/>
      </rPr>
      <t xml:space="preserve">Conversion tool </t>
    </r>
    <r>
      <rPr>
        <sz val="10"/>
        <rFont val="Arial"/>
        <family val="2"/>
      </rPr>
      <t xml:space="preserve">at the bottom of the </t>
    </r>
    <r>
      <rPr>
        <b/>
        <sz val="10"/>
        <rFont val="Arial"/>
        <family val="2"/>
      </rPr>
      <t xml:space="preserve">Water Report Input </t>
    </r>
    <r>
      <rPr>
        <sz val="10"/>
        <rFont val="Arial"/>
        <family val="2"/>
      </rPr>
      <t xml:space="preserve">sheet to aid the brewer in converting reported values to their actual ionic concentrations. For accurate results, the ionic content of your water must be known and entered properly. The ion balance warning will disappear when the input is reasonably balanced. </t>
    </r>
    <r>
      <rPr>
        <b/>
        <sz val="10"/>
        <rFont val="Arial"/>
        <family val="2"/>
      </rPr>
      <t>Be sure to dechlorinate your brewing water if you get your water from a municipal supply!</t>
    </r>
  </si>
  <si>
    <r>
      <t xml:space="preserve">            The first thing needed for brewing water analysis is to know your water supply characteristics and ion concentrations.  Of course, you want a water supply that is safe to drink and tastes good.  Water that leaves black, brown, or red water staining may be an indication that the water will need additional treatment to be suitable for brewing.  Water that has been softened by typical salt-based water softeners (ion exchange) is not typically desirable for brewing due to several factors including:  </t>
    </r>
    <r>
      <rPr>
        <b/>
        <sz val="10"/>
        <rFont val="Arial"/>
        <family val="2"/>
      </rPr>
      <t>elevated sodium or potassium content, low calcium and magnesium content, while still containing excessive alkalinity.</t>
    </r>
    <r>
      <rPr>
        <sz val="10"/>
        <rFont val="Arial"/>
        <family val="2"/>
      </rPr>
      <t xml:space="preserve">   Brewers with softened water may find that obtaining their brewing water from a point upstream of their softener unit will produce better brewing results.  An exception is if the raw water has iron or manganese at perceptible levels.  Hard water is not typically an obstacle to brewing good beer.  However, alkalinity is a problem typical to many brewers. </t>
    </r>
    <r>
      <rPr>
        <b/>
        <sz val="10"/>
        <rFont val="Arial"/>
        <family val="2"/>
      </rPr>
      <t xml:space="preserve"> Ion-exchange water softeners do not affect alkalinity significantly and the resulting water is often poorly suited to brewing.</t>
    </r>
  </si>
  <si>
    <r>
      <t xml:space="preserve">Using the minerals and acids the brewer has on hand, add quantities of those minerals and acids on a trial and error basis in the </t>
    </r>
    <r>
      <rPr>
        <b/>
        <sz val="10"/>
        <color indexed="62"/>
        <rFont val="Arial"/>
        <family val="2"/>
      </rPr>
      <t>BLUE</t>
    </r>
    <r>
      <rPr>
        <sz val="10"/>
        <rFont val="Arial"/>
        <family val="2"/>
      </rPr>
      <t xml:space="preserve"> cells under the </t>
    </r>
    <r>
      <rPr>
        <b/>
        <sz val="10"/>
        <rFont val="Arial"/>
        <family val="2"/>
      </rPr>
      <t>Water Additions</t>
    </r>
    <r>
      <rPr>
        <sz val="10"/>
        <rFont val="Arial"/>
        <family val="2"/>
      </rPr>
      <t xml:space="preserve"> area until acceptable agreement between the </t>
    </r>
    <r>
      <rPr>
        <b/>
        <sz val="10"/>
        <rFont val="Arial"/>
        <family val="2"/>
      </rPr>
      <t xml:space="preserve">Target </t>
    </r>
    <r>
      <rPr>
        <sz val="10"/>
        <rFont val="Arial"/>
        <family val="2"/>
      </rPr>
      <t xml:space="preserve">and </t>
    </r>
    <r>
      <rPr>
        <b/>
        <sz val="10"/>
        <rFont val="Arial"/>
        <family val="2"/>
      </rPr>
      <t>Actual</t>
    </r>
    <r>
      <rPr>
        <sz val="10"/>
        <rFont val="Arial"/>
        <family val="2"/>
      </rPr>
      <t xml:space="preserve"> Water adjustments is achieved.    </t>
    </r>
  </si>
  <si>
    <t>baking soda alkalinity fixed</t>
  </si>
  <si>
    <r>
      <t xml:space="preserve">Copyright © 2020 </t>
    </r>
    <r>
      <rPr>
        <i/>
        <sz val="8"/>
        <rFont val="Arial Narrow"/>
        <family val="2"/>
      </rPr>
      <t>Martin Brungard</t>
    </r>
    <r>
      <rPr>
        <sz val="8"/>
        <rFont val="Arial Narrow"/>
        <family val="2"/>
      </rPr>
      <t>. All rights reserved. Reproduction in whole or in part in any form or medium without the express written permission of Martin Brungard, is prohibited. Bru'n Water is not Freeware or Shareware and it is illegal to distribute or transfer this program in any form except by Martin Brungard.</t>
    </r>
  </si>
  <si>
    <t xml:space="preserve">https://www.brunwater.com/ </t>
  </si>
  <si>
    <t>Bru'n Water v. 1.25</t>
  </si>
  <si>
    <r>
      <t xml:space="preserve">           Martin Brungard is a civil and environmental engineer with over 35 years of professional experience.  His practice area focuses on water resources engineering and he has been named a Diplomate of Water Resources Engineering by the American Academy of Water Resources Engineers.  His engineering practice includes providing engineering consulting services to municipalities and major and craft brewers across the United States.  Martin provides consulting services to brewery clients through his Bru'n Solutions company which is found at </t>
    </r>
    <r>
      <rPr>
        <b/>
        <sz val="10"/>
        <rFont val="Arial"/>
        <family val="2"/>
      </rPr>
      <t>www.Brunsolutions.com</t>
    </r>
    <r>
      <rPr>
        <sz val="10"/>
        <rFont val="Arial"/>
        <family val="2"/>
      </rPr>
      <t>.  He has been homebrewing since 1999, is a member of the American Homebrewers Association, and has attained the rank of National Judge from the Beer Judge Certification Program (BJCP).  Comments and concerns regarding this program may be sent to the author at the link below</t>
    </r>
  </si>
  <si>
    <r>
      <t xml:space="preserve">1. Go to </t>
    </r>
    <r>
      <rPr>
        <b/>
        <sz val="10"/>
        <rFont val="Arial"/>
        <family val="2"/>
      </rPr>
      <t>Excel Options</t>
    </r>
    <r>
      <rPr>
        <sz val="10"/>
        <rFont val="Arial"/>
        <family val="2"/>
      </rPr>
      <t xml:space="preserve"> and its </t>
    </r>
    <r>
      <rPr>
        <b/>
        <sz val="10"/>
        <rFont val="Arial"/>
        <family val="2"/>
      </rPr>
      <t>Formulas</t>
    </r>
    <r>
      <rPr>
        <sz val="10"/>
        <rFont val="Arial"/>
        <family val="2"/>
      </rPr>
      <t xml:space="preserve"> subdirectory and be sure that </t>
    </r>
    <r>
      <rPr>
        <b/>
        <sz val="10"/>
        <rFont val="Arial"/>
        <family val="2"/>
      </rPr>
      <t>Automatic</t>
    </r>
    <r>
      <rPr>
        <sz val="10"/>
        <rFont val="Arial"/>
        <family val="2"/>
      </rPr>
      <t xml:space="preserve"> calculation is selected and </t>
    </r>
    <r>
      <rPr>
        <b/>
        <sz val="10"/>
        <rFont val="Arial"/>
        <family val="2"/>
      </rPr>
      <t>Enable Iterative Calculation</t>
    </r>
    <r>
      <rPr>
        <sz val="10"/>
        <rFont val="Arial"/>
        <family val="2"/>
      </rPr>
      <t xml:space="preserve"> is also check-marked. These ensure that the changes to your inputs are instantly incorporated in the answers. The iterative calculation feature is necessary since the program uses the results of the calculations to refine its answers and this creates a </t>
    </r>
    <r>
      <rPr>
        <b/>
        <sz val="10"/>
        <rFont val="Arial"/>
        <family val="2"/>
      </rPr>
      <t>circular reference</t>
    </r>
    <r>
      <rPr>
        <sz val="10"/>
        <rFont val="Arial"/>
        <family val="2"/>
      </rPr>
      <t xml:space="preserve"> warning in Excel. Enabling the iterative calculation gets rid of the warning and allows the program to function properly.</t>
    </r>
  </si>
  <si>
    <r>
      <t xml:space="preserve">4. The water profile used for brewing should be adjusted to produce a proper mash pH and produce desirable beer taste.  Select a target brewing water profile on the </t>
    </r>
    <r>
      <rPr>
        <b/>
        <sz val="10"/>
        <rFont val="Arial"/>
        <family val="2"/>
      </rPr>
      <t xml:space="preserve">Water Adjustment </t>
    </r>
    <r>
      <rPr>
        <sz val="10"/>
        <rFont val="Arial"/>
        <family val="2"/>
      </rPr>
      <t xml:space="preserve">sheet and experiment with mineral and acid additions and/or water dilution to produce that desired water profile.  </t>
    </r>
    <r>
      <rPr>
        <b/>
        <sz val="10"/>
        <rFont val="Arial"/>
        <family val="2"/>
      </rPr>
      <t>An exact match is NOT required</t>
    </r>
    <r>
      <rPr>
        <sz val="10"/>
        <rFont val="Arial"/>
        <family val="2"/>
      </rPr>
      <t xml:space="preserve"> between your adjusted water and the suggested water profiles.  Getting within +/-10 ppm of the target should be OK.  DO NOT TARGET the bicarbonate value shown in water profiles. The bicarbonate content shown for the water profile is only what might exist to balance the water profile.  The bicarbonate content of your mashing water may need to be higher or lower than the value shown in the water profile.  </t>
    </r>
    <r>
      <rPr>
        <b/>
        <sz val="10"/>
        <color indexed="10"/>
        <rFont val="Arial"/>
        <family val="2"/>
      </rPr>
      <t>Adjust the bicarbonate value as needed to produce your desired mash pH.</t>
    </r>
    <r>
      <rPr>
        <sz val="10"/>
        <color indexed="10"/>
        <rFont val="Arial"/>
        <family val="2"/>
      </rPr>
      <t xml:space="preserve"> </t>
    </r>
    <r>
      <rPr>
        <sz val="10"/>
        <rFont val="Arial"/>
        <family val="2"/>
      </rPr>
      <t xml:space="preserve"> The final bicarbonate content of the mashing water may vary based on the acidity of your grain bill.  </t>
    </r>
  </si>
  <si>
    <r>
      <t xml:space="preserve">This program </t>
    </r>
    <r>
      <rPr>
        <b/>
        <sz val="10"/>
        <rFont val="Arial"/>
        <family val="2"/>
      </rPr>
      <t>does not</t>
    </r>
    <r>
      <rPr>
        <sz val="10"/>
        <rFont val="Arial"/>
        <family val="2"/>
      </rPr>
      <t xml:space="preserve"> use </t>
    </r>
    <r>
      <rPr>
        <b/>
        <sz val="10"/>
        <rFont val="Arial"/>
        <family val="2"/>
      </rPr>
      <t>Macros</t>
    </r>
    <r>
      <rPr>
        <sz val="10"/>
        <rFont val="Arial"/>
        <family val="2"/>
      </rPr>
      <t xml:space="preserve"> to operate effectively. There should be no warnings or notifications for Macros when operating Bru'n Water.</t>
    </r>
  </si>
  <si>
    <r>
      <t xml:space="preserve">The </t>
    </r>
    <r>
      <rPr>
        <b/>
        <sz val="10"/>
        <rFont val="Arial"/>
        <family val="2"/>
      </rPr>
      <t>minimum water information</t>
    </r>
    <r>
      <rPr>
        <sz val="10"/>
        <rFont val="Arial"/>
        <family val="2"/>
      </rPr>
      <t xml:space="preserve"> needed to properly use </t>
    </r>
    <r>
      <rPr>
        <b/>
        <sz val="10"/>
        <rFont val="Arial"/>
        <family val="2"/>
      </rPr>
      <t>Bru'n Water</t>
    </r>
    <r>
      <rPr>
        <sz val="10"/>
        <rFont val="Arial"/>
        <family val="2"/>
      </rPr>
      <t xml:space="preserve"> includes the following:  </t>
    </r>
    <r>
      <rPr>
        <b/>
        <sz val="10"/>
        <rFont val="Arial"/>
        <family val="2"/>
      </rPr>
      <t xml:space="preserve">Calcium, Magnesium, Sodium, Alkalinity or Bicarbonate, Sulfate, and Chloride </t>
    </r>
    <r>
      <rPr>
        <sz val="10"/>
        <rFont val="Arial"/>
        <family val="2"/>
      </rPr>
      <t xml:space="preserve">concentrations.  These are the most important components to brewing and they are known as </t>
    </r>
    <r>
      <rPr>
        <b/>
        <sz val="10"/>
        <rFont val="Arial"/>
        <family val="2"/>
      </rPr>
      <t>Secondary Water Quality</t>
    </r>
    <r>
      <rPr>
        <sz val="10"/>
        <rFont val="Arial"/>
        <family val="2"/>
      </rPr>
      <t xml:space="preserve"> parameters or </t>
    </r>
    <r>
      <rPr>
        <b/>
        <sz val="10"/>
        <rFont val="Arial"/>
        <family val="2"/>
      </rPr>
      <t>Inorganic</t>
    </r>
    <r>
      <rPr>
        <sz val="10"/>
        <rFont val="Arial"/>
        <family val="2"/>
      </rPr>
      <t xml:space="preserve"> parameters in the water supply profession.  
If the water pH is not known, it can generally be estimated as 8.0 without much error.  If you obtain water from a municipal water supply, you may be able to obtain this information from the water company's </t>
    </r>
    <r>
      <rPr>
        <b/>
        <sz val="10"/>
        <rFont val="Arial"/>
        <family val="2"/>
      </rPr>
      <t>water quality testing report</t>
    </r>
    <r>
      <rPr>
        <sz val="10"/>
        <rFont val="Arial"/>
        <family val="2"/>
      </rPr>
      <t xml:space="preserve">.  If that information is not readily available or if the water is from a private source, you may need to have the water tested for those parameters.  A suite of tests such as the </t>
    </r>
    <r>
      <rPr>
        <b/>
        <sz val="10"/>
        <rFont val="Arial"/>
        <family val="2"/>
      </rPr>
      <t xml:space="preserve">Household Mineral Test </t>
    </r>
    <r>
      <rPr>
        <sz val="10"/>
        <rFont val="Arial"/>
        <family val="2"/>
      </rPr>
      <t xml:space="preserve">from Ward Labs (wardlab.com) is suitable. ( Sodium, Calcium, Magnesium, Potassium, Carbonate, Bicarbonate, Chloride, Sulfate, Nitrate, pH, Total Hardness, and Total Alkalinity).  Ward Labs is easily accessible to US brewers.  
Brewers in other countries may find a suitable water quality testing laboratory locally.  UK brewers may find Murphy (murphyhomebrew.com) useful excepting that they do not report the water's sodium content.  If only the sodium content is missing from a report, it may be possible to assume that the sodium content is at a level that produces a balanced cation and anion total. Typically, only a small water sample 4 to 8 oz (100 to 200 ml) is required for the testing.  </t>
    </r>
  </si>
  <si>
    <r>
      <t xml:space="preserve">Mineral and acid additions must be measured and added accurately to achieve good brewing results.  Homebrewers should obtain a </t>
    </r>
    <r>
      <rPr>
        <b/>
        <sz val="10"/>
        <rFont val="Arial"/>
        <family val="2"/>
      </rPr>
      <t>scale with an accuracy of at least 0.1 grams</t>
    </r>
    <r>
      <rPr>
        <sz val="10"/>
        <rFont val="Arial"/>
        <family val="2"/>
      </rPr>
      <t xml:space="preserve"> to more accurately measure mineral and acid additions for typical homebrew sized batches.  Craftbrewers brewing larger batches should have a scale with an accuracy of at least 1 gram to accurately measure their additions.  Scales may be mechanical or digital, but their resolution should meet the recommendations above.  An internet search for "</t>
    </r>
    <r>
      <rPr>
        <b/>
        <i/>
        <sz val="10"/>
        <rFont val="Arial"/>
        <family val="2"/>
      </rPr>
      <t>digital scale 0.1"</t>
    </r>
    <r>
      <rPr>
        <sz val="10"/>
        <rFont val="Arial"/>
        <family val="2"/>
      </rPr>
      <t xml:space="preserve"> should reveal there are scales available for under 30 USD.  A scale that can weigh at least 500 grams is recommended so the scale can be used for multiple uses including weighing hop additions.  Higher scale capacity typically increases the cost of the scale, but the durability may also be improved.       </t>
    </r>
  </si>
  <si>
    <r>
      <t xml:space="preserve">Some laboratory test reports provide information on </t>
    </r>
    <r>
      <rPr>
        <b/>
        <sz val="10"/>
        <rFont val="Arial"/>
        <family val="2"/>
      </rPr>
      <t>Total Dissolved Solids</t>
    </r>
    <r>
      <rPr>
        <sz val="10"/>
        <rFont val="Arial"/>
        <family val="2"/>
      </rPr>
      <t xml:space="preserve"> (</t>
    </r>
    <r>
      <rPr>
        <b/>
        <sz val="10"/>
        <rFont val="Arial"/>
        <family val="2"/>
      </rPr>
      <t>TDS</t>
    </r>
    <r>
      <rPr>
        <sz val="10"/>
        <rFont val="Arial"/>
        <family val="2"/>
      </rPr>
      <t xml:space="preserve">).  The </t>
    </r>
    <r>
      <rPr>
        <b/>
        <sz val="10"/>
        <rFont val="Arial"/>
        <family val="2"/>
      </rPr>
      <t>Water Report Input</t>
    </r>
    <r>
      <rPr>
        <sz val="10"/>
        <rFont val="Arial"/>
        <family val="2"/>
      </rPr>
      <t xml:space="preserve"> sheet shows the </t>
    </r>
    <r>
      <rPr>
        <b/>
        <sz val="10"/>
        <rFont val="Arial"/>
        <family val="2"/>
      </rPr>
      <t xml:space="preserve">TDS </t>
    </r>
    <r>
      <rPr>
        <sz val="10"/>
        <rFont val="Arial"/>
        <family val="2"/>
      </rPr>
      <t xml:space="preserve">calculated from the input water parameters for comparison to the laboratory test report.  This comparison may be useful in finding errors in the water report or inputs.  In most cases, the </t>
    </r>
    <r>
      <rPr>
        <b/>
        <sz val="10"/>
        <rFont val="Arial"/>
        <family val="2"/>
      </rPr>
      <t>TDS</t>
    </r>
    <r>
      <rPr>
        <sz val="10"/>
        <rFont val="Arial"/>
        <family val="2"/>
      </rPr>
      <t xml:space="preserve"> value calculated on the </t>
    </r>
    <r>
      <rPr>
        <b/>
        <sz val="10"/>
        <rFont val="Arial"/>
        <family val="2"/>
      </rPr>
      <t>Water Report Input</t>
    </r>
    <r>
      <rPr>
        <sz val="10"/>
        <rFont val="Arial"/>
        <family val="2"/>
      </rPr>
      <t xml:space="preserve"> sheet will be a little lower than the value reported in a lab test report since the water report may include more ion species in their calculation.  
</t>
    </r>
    <r>
      <rPr>
        <b/>
        <sz val="10"/>
        <rFont val="Arial"/>
        <family val="2"/>
      </rPr>
      <t>WARNING:</t>
    </r>
    <r>
      <rPr>
        <sz val="10"/>
        <rFont val="Arial"/>
        <family val="2"/>
      </rPr>
      <t xml:space="preserve"> TDS measurements from a TDS meter are not highly accurate and they may not agree closely with the calculated values. A TDS meter should only be used as a qualitative measurement to determine if the TDS is higher or lower than previous measurements. </t>
    </r>
  </si>
  <si>
    <r>
      <t>Special Note:</t>
    </r>
    <r>
      <rPr>
        <sz val="10"/>
        <rFont val="Arial"/>
        <family val="2"/>
      </rPr>
      <t xml:space="preserve"> It appears that base malts from </t>
    </r>
    <r>
      <rPr>
        <b/>
        <sz val="10"/>
        <rFont val="Arial"/>
        <family val="2"/>
      </rPr>
      <t>Rahr</t>
    </r>
    <r>
      <rPr>
        <sz val="10"/>
        <rFont val="Arial"/>
        <family val="2"/>
      </rPr>
      <t xml:space="preserve"> </t>
    </r>
    <r>
      <rPr>
        <b/>
        <sz val="10"/>
        <rFont val="Arial"/>
        <family val="2"/>
      </rPr>
      <t>Malting</t>
    </r>
    <r>
      <rPr>
        <sz val="10"/>
        <rFont val="Arial"/>
        <family val="2"/>
      </rPr>
      <t xml:space="preserve"> and other maltsters may be pre-acidified by that company and they may provide more acidity than expected for similar base malts.   Other maltsters may also produce base malts that can be more acidic than typical. This may produce a mash pH lower than expected or calculated by this program.  A work-around for this problem is to set the color rating of the malt about 3 Lovibond higher than reported by the maltster to allow the program to calculate the correct acidity.   </t>
    </r>
  </si>
  <si>
    <t xml:space="preserve">Mash pH may be checked about 15 minutes after combining the water and grist.  But for more accurate results, the mash pH should be checked at around 30 to 45 minutes after combining the water and grist.   A calibrated pH meter is the recommended and preferred measurement device.  Always check wort pH in room-temperature samples.  Note: pH strips reportedly indicate the mash pH is about 0.2 to 0.3 units lower than actual.  Therefore, accept a LOWER pH when measuring with strips.  </t>
  </si>
  <si>
    <r>
      <t xml:space="preserve">Some historical water profiles that are suitable for Decarbonation by Boiling are provided in the water choices with their estimated post-boiling ionic content (for example: </t>
    </r>
    <r>
      <rPr>
        <b/>
        <sz val="10"/>
        <rFont val="Arial"/>
        <family val="2"/>
      </rPr>
      <t>(Munich boiled)</t>
    </r>
    <r>
      <rPr>
        <sz val="10"/>
        <rFont val="Arial"/>
        <family val="2"/>
      </rPr>
      <t xml:space="preserve">).  These profiles may be useful for </t>
    </r>
    <r>
      <rPr>
        <b/>
        <sz val="10"/>
        <rFont val="Arial"/>
        <family val="2"/>
      </rPr>
      <t>brewing lighter-colored beers</t>
    </r>
    <r>
      <rPr>
        <sz val="10"/>
        <rFont val="Arial"/>
        <family val="2"/>
      </rPr>
      <t xml:space="preserve"> that may have been brewed in those cities.  Boiling a water with high Temporary Hardness will reduce the bicarbonate content to between 60 and 80 ppm.  For the purpose of these estimates, the upper end of the bicarbonate range (80 ppm)(indicating less effective decarbonation) was used to estimate the post-boiling water that those historic brewers might have been able to attain.  The decarbonation process causes calcium carbonate to precipitate from the water, reducing the concentrations of both calcium and bicarbonate.  The concentrations of the other water profile ions remain as in the original water profiles.  See the </t>
    </r>
    <r>
      <rPr>
        <b/>
        <sz val="10"/>
        <rFont val="Arial"/>
        <family val="2"/>
      </rPr>
      <t>Water Knowledge</t>
    </r>
    <r>
      <rPr>
        <sz val="10"/>
        <rFont val="Arial"/>
        <family val="2"/>
      </rPr>
      <t xml:space="preserve"> site for more information on Decarbonation. </t>
    </r>
  </si>
  <si>
    <r>
      <t xml:space="preserve">Minerals for sparging water can be added to the sparging water prior to sparging or can be added directly to the kettle prior to the boil.  </t>
    </r>
    <r>
      <rPr>
        <b/>
        <sz val="10"/>
        <rFont val="Arial"/>
        <family val="2"/>
      </rPr>
      <t>DO NOT ADD MINERALS AND ACIDS TO THE GRAIN OR MASH SINCE IT IS VERY DIFFICULT TO DISTRIBUTE THOSE ADDITIONS EVENLY THROUGHOUT THE MASH BY MIXING OR STIRRING</t>
    </r>
    <r>
      <rPr>
        <sz val="10"/>
        <rFont val="Arial"/>
        <family val="2"/>
      </rPr>
      <t xml:space="preserve">. Add the minerals and acids to the water prior to adding the grain in order to assure those additions are evenly distributed.  </t>
    </r>
  </si>
  <si>
    <r>
      <t xml:space="preserve">If the </t>
    </r>
    <r>
      <rPr>
        <b/>
        <sz val="10"/>
        <rFont val="Arial"/>
        <family val="2"/>
      </rPr>
      <t>Desired Water Profile</t>
    </r>
    <r>
      <rPr>
        <sz val="10"/>
        <rFont val="Arial"/>
        <family val="2"/>
      </rPr>
      <t xml:space="preserve"> has a significantly lower than desired bicarbonate (HCO</t>
    </r>
    <r>
      <rPr>
        <vertAlign val="subscript"/>
        <sz val="10"/>
        <rFont val="Arial"/>
        <family val="2"/>
      </rPr>
      <t>3</t>
    </r>
    <r>
      <rPr>
        <sz val="10"/>
        <rFont val="Arial"/>
        <family val="2"/>
      </rPr>
      <t xml:space="preserve">) concentration (Alkalinity), then a preferred method to add bicarbonate to mashing water is to add Pickling Lime or Baking Soda since Chalk is difficult to dissolve in water or the mash.  When alkalinity needs to be added to the mash water, Pickling Lime or Baking Soda will provide more certain results.  Care should be exercised when adding Baking Soda since the Sodium concentration should typically not exceed 100 ppm for good brewing results.  ONLY MASHING WATER SHOULD HAVE ITS BICARBONATE CONCENTRATION INCREASED.  </t>
    </r>
    <r>
      <rPr>
        <b/>
        <sz val="10"/>
        <rFont val="Arial"/>
        <family val="2"/>
      </rPr>
      <t>SPARGING WATER NEVER NEEDS ADDED ALKALINITY</t>
    </r>
    <r>
      <rPr>
        <sz val="10"/>
        <rFont val="Arial"/>
        <family val="2"/>
      </rPr>
      <t>.</t>
    </r>
  </si>
  <si>
    <t xml:space="preserve">Copyright © 2020 Martin Brungard. All rights reserved. Reproduction in whole or in part in any form or medium without the express written permission of Martin Brungard, is prohibited.  Any transfer or exchange of this program via any method to anyone other than the original licensee is prohibited.  Transferring, exchanging, or posting images (screen shots) of the program and of the Raw Text Summary sheet is permitted for the purpose of conveying program results to other individuals. The user of this program assumes all responsibility for the operation and results of the program. </t>
  </si>
  <si>
    <t xml:space="preserve">Copyright © 2020 Martin Brungard. All rights reserved. Reproduction in whole or in part in any form or medium without the express written permission of Martin Brungard, is prohibited.  Any transfer or exchange of this program via any method to anyone other than the original licensee is prohibited.  Transferring, exchanging, or posting images (screen shots) of the program and of the Raw Text Summary sheet is permitted for the purpose of conveying program results to other individuals.  The user of this program assumes all responsibility for the operation and results of the program. </t>
  </si>
  <si>
    <t>Bru'n Water v 1.25</t>
  </si>
  <si>
    <r>
      <t xml:space="preserve">Copyright © 2020 </t>
    </r>
    <r>
      <rPr>
        <i/>
        <sz val="8"/>
        <rFont val="Arial Narrow"/>
        <family val="2"/>
      </rPr>
      <t>Martin Brungard</t>
    </r>
    <r>
      <rPr>
        <sz val="8"/>
        <rFont val="Arial Narrow"/>
        <family val="2"/>
      </rPr>
      <t xml:space="preserve">. All rights reserved. Reproduction in whole or in part in any form or medium without the express written permission of Martin Brungard, is prohibited.  Any transfer or exchange of this program via any method to anyone other than the original licensee is prohibited.  Transferring, exchanging, or posting images (screen shots) of the program and of the Raw Text Summary sheet is permitted for the purpose of conveying program results to other individuals.  The user of this program assumes all responsibility for the operation and results of the program.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</si>
</sst>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0000000"/>
    <numFmt numFmtId="167" formatCode="0.000000"/>
    <numFmt numFmtId="168" formatCode="0.00000"/>
  </numFmts>
  <fonts count="101" x14ac:knownFonts="1">
    <font>
      <sz val="10"/>
      <name val="Arial"/>
    </font>
    <font>
      <b/>
      <sz val="10"/>
      <name val="Arial"/>
      <family val="2"/>
    </font>
    <font>
      <b/>
      <sz val="14"/>
      <name val="Arial"/>
      <family val="2"/>
    </font>
    <font>
      <b/>
      <sz val="8"/>
      <color indexed="81"/>
      <name val="Tahoma"/>
      <family val="2"/>
    </font>
    <font>
      <sz val="8"/>
      <color indexed="81"/>
      <name val="Tahoma"/>
      <family val="2"/>
    </font>
    <font>
      <sz val="10"/>
      <name val="Arial"/>
      <family val="2"/>
    </font>
    <font>
      <sz val="10"/>
      <color indexed="10"/>
      <name val="Arial"/>
      <family val="2"/>
    </font>
    <font>
      <sz val="8"/>
      <name val="Arial"/>
      <family val="2"/>
    </font>
    <font>
      <vertAlign val="subscript"/>
      <sz val="10"/>
      <name val="Arial"/>
      <family val="2"/>
    </font>
    <font>
      <b/>
      <sz val="18"/>
      <name val="Arial"/>
      <family val="2"/>
    </font>
    <font>
      <sz val="9"/>
      <color indexed="81"/>
      <name val="Tahoma"/>
      <family val="2"/>
    </font>
    <font>
      <b/>
      <sz val="8"/>
      <name val="Arial"/>
      <family val="2"/>
    </font>
    <font>
      <sz val="8"/>
      <name val="Arial Narrow"/>
      <family val="2"/>
    </font>
    <font>
      <i/>
      <sz val="8"/>
      <name val="Arial Narrow"/>
      <family val="2"/>
    </font>
    <font>
      <sz val="8"/>
      <color indexed="8"/>
      <name val="Arial"/>
      <family val="2"/>
    </font>
    <font>
      <vertAlign val="subscript"/>
      <sz val="8"/>
      <name val="Arial"/>
      <family val="2"/>
    </font>
    <font>
      <sz val="8"/>
      <color indexed="8"/>
      <name val="Arial Narrow"/>
      <family val="2"/>
    </font>
    <font>
      <sz val="14"/>
      <name val="Arial"/>
      <family val="2"/>
    </font>
    <font>
      <sz val="8"/>
      <color indexed="22"/>
      <name val="Arial"/>
      <family val="2"/>
    </font>
    <font>
      <b/>
      <sz val="20"/>
      <name val="Arial"/>
      <family val="2"/>
    </font>
    <font>
      <sz val="8"/>
      <color indexed="9"/>
      <name val="Arial"/>
      <family val="2"/>
    </font>
    <font>
      <b/>
      <sz val="10"/>
      <color indexed="10"/>
      <name val="Arial"/>
      <family val="2"/>
    </font>
    <font>
      <sz val="10"/>
      <color indexed="13"/>
      <name val="Arial"/>
      <family val="2"/>
    </font>
    <font>
      <vertAlign val="superscript"/>
      <sz val="10"/>
      <name val="Arial"/>
      <family val="2"/>
    </font>
    <font>
      <b/>
      <u/>
      <sz val="10"/>
      <name val="Arial"/>
      <family val="2"/>
    </font>
    <font>
      <b/>
      <sz val="9"/>
      <name val="Arial"/>
      <family val="2"/>
    </font>
    <font>
      <b/>
      <sz val="10"/>
      <color indexed="12"/>
      <name val="Arial"/>
      <family val="2"/>
    </font>
    <font>
      <b/>
      <sz val="10"/>
      <color indexed="51"/>
      <name val="Arial"/>
      <family val="2"/>
    </font>
    <font>
      <b/>
      <sz val="16"/>
      <name val="Arial"/>
      <family val="2"/>
    </font>
    <font>
      <sz val="16"/>
      <name val="Arial"/>
      <family val="2"/>
    </font>
    <font>
      <b/>
      <i/>
      <sz val="10"/>
      <name val="Arial"/>
      <family val="2"/>
    </font>
    <font>
      <sz val="8"/>
      <color indexed="12"/>
      <name val="Arial"/>
      <family val="2"/>
    </font>
    <font>
      <b/>
      <sz val="9"/>
      <color indexed="12"/>
      <name val="Arial"/>
      <family val="2"/>
    </font>
    <font>
      <b/>
      <sz val="11"/>
      <name val="Arial"/>
      <family val="2"/>
    </font>
    <font>
      <sz val="9"/>
      <name val="Arial"/>
      <family val="2"/>
    </font>
    <font>
      <vertAlign val="subscript"/>
      <sz val="8"/>
      <color indexed="81"/>
      <name val="Tahoma"/>
      <family val="2"/>
    </font>
    <font>
      <b/>
      <sz val="12"/>
      <name val="Arial"/>
      <family val="2"/>
    </font>
    <font>
      <b/>
      <sz val="10"/>
      <color indexed="30"/>
      <name val="Arial"/>
      <family val="2"/>
    </font>
    <font>
      <b/>
      <sz val="18"/>
      <color indexed="30"/>
      <name val="Arial"/>
      <family val="2"/>
    </font>
    <font>
      <vertAlign val="subscript"/>
      <sz val="9"/>
      <name val="Arial"/>
      <family val="2"/>
    </font>
    <font>
      <b/>
      <sz val="8"/>
      <color indexed="12"/>
      <name val="Arial"/>
      <family val="2"/>
    </font>
    <font>
      <b/>
      <sz val="10"/>
      <color indexed="17"/>
      <name val="Arial"/>
      <family val="2"/>
    </font>
    <font>
      <sz val="12"/>
      <name val="Arial"/>
      <family val="2"/>
    </font>
    <font>
      <sz val="6"/>
      <name val="Arial"/>
      <family val="2"/>
    </font>
    <font>
      <sz val="7"/>
      <name val="Arial"/>
      <family val="2"/>
    </font>
    <font>
      <b/>
      <sz val="7"/>
      <name val="Arial"/>
      <family val="2"/>
    </font>
    <font>
      <b/>
      <vertAlign val="subscript"/>
      <sz val="9"/>
      <name val="Arial"/>
      <family val="2"/>
    </font>
    <font>
      <b/>
      <sz val="22"/>
      <name val="Arial"/>
      <family val="2"/>
    </font>
    <font>
      <b/>
      <sz val="8"/>
      <color indexed="17"/>
      <name val="Tahoma"/>
      <family val="2"/>
    </font>
    <font>
      <b/>
      <sz val="8"/>
      <color indexed="53"/>
      <name val="Tahoma"/>
      <family val="2"/>
    </font>
    <font>
      <b/>
      <sz val="8"/>
      <color indexed="12"/>
      <name val="Tahoma"/>
      <family val="2"/>
    </font>
    <font>
      <b/>
      <sz val="8"/>
      <color indexed="10"/>
      <name val="Tahoma"/>
      <family val="2"/>
    </font>
    <font>
      <sz val="10"/>
      <color indexed="17"/>
      <name val="Arial"/>
      <family val="2"/>
    </font>
    <font>
      <b/>
      <sz val="10"/>
      <color indexed="62"/>
      <name val="Arial"/>
      <family val="2"/>
    </font>
    <font>
      <b/>
      <sz val="10"/>
      <color indexed="40"/>
      <name val="Arial"/>
      <family val="2"/>
    </font>
    <font>
      <sz val="10"/>
      <color indexed="47"/>
      <name val="Arial"/>
      <family val="2"/>
    </font>
    <font>
      <b/>
      <sz val="10"/>
      <color indexed="47"/>
      <name val="Arial"/>
      <family val="2"/>
    </font>
    <font>
      <b/>
      <sz val="10"/>
      <color indexed="52"/>
      <name val="Arial"/>
      <family val="2"/>
    </font>
    <font>
      <b/>
      <sz val="10"/>
      <color indexed="63"/>
      <name val="Arial"/>
      <family val="2"/>
    </font>
    <font>
      <b/>
      <vertAlign val="subscript"/>
      <sz val="10"/>
      <name val="Arial"/>
      <family val="2"/>
    </font>
    <font>
      <sz val="8"/>
      <color indexed="10"/>
      <name val="Tahoma"/>
      <family val="2"/>
    </font>
    <font>
      <b/>
      <u/>
      <sz val="8"/>
      <name val="Arial"/>
      <family val="2"/>
    </font>
    <font>
      <b/>
      <sz val="10"/>
      <color indexed="13"/>
      <name val="Arial"/>
      <family val="2"/>
    </font>
    <font>
      <b/>
      <sz val="10"/>
      <color indexed="29"/>
      <name val="Arial"/>
      <family val="2"/>
    </font>
    <font>
      <b/>
      <sz val="10"/>
      <color indexed="15"/>
      <name val="Arial"/>
      <family val="2"/>
    </font>
    <font>
      <b/>
      <sz val="10"/>
      <color indexed="45"/>
      <name val="Arial"/>
      <family val="2"/>
    </font>
    <font>
      <u/>
      <sz val="11"/>
      <color theme="10"/>
      <name val="Arial"/>
      <family val="2"/>
    </font>
    <font>
      <sz val="10"/>
      <color rgb="FFFF0000"/>
      <name val="Arial"/>
      <family val="2"/>
    </font>
    <font>
      <sz val="8"/>
      <color theme="0"/>
      <name val="Arial"/>
      <family val="2"/>
    </font>
    <font>
      <sz val="8"/>
      <color rgb="FFFF0000"/>
      <name val="Arial"/>
      <family val="2"/>
    </font>
    <font>
      <b/>
      <sz val="8"/>
      <color rgb="FFFF0000"/>
      <name val="Arial"/>
      <family val="2"/>
    </font>
    <font>
      <sz val="10"/>
      <color theme="0"/>
      <name val="Arial"/>
      <family val="2"/>
    </font>
    <font>
      <b/>
      <sz val="10"/>
      <color rgb="FFFF0000"/>
      <name val="Arial"/>
      <family val="2"/>
    </font>
    <font>
      <sz val="8"/>
      <color theme="1"/>
      <name val="Arial"/>
      <family val="2"/>
    </font>
    <font>
      <b/>
      <sz val="9"/>
      <color rgb="FFFF0000"/>
      <name val="Arial"/>
      <family val="2"/>
    </font>
    <font>
      <b/>
      <sz val="10"/>
      <color theme="1"/>
      <name val="Arial"/>
      <family val="2"/>
    </font>
    <font>
      <sz val="10"/>
      <color rgb="FFFFFFFF"/>
      <name val="Arial"/>
      <family val="2"/>
    </font>
    <font>
      <sz val="14"/>
      <color rgb="FFFF0000"/>
      <name val="Arial"/>
      <family val="2"/>
    </font>
    <font>
      <b/>
      <sz val="11"/>
      <color rgb="FF00B0F0"/>
      <name val="Arial"/>
      <family val="2"/>
    </font>
    <font>
      <sz val="8"/>
      <color rgb="FFFF0000"/>
      <name val="Arial Narrow"/>
      <family val="2"/>
    </font>
    <font>
      <b/>
      <sz val="20"/>
      <color theme="10"/>
      <name val="Arial"/>
      <family val="2"/>
    </font>
    <font>
      <sz val="8"/>
      <color theme="0"/>
      <name val="Arial Narrow"/>
      <family val="2"/>
    </font>
    <font>
      <b/>
      <sz val="18"/>
      <color theme="0"/>
      <name val="Arial"/>
      <family val="2"/>
    </font>
    <font>
      <b/>
      <sz val="8"/>
      <color theme="0"/>
      <name val="Arial"/>
      <family val="2"/>
    </font>
    <font>
      <u/>
      <sz val="8"/>
      <color theme="0"/>
      <name val="Arial"/>
      <family val="2"/>
    </font>
    <font>
      <b/>
      <sz val="18"/>
      <color rgb="FFFF0000"/>
      <name val="Arial"/>
      <family val="2"/>
    </font>
    <font>
      <b/>
      <u/>
      <sz val="8"/>
      <color rgb="FFFF0000"/>
      <name val="Arial"/>
      <family val="2"/>
    </font>
    <font>
      <b/>
      <sz val="20"/>
      <color theme="0"/>
      <name val="Arial"/>
      <family val="2"/>
    </font>
    <font>
      <u/>
      <sz val="11"/>
      <color theme="0"/>
      <name val="Arial"/>
      <family val="2"/>
    </font>
    <font>
      <sz val="12"/>
      <color theme="0"/>
      <name val="Arial"/>
      <family val="2"/>
    </font>
    <font>
      <b/>
      <sz val="9"/>
      <color theme="0"/>
      <name val="Arial"/>
      <family val="2"/>
    </font>
    <font>
      <sz val="9"/>
      <color theme="0"/>
      <name val="Arial"/>
      <family val="2"/>
    </font>
    <font>
      <b/>
      <sz val="14"/>
      <color theme="0"/>
      <name val="Arial"/>
      <family val="2"/>
    </font>
    <font>
      <b/>
      <sz val="10"/>
      <color theme="0"/>
      <name val="Arial"/>
      <family val="2"/>
    </font>
    <font>
      <b/>
      <sz val="20"/>
      <color rgb="FFFF0000"/>
      <name val="Arial"/>
      <family val="2"/>
    </font>
    <font>
      <sz val="12"/>
      <color rgb="FFFF0000"/>
      <name val="Arial"/>
      <family val="2"/>
    </font>
    <font>
      <b/>
      <sz val="14"/>
      <color rgb="FFFF0000"/>
      <name val="Arial"/>
      <family val="2"/>
    </font>
    <font>
      <sz val="9"/>
      <color rgb="FFFF0000"/>
      <name val="Arial"/>
      <family val="2"/>
    </font>
    <font>
      <u/>
      <sz val="16"/>
      <color theme="10"/>
      <name val="Arial"/>
      <family val="2"/>
    </font>
    <font>
      <b/>
      <sz val="8"/>
      <color indexed="8"/>
      <name val="Arial"/>
      <family val="2"/>
    </font>
    <font>
      <b/>
      <sz val="8"/>
      <name val="Arial Narrow"/>
      <family val="2"/>
    </font>
  </fonts>
  <fills count="24">
    <fill>
      <patternFill patternType="none"/>
    </fill>
    <fill>
      <patternFill patternType="gray125"/>
    </fill>
    <fill>
      <patternFill patternType="solid">
        <fgColor indexed="43"/>
        <bgColor indexed="64"/>
      </patternFill>
    </fill>
    <fill>
      <patternFill patternType="solid">
        <fgColor indexed="2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13"/>
        <bgColor indexed="64"/>
      </patternFill>
    </fill>
    <fill>
      <patternFill patternType="solid">
        <fgColor indexed="41"/>
        <bgColor indexed="64"/>
      </patternFill>
    </fill>
    <fill>
      <patternFill patternType="solid">
        <fgColor rgb="FFFFFF99"/>
        <bgColor indexed="64"/>
      </patternFill>
    </fill>
    <fill>
      <patternFill patternType="solid">
        <fgColor rgb="FFDDDDDD"/>
        <bgColor indexed="64"/>
      </patternFill>
    </fill>
    <fill>
      <patternFill patternType="solid">
        <fgColor rgb="FFCCFFFF"/>
        <bgColor indexed="64"/>
      </patternFill>
    </fill>
    <fill>
      <patternFill patternType="solid">
        <fgColor theme="0"/>
        <bgColor indexed="64"/>
      </patternFill>
    </fill>
    <fill>
      <patternFill patternType="solid">
        <fgColor rgb="FFEAEAEA"/>
        <bgColor indexed="64"/>
      </patternFill>
    </fill>
    <fill>
      <patternFill patternType="solid">
        <fgColor rgb="FF65FF65"/>
        <bgColor indexed="64"/>
      </patternFill>
    </fill>
    <fill>
      <patternFill patternType="solid">
        <fgColor rgb="FFFFFFCC"/>
        <bgColor indexed="64"/>
      </patternFill>
    </fill>
    <fill>
      <patternFill patternType="solid">
        <fgColor rgb="FFFFCCCC"/>
        <bgColor indexed="64"/>
      </patternFill>
    </fill>
    <fill>
      <patternFill patternType="solid">
        <fgColor rgb="FFCCFFCC"/>
        <bgColor indexed="64"/>
      </patternFill>
    </fill>
    <fill>
      <patternFill patternType="solid">
        <fgColor rgb="FFC0C0C0"/>
        <bgColor indexed="64"/>
      </patternFill>
    </fill>
    <fill>
      <patternFill patternType="solid">
        <fgColor rgb="FFEA7943"/>
        <bgColor indexed="64"/>
      </patternFill>
    </fill>
    <fill>
      <patternFill patternType="solid">
        <fgColor rgb="FF996633"/>
        <bgColor indexed="64"/>
      </patternFill>
    </fill>
    <fill>
      <patternFill patternType="solid">
        <fgColor rgb="FF482400"/>
        <bgColor indexed="64"/>
      </patternFill>
    </fill>
    <fill>
      <patternFill patternType="solid">
        <fgColor rgb="FFFFF475"/>
        <bgColor indexed="64"/>
      </patternFill>
    </fill>
    <fill>
      <patternFill patternType="solid">
        <fgColor theme="0" tint="-0.14999847407452621"/>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ck">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ck">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medium">
        <color indexed="64"/>
      </right>
      <top style="thick">
        <color indexed="64"/>
      </top>
      <bottom style="thin">
        <color indexed="64"/>
      </bottom>
      <diagonal/>
    </border>
    <border>
      <left style="thick">
        <color indexed="64"/>
      </left>
      <right style="thin">
        <color indexed="64"/>
      </right>
      <top/>
      <bottom/>
      <diagonal/>
    </border>
    <border>
      <left/>
      <right/>
      <top/>
      <bottom style="medium">
        <color indexed="64"/>
      </bottom>
      <diagonal/>
    </border>
    <border>
      <left style="thick">
        <color indexed="64"/>
      </left>
      <right/>
      <top style="thick">
        <color indexed="64"/>
      </top>
      <bottom/>
      <diagonal/>
    </border>
    <border>
      <left style="thick">
        <color indexed="64"/>
      </left>
      <right/>
      <top/>
      <bottom/>
      <diagonal/>
    </border>
    <border>
      <left/>
      <right/>
      <top style="thick">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ck">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ck">
        <color indexed="64"/>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thick">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top style="thick">
        <color indexed="64"/>
      </top>
      <bottom style="thick">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3">
    <xf numFmtId="0" fontId="0" fillId="0" borderId="0"/>
    <xf numFmtId="0" fontId="66" fillId="0" borderId="0" applyNumberFormat="0" applyFill="0" applyBorder="0" applyAlignment="0" applyProtection="0">
      <alignment vertical="top"/>
      <protection locked="0"/>
    </xf>
    <xf numFmtId="0" fontId="5" fillId="0" borderId="0"/>
  </cellStyleXfs>
  <cellXfs count="686">
    <xf numFmtId="0" fontId="0" fillId="0" borderId="0" xfId="0"/>
    <xf numFmtId="0" fontId="5" fillId="0" borderId="0" xfId="0" applyFont="1" applyProtection="1"/>
    <xf numFmtId="165" fontId="0" fillId="2" borderId="1" xfId="0" applyNumberFormat="1" applyFill="1" applyBorder="1" applyAlignment="1" applyProtection="1">
      <alignment horizontal="center" vertical="center"/>
      <protection hidden="1"/>
    </xf>
    <xf numFmtId="165" fontId="7" fillId="2" borderId="2" xfId="0" applyNumberFormat="1" applyFont="1" applyFill="1" applyBorder="1" applyAlignment="1" applyProtection="1">
      <alignment horizontal="center" vertical="center"/>
      <protection hidden="1"/>
    </xf>
    <xf numFmtId="165" fontId="7" fillId="2" borderId="1" xfId="0" applyNumberFormat="1" applyFont="1" applyFill="1" applyBorder="1" applyAlignment="1" applyProtection="1">
      <alignment horizontal="center" vertical="center"/>
      <protection hidden="1"/>
    </xf>
    <xf numFmtId="1" fontId="7" fillId="2" borderId="1" xfId="0" applyNumberFormat="1" applyFont="1" applyFill="1" applyBorder="1" applyAlignment="1" applyProtection="1">
      <alignment horizontal="center" vertical="center"/>
      <protection hidden="1"/>
    </xf>
    <xf numFmtId="165" fontId="7" fillId="2" borderId="3" xfId="0" applyNumberFormat="1" applyFont="1" applyFill="1" applyBorder="1" applyAlignment="1" applyProtection="1">
      <alignment horizontal="center" vertical="center"/>
      <protection hidden="1"/>
    </xf>
    <xf numFmtId="0" fontId="7" fillId="3" borderId="1" xfId="0" applyFont="1" applyFill="1" applyBorder="1" applyAlignment="1" applyProtection="1">
      <alignment horizontal="left" vertical="center"/>
      <protection locked="0"/>
    </xf>
    <xf numFmtId="0" fontId="7" fillId="3" borderId="1" xfId="0" applyFont="1" applyFill="1" applyBorder="1" applyAlignment="1" applyProtection="1">
      <alignment horizontal="center" vertical="center" wrapText="1"/>
      <protection locked="0"/>
    </xf>
    <xf numFmtId="0" fontId="7" fillId="3" borderId="4" xfId="0" applyFont="1" applyFill="1" applyBorder="1" applyAlignment="1" applyProtection="1">
      <alignment horizontal="left" vertical="center"/>
      <protection locked="0"/>
    </xf>
    <xf numFmtId="0" fontId="7" fillId="3" borderId="1" xfId="0" applyFont="1" applyFill="1" applyBorder="1" applyAlignment="1" applyProtection="1">
      <alignment vertical="center" wrapText="1"/>
      <protection locked="0"/>
    </xf>
    <xf numFmtId="0" fontId="14" fillId="0" borderId="0" xfId="0" applyFont="1" applyAlignment="1">
      <alignment wrapText="1"/>
    </xf>
    <xf numFmtId="1" fontId="7" fillId="0" borderId="0" xfId="0" applyNumberFormat="1" applyFont="1" applyFill="1" applyBorder="1" applyAlignment="1" applyProtection="1">
      <alignment horizontal="center" vertical="center"/>
      <protection hidden="1"/>
    </xf>
    <xf numFmtId="165" fontId="7" fillId="0" borderId="0" xfId="0" applyNumberFormat="1" applyFont="1" applyFill="1" applyBorder="1" applyAlignment="1" applyProtection="1">
      <alignment horizontal="center" vertical="center"/>
      <protection hidden="1"/>
    </xf>
    <xf numFmtId="0" fontId="5" fillId="0" borderId="0" xfId="0" applyFont="1" applyProtection="1">
      <protection hidden="1"/>
    </xf>
    <xf numFmtId="165" fontId="7" fillId="2" borderId="4" xfId="0" applyNumberFormat="1" applyFont="1" applyFill="1" applyBorder="1" applyAlignment="1" applyProtection="1">
      <alignment horizontal="center" vertical="center"/>
      <protection hidden="1"/>
    </xf>
    <xf numFmtId="165" fontId="7" fillId="4" borderId="5" xfId="0" applyNumberFormat="1" applyFont="1" applyFill="1" applyBorder="1" applyAlignment="1" applyProtection="1">
      <alignment horizontal="center" vertical="center"/>
      <protection hidden="1"/>
    </xf>
    <xf numFmtId="0" fontId="7" fillId="0" borderId="0" xfId="0" applyFont="1" applyProtection="1">
      <protection hidden="1"/>
    </xf>
    <xf numFmtId="165" fontId="7" fillId="0" borderId="6" xfId="0" applyNumberFormat="1" applyFont="1" applyFill="1" applyBorder="1" applyAlignment="1" applyProtection="1">
      <alignment horizontal="center" vertical="center"/>
      <protection hidden="1"/>
    </xf>
    <xf numFmtId="0" fontId="11" fillId="0" borderId="4" xfId="0" applyFont="1" applyBorder="1" applyAlignment="1" applyProtection="1">
      <alignment horizontal="right" vertical="center"/>
    </xf>
    <xf numFmtId="0" fontId="7" fillId="0" borderId="0" xfId="0" applyFont="1" applyAlignment="1" applyProtection="1">
      <alignment vertical="center"/>
    </xf>
    <xf numFmtId="0" fontId="11" fillId="0" borderId="1" xfId="0" applyFont="1" applyBorder="1" applyAlignment="1" applyProtection="1">
      <alignment horizontal="right" vertical="center"/>
    </xf>
    <xf numFmtId="2" fontId="7" fillId="0" borderId="0" xfId="0" applyNumberFormat="1" applyFont="1" applyAlignment="1" applyProtection="1">
      <alignment vertical="center"/>
    </xf>
    <xf numFmtId="2" fontId="7" fillId="0" borderId="0" xfId="0" applyNumberFormat="1" applyFont="1" applyFill="1" applyBorder="1" applyAlignment="1" applyProtection="1">
      <alignment vertical="center"/>
      <protection hidden="1"/>
    </xf>
    <xf numFmtId="1" fontId="7" fillId="2" borderId="7" xfId="0" applyNumberFormat="1" applyFont="1" applyFill="1" applyBorder="1" applyAlignment="1" applyProtection="1">
      <alignment horizontal="center" vertical="center"/>
      <protection hidden="1"/>
    </xf>
    <xf numFmtId="0" fontId="7" fillId="5" borderId="1" xfId="0" applyFont="1" applyFill="1" applyBorder="1" applyAlignment="1" applyProtection="1">
      <alignment horizontal="center" vertical="center" wrapText="1"/>
      <protection hidden="1"/>
    </xf>
    <xf numFmtId="0" fontId="7" fillId="5" borderId="8" xfId="0" applyFont="1" applyFill="1" applyBorder="1" applyAlignment="1" applyProtection="1">
      <alignment horizontal="center" vertical="center" wrapText="1"/>
      <protection hidden="1"/>
    </xf>
    <xf numFmtId="0" fontId="7" fillId="5" borderId="1" xfId="0" applyFont="1" applyFill="1" applyBorder="1" applyAlignment="1" applyProtection="1">
      <alignment horizontal="center" wrapText="1"/>
      <protection hidden="1"/>
    </xf>
    <xf numFmtId="0" fontId="7" fillId="5" borderId="8" xfId="0" applyFont="1" applyFill="1" applyBorder="1" applyAlignment="1" applyProtection="1">
      <alignment horizontal="center" wrapText="1"/>
      <protection hidden="1"/>
    </xf>
    <xf numFmtId="0" fontId="0" fillId="0" borderId="0" xfId="0" applyProtection="1">
      <protection hidden="1"/>
    </xf>
    <xf numFmtId="0" fontId="5" fillId="0" borderId="0" xfId="0" applyFont="1" applyAlignment="1" applyProtection="1">
      <alignment vertical="center"/>
      <protection hidden="1"/>
    </xf>
    <xf numFmtId="0" fontId="0" fillId="0" borderId="0" xfId="0" applyAlignment="1" applyProtection="1">
      <alignment vertical="center"/>
      <protection hidden="1"/>
    </xf>
    <xf numFmtId="0" fontId="5" fillId="0" borderId="1" xfId="0" applyFont="1" applyBorder="1" applyAlignment="1" applyProtection="1">
      <alignment horizontal="center" vertical="center" wrapText="1"/>
      <protection hidden="1"/>
    </xf>
    <xf numFmtId="0" fontId="11" fillId="0" borderId="4" xfId="0" applyFont="1" applyBorder="1" applyAlignment="1" applyProtection="1">
      <alignment horizontal="right" vertical="center"/>
      <protection hidden="1"/>
    </xf>
    <xf numFmtId="0" fontId="7" fillId="0" borderId="0" xfId="0" applyFont="1" applyAlignment="1" applyProtection="1">
      <alignment vertical="center"/>
      <protection hidden="1"/>
    </xf>
    <xf numFmtId="0" fontId="11" fillId="0" borderId="1" xfId="0" applyFont="1" applyBorder="1" applyAlignment="1" applyProtection="1">
      <alignment horizontal="right" vertical="center"/>
      <protection hidden="1"/>
    </xf>
    <xf numFmtId="0" fontId="5" fillId="0" borderId="0" xfId="0" applyFont="1" applyAlignment="1" applyProtection="1">
      <alignment wrapText="1"/>
      <protection hidden="1"/>
    </xf>
    <xf numFmtId="165" fontId="7" fillId="5" borderId="6" xfId="0" applyNumberFormat="1" applyFont="1" applyFill="1" applyBorder="1" applyAlignment="1" applyProtection="1">
      <alignment horizontal="center" vertical="center"/>
      <protection hidden="1"/>
    </xf>
    <xf numFmtId="165" fontId="7" fillId="2" borderId="8" xfId="0" applyNumberFormat="1" applyFont="1" applyFill="1" applyBorder="1" applyAlignment="1" applyProtection="1">
      <alignment horizontal="center" vertical="center"/>
      <protection hidden="1"/>
    </xf>
    <xf numFmtId="165" fontId="7" fillId="2" borderId="9" xfId="0" applyNumberFormat="1" applyFont="1" applyFill="1" applyBorder="1" applyAlignment="1" applyProtection="1">
      <alignment horizontal="center" vertical="center"/>
      <protection hidden="1"/>
    </xf>
    <xf numFmtId="165" fontId="7" fillId="2" borderId="10" xfId="0" applyNumberFormat="1" applyFont="1" applyFill="1" applyBorder="1" applyAlignment="1" applyProtection="1">
      <alignment horizontal="center" vertical="center"/>
      <protection hidden="1"/>
    </xf>
    <xf numFmtId="0" fontId="11" fillId="6" borderId="1" xfId="0" applyFont="1" applyFill="1" applyBorder="1" applyAlignment="1" applyProtection="1">
      <alignment horizontal="center" vertical="center" wrapText="1"/>
      <protection hidden="1"/>
    </xf>
    <xf numFmtId="0" fontId="11" fillId="6" borderId="4" xfId="0" applyFont="1" applyFill="1" applyBorder="1" applyAlignment="1" applyProtection="1">
      <alignment horizontal="center" vertical="center" wrapText="1"/>
      <protection hidden="1"/>
    </xf>
    <xf numFmtId="0" fontId="11" fillId="0" borderId="1" xfId="0" applyFont="1" applyFill="1" applyBorder="1" applyAlignment="1" applyProtection="1">
      <alignment horizontal="right" vertical="center"/>
      <protection hidden="1"/>
    </xf>
    <xf numFmtId="0" fontId="7" fillId="0" borderId="3" xfId="0" applyFont="1" applyFill="1" applyBorder="1" applyAlignment="1" applyProtection="1">
      <alignment horizontal="center" vertical="center"/>
      <protection hidden="1"/>
    </xf>
    <xf numFmtId="0" fontId="11" fillId="0" borderId="7" xfId="0" applyFont="1" applyFill="1" applyBorder="1" applyAlignment="1" applyProtection="1">
      <alignment horizontal="right" vertical="center"/>
      <protection hidden="1"/>
    </xf>
    <xf numFmtId="0" fontId="11" fillId="0" borderId="3" xfId="0" applyFont="1" applyFill="1" applyBorder="1" applyAlignment="1" applyProtection="1">
      <alignment horizontal="right" vertical="center"/>
      <protection hidden="1"/>
    </xf>
    <xf numFmtId="0" fontId="0" fillId="4" borderId="0" xfId="0" applyFill="1"/>
    <xf numFmtId="165" fontId="11" fillId="7" borderId="1" xfId="0" applyNumberFormat="1" applyFont="1" applyFill="1" applyBorder="1" applyAlignment="1" applyProtection="1">
      <alignment horizontal="center" vertical="center"/>
      <protection hidden="1"/>
    </xf>
    <xf numFmtId="0" fontId="0" fillId="0" borderId="0" xfId="0" applyFill="1" applyProtection="1">
      <protection hidden="1"/>
    </xf>
    <xf numFmtId="0" fontId="0" fillId="0" borderId="0" xfId="0" applyFill="1"/>
    <xf numFmtId="0" fontId="5" fillId="0" borderId="1" xfId="0" applyFont="1" applyBorder="1" applyAlignment="1" applyProtection="1">
      <alignment horizontal="center" vertical="center"/>
      <protection hidden="1"/>
    </xf>
    <xf numFmtId="165" fontId="5" fillId="2" borderId="11" xfId="0" applyNumberFormat="1" applyFont="1" applyFill="1" applyBorder="1" applyAlignment="1" applyProtection="1">
      <alignment horizontal="center" vertical="center"/>
    </xf>
    <xf numFmtId="165" fontId="34" fillId="0" borderId="6" xfId="0" applyNumberFormat="1" applyFont="1" applyFill="1" applyBorder="1" applyAlignment="1" applyProtection="1">
      <alignment horizontal="left" vertical="center"/>
      <protection hidden="1"/>
    </xf>
    <xf numFmtId="0" fontId="7" fillId="5" borderId="12" xfId="0" applyFont="1" applyFill="1" applyBorder="1" applyProtection="1">
      <protection hidden="1"/>
    </xf>
    <xf numFmtId="0" fontId="7" fillId="5" borderId="13" xfId="0" applyFont="1" applyFill="1" applyBorder="1" applyAlignment="1" applyProtection="1">
      <alignment horizontal="center" vertical="center" wrapText="1"/>
      <protection hidden="1"/>
    </xf>
    <xf numFmtId="165" fontId="7" fillId="2" borderId="14" xfId="0" applyNumberFormat="1" applyFont="1" applyFill="1" applyBorder="1" applyAlignment="1" applyProtection="1">
      <alignment horizontal="center" vertical="center"/>
      <protection hidden="1"/>
    </xf>
    <xf numFmtId="0" fontId="7" fillId="5" borderId="9" xfId="0" applyFont="1" applyFill="1" applyBorder="1" applyAlignment="1" applyProtection="1">
      <alignment horizontal="center" vertical="center" wrapText="1"/>
      <protection hidden="1"/>
    </xf>
    <xf numFmtId="0" fontId="36" fillId="5" borderId="3" xfId="0" applyFont="1" applyFill="1" applyBorder="1" applyAlignment="1" applyProtection="1">
      <protection hidden="1"/>
    </xf>
    <xf numFmtId="0" fontId="18" fillId="5" borderId="12" xfId="0" applyFont="1" applyFill="1" applyBorder="1" applyProtection="1">
      <protection hidden="1"/>
    </xf>
    <xf numFmtId="0" fontId="0" fillId="0" borderId="1" xfId="0" applyFill="1" applyBorder="1" applyAlignment="1" applyProtection="1">
      <alignment horizontal="center" vertical="center"/>
      <protection hidden="1"/>
    </xf>
    <xf numFmtId="0" fontId="0" fillId="0" borderId="1" xfId="0" applyBorder="1" applyAlignment="1" applyProtection="1">
      <alignment horizontal="center" vertical="center"/>
      <protection hidden="1"/>
    </xf>
    <xf numFmtId="165" fontId="7" fillId="4" borderId="2" xfId="0" applyNumberFormat="1" applyFont="1" applyFill="1" applyBorder="1" applyAlignment="1" applyProtection="1">
      <alignment horizontal="center" vertical="center"/>
      <protection hidden="1"/>
    </xf>
    <xf numFmtId="165" fontId="7" fillId="4" borderId="1" xfId="0" applyNumberFormat="1" applyFont="1" applyFill="1" applyBorder="1" applyAlignment="1" applyProtection="1">
      <alignment horizontal="center" vertical="center"/>
      <protection hidden="1"/>
    </xf>
    <xf numFmtId="165" fontId="7" fillId="4" borderId="14" xfId="0" applyNumberFormat="1" applyFont="1" applyFill="1" applyBorder="1" applyAlignment="1" applyProtection="1">
      <alignment horizontal="center" vertical="center"/>
      <protection hidden="1"/>
    </xf>
    <xf numFmtId="165" fontId="7" fillId="4" borderId="3" xfId="0" applyNumberFormat="1" applyFont="1" applyFill="1" applyBorder="1" applyAlignment="1" applyProtection="1">
      <alignment horizontal="center" vertical="center"/>
      <protection hidden="1"/>
    </xf>
    <xf numFmtId="0" fontId="0" fillId="0" borderId="0" xfId="0" applyBorder="1"/>
    <xf numFmtId="0" fontId="33" fillId="0" borderId="0" xfId="0" applyFont="1" applyFill="1" applyBorder="1" applyAlignment="1" applyProtection="1">
      <alignment horizontal="left" vertical="center"/>
      <protection hidden="1"/>
    </xf>
    <xf numFmtId="0" fontId="1" fillId="6" borderId="7" xfId="0" applyFont="1" applyFill="1" applyBorder="1" applyAlignment="1" applyProtection="1">
      <alignment horizontal="center" vertical="center"/>
      <protection hidden="1"/>
    </xf>
    <xf numFmtId="0" fontId="1" fillId="6" borderId="1" xfId="0" applyFont="1" applyFill="1" applyBorder="1" applyAlignment="1" applyProtection="1">
      <alignment horizontal="center" vertical="center"/>
      <protection hidden="1"/>
    </xf>
    <xf numFmtId="0" fontId="0" fillId="0" borderId="0" xfId="0" applyBorder="1" applyProtection="1">
      <protection hidden="1"/>
    </xf>
    <xf numFmtId="0" fontId="0" fillId="0" borderId="16" xfId="0" applyBorder="1" applyProtection="1">
      <protection hidden="1"/>
    </xf>
    <xf numFmtId="0" fontId="0" fillId="0" borderId="17" xfId="0" applyBorder="1" applyProtection="1">
      <protection hidden="1"/>
    </xf>
    <xf numFmtId="0" fontId="5" fillId="0" borderId="18" xfId="0" applyNumberFormat="1" applyFont="1" applyBorder="1" applyAlignment="1" applyProtection="1">
      <alignment horizontal="center" vertical="center"/>
      <protection hidden="1"/>
    </xf>
    <xf numFmtId="1" fontId="5" fillId="0" borderId="18" xfId="0" applyNumberFormat="1" applyFont="1" applyBorder="1" applyAlignment="1" applyProtection="1">
      <alignment horizontal="center" vertical="center"/>
      <protection hidden="1"/>
    </xf>
    <xf numFmtId="0" fontId="5" fillId="0" borderId="19" xfId="0" applyNumberFormat="1" applyFont="1" applyBorder="1" applyAlignment="1" applyProtection="1">
      <alignment horizontal="center" vertical="center"/>
      <protection hidden="1"/>
    </xf>
    <xf numFmtId="0" fontId="5" fillId="0" borderId="0" xfId="0" applyNumberFormat="1" applyFont="1" applyFill="1" applyBorder="1" applyAlignment="1" applyProtection="1">
      <alignment horizontal="center" vertical="center"/>
      <protection hidden="1"/>
    </xf>
    <xf numFmtId="1" fontId="5" fillId="0" borderId="0" xfId="0" applyNumberFormat="1" applyFont="1" applyFill="1" applyBorder="1" applyAlignment="1" applyProtection="1">
      <alignment horizontal="center" vertical="center"/>
      <protection hidden="1"/>
    </xf>
    <xf numFmtId="0" fontId="0" fillId="5" borderId="20" xfId="0" applyFill="1" applyBorder="1" applyProtection="1">
      <protection hidden="1"/>
    </xf>
    <xf numFmtId="0" fontId="0" fillId="5" borderId="21" xfId="0" applyFill="1" applyBorder="1" applyProtection="1">
      <protection hidden="1"/>
    </xf>
    <xf numFmtId="1" fontId="1" fillId="2" borderId="18" xfId="0" applyNumberFormat="1" applyFont="1" applyFill="1" applyBorder="1" applyAlignment="1" applyProtection="1">
      <alignment horizontal="center" vertical="center" wrapText="1"/>
    </xf>
    <xf numFmtId="1" fontId="1" fillId="2" borderId="1" xfId="0" applyNumberFormat="1" applyFont="1" applyFill="1" applyBorder="1" applyAlignment="1" applyProtection="1">
      <alignment horizontal="center" vertical="center"/>
    </xf>
    <xf numFmtId="1" fontId="1" fillId="2" borderId="22" xfId="0" applyNumberFormat="1" applyFont="1" applyFill="1" applyBorder="1" applyAlignment="1" applyProtection="1">
      <alignment horizontal="center" vertical="center"/>
    </xf>
    <xf numFmtId="0" fontId="67" fillId="0" borderId="0" xfId="0" applyFont="1" applyProtection="1"/>
    <xf numFmtId="0" fontId="67" fillId="0" borderId="0" xfId="0" applyFont="1" applyProtection="1">
      <protection hidden="1"/>
    </xf>
    <xf numFmtId="0" fontId="68" fillId="0" borderId="0" xfId="0" applyFont="1" applyProtection="1">
      <protection hidden="1"/>
    </xf>
    <xf numFmtId="0" fontId="0" fillId="0" borderId="0" xfId="0" applyNumberFormat="1"/>
    <xf numFmtId="0" fontId="69" fillId="0" borderId="0" xfId="0" applyFont="1" applyProtection="1">
      <protection hidden="1"/>
    </xf>
    <xf numFmtId="0" fontId="70" fillId="0" borderId="0" xfId="0" applyFont="1" applyAlignment="1" applyProtection="1">
      <alignment horizontal="right"/>
      <protection hidden="1"/>
    </xf>
    <xf numFmtId="2" fontId="5" fillId="2" borderId="7" xfId="0" applyNumberFormat="1" applyFont="1" applyFill="1" applyBorder="1" applyAlignment="1" applyProtection="1">
      <alignment horizontal="center" vertical="center"/>
    </xf>
    <xf numFmtId="165" fontId="7" fillId="9" borderId="2" xfId="0" applyNumberFormat="1" applyFont="1" applyFill="1" applyBorder="1" applyAlignment="1" applyProtection="1">
      <alignment horizontal="center" vertical="center"/>
      <protection hidden="1"/>
    </xf>
    <xf numFmtId="0" fontId="69" fillId="0" borderId="0" xfId="0" applyFont="1" applyFill="1" applyBorder="1" applyAlignment="1" applyProtection="1">
      <alignment vertical="center"/>
      <protection hidden="1"/>
    </xf>
    <xf numFmtId="0" fontId="69" fillId="4" borderId="0" xfId="0" applyFont="1" applyFill="1" applyBorder="1" applyAlignment="1" applyProtection="1">
      <alignment horizontal="center" wrapText="1"/>
      <protection hidden="1"/>
    </xf>
    <xf numFmtId="0" fontId="69" fillId="4" borderId="0" xfId="0" applyFont="1" applyFill="1" applyBorder="1" applyProtection="1">
      <protection hidden="1"/>
    </xf>
    <xf numFmtId="2" fontId="7" fillId="0" borderId="0" xfId="0" applyNumberFormat="1" applyFont="1" applyAlignment="1" applyProtection="1">
      <alignment horizontal="left" vertical="center"/>
      <protection hidden="1"/>
    </xf>
    <xf numFmtId="0" fontId="12" fillId="10" borderId="23" xfId="0" applyFont="1" applyFill="1" applyBorder="1" applyAlignment="1" applyProtection="1">
      <alignment horizontal="center" vertical="center" wrapText="1"/>
      <protection hidden="1"/>
    </xf>
    <xf numFmtId="0" fontId="12" fillId="10" borderId="24" xfId="0" applyFont="1" applyFill="1" applyBorder="1" applyAlignment="1" applyProtection="1">
      <alignment horizontal="center" vertical="center" wrapText="1"/>
      <protection hidden="1"/>
    </xf>
    <xf numFmtId="0" fontId="42" fillId="0" borderId="0" xfId="0" applyFont="1" applyFill="1" applyBorder="1" applyAlignment="1" applyProtection="1">
      <alignment vertical="center"/>
      <protection locked="0"/>
    </xf>
    <xf numFmtId="165" fontId="5" fillId="0" borderId="0" xfId="0" applyNumberFormat="1" applyFont="1" applyFill="1" applyBorder="1" applyAlignment="1" applyProtection="1">
      <alignment vertical="center"/>
    </xf>
    <xf numFmtId="2" fontId="7" fillId="2" borderId="1" xfId="0" applyNumberFormat="1" applyFont="1" applyFill="1" applyBorder="1" applyAlignment="1" applyProtection="1">
      <alignment horizontal="center" vertical="center"/>
      <protection hidden="1"/>
    </xf>
    <xf numFmtId="2" fontId="7" fillId="2" borderId="3" xfId="0" applyNumberFormat="1" applyFont="1" applyFill="1" applyBorder="1" applyAlignment="1" applyProtection="1">
      <alignment horizontal="center" vertical="center"/>
      <protection hidden="1"/>
    </xf>
    <xf numFmtId="0" fontId="34" fillId="3" borderId="1" xfId="0" applyFont="1" applyFill="1" applyBorder="1" applyAlignment="1" applyProtection="1">
      <alignment horizontal="center" vertical="center"/>
      <protection locked="0"/>
    </xf>
    <xf numFmtId="165" fontId="34" fillId="3" borderId="1" xfId="0" applyNumberFormat="1" applyFont="1" applyFill="1" applyBorder="1" applyAlignment="1" applyProtection="1">
      <alignment horizontal="center" vertical="center"/>
      <protection locked="0"/>
    </xf>
    <xf numFmtId="165" fontId="34" fillId="9" borderId="1" xfId="0" applyNumberFormat="1" applyFont="1" applyFill="1" applyBorder="1" applyAlignment="1" applyProtection="1">
      <alignment horizontal="center" vertical="center"/>
      <protection hidden="1"/>
    </xf>
    <xf numFmtId="0" fontId="11" fillId="0" borderId="15" xfId="0" applyFont="1" applyBorder="1" applyAlignment="1" applyProtection="1">
      <alignment vertical="center"/>
      <protection hidden="1"/>
    </xf>
    <xf numFmtId="0" fontId="33" fillId="0" borderId="25" xfId="0" quotePrefix="1" applyFont="1" applyBorder="1" applyAlignment="1" applyProtection="1">
      <alignment vertical="center"/>
      <protection hidden="1"/>
    </xf>
    <xf numFmtId="0" fontId="12" fillId="0" borderId="0" xfId="0" applyFont="1" applyBorder="1" applyAlignment="1">
      <alignment vertical="center" wrapText="1"/>
    </xf>
    <xf numFmtId="0" fontId="25" fillId="0" borderId="0" xfId="0" applyFont="1" applyAlignment="1" applyProtection="1">
      <alignment horizontal="right" vertical="center"/>
      <protection hidden="1"/>
    </xf>
    <xf numFmtId="165" fontId="25" fillId="5" borderId="1" xfId="0" applyNumberFormat="1" applyFont="1" applyFill="1" applyBorder="1" applyAlignment="1" applyProtection="1">
      <alignment horizontal="left" vertical="center"/>
      <protection hidden="1"/>
    </xf>
    <xf numFmtId="165" fontId="0" fillId="9" borderId="1" xfId="0" applyNumberFormat="1" applyFill="1" applyBorder="1" applyAlignment="1" applyProtection="1">
      <alignment horizontal="center" vertical="center"/>
      <protection hidden="1"/>
    </xf>
    <xf numFmtId="2" fontId="34" fillId="5" borderId="1" xfId="0" applyNumberFormat="1" applyFont="1" applyFill="1" applyBorder="1" applyAlignment="1" applyProtection="1">
      <alignment horizontal="left" vertical="center" wrapText="1"/>
      <protection hidden="1"/>
    </xf>
    <xf numFmtId="2" fontId="11" fillId="0" borderId="14" xfId="0" applyNumberFormat="1" applyFont="1" applyBorder="1" applyAlignment="1" applyProtection="1">
      <alignment horizontal="center" vertical="center" wrapText="1"/>
      <protection hidden="1"/>
    </xf>
    <xf numFmtId="2" fontId="11" fillId="6" borderId="27" xfId="0" applyNumberFormat="1" applyFont="1" applyFill="1" applyBorder="1" applyAlignment="1" applyProtection="1">
      <alignment horizontal="center" vertical="center" wrapText="1"/>
    </xf>
    <xf numFmtId="2" fontId="11" fillId="6" borderId="1" xfId="0" applyNumberFormat="1" applyFont="1" applyFill="1" applyBorder="1" applyAlignment="1" applyProtection="1">
      <alignment horizontal="center" vertical="center" wrapText="1"/>
      <protection hidden="1"/>
    </xf>
    <xf numFmtId="1" fontId="11" fillId="0" borderId="7" xfId="0" applyNumberFormat="1" applyFont="1" applyFill="1" applyBorder="1" applyAlignment="1" applyProtection="1">
      <alignment horizontal="right" vertical="center"/>
      <protection hidden="1"/>
    </xf>
    <xf numFmtId="2" fontId="11" fillId="0" borderId="1" xfId="0" applyNumberFormat="1" applyFont="1" applyFill="1" applyBorder="1" applyAlignment="1" applyProtection="1">
      <alignment horizontal="right" vertical="center"/>
      <protection hidden="1"/>
    </xf>
    <xf numFmtId="2" fontId="11" fillId="8" borderId="2" xfId="0" applyNumberFormat="1" applyFont="1" applyFill="1" applyBorder="1" applyAlignment="1" applyProtection="1">
      <alignment horizontal="center" vertical="center"/>
      <protection locked="0"/>
    </xf>
    <xf numFmtId="2" fontId="11" fillId="3" borderId="1" xfId="0" applyNumberFormat="1" applyFont="1" applyFill="1" applyBorder="1" applyAlignment="1" applyProtection="1">
      <alignment horizontal="center" vertical="center"/>
      <protection locked="0"/>
    </xf>
    <xf numFmtId="2" fontId="11" fillId="8" borderId="1" xfId="0" applyNumberFormat="1" applyFont="1" applyFill="1" applyBorder="1" applyAlignment="1" applyProtection="1">
      <alignment horizontal="center" vertical="center"/>
      <protection locked="0"/>
    </xf>
    <xf numFmtId="2" fontId="11" fillId="8" borderId="14" xfId="0" applyNumberFormat="1" applyFont="1" applyFill="1" applyBorder="1" applyAlignment="1" applyProtection="1">
      <alignment horizontal="center" vertical="center"/>
      <protection locked="0"/>
    </xf>
    <xf numFmtId="2" fontId="1" fillId="8" borderId="22" xfId="0" applyNumberFormat="1" applyFont="1" applyFill="1" applyBorder="1" applyAlignment="1" applyProtection="1">
      <alignment horizontal="center" vertical="center"/>
      <protection locked="0"/>
    </xf>
    <xf numFmtId="0" fontId="1" fillId="3" borderId="26" xfId="0" applyFont="1" applyFill="1" applyBorder="1" applyAlignment="1">
      <alignment horizontal="left" wrapText="1"/>
    </xf>
    <xf numFmtId="0" fontId="1" fillId="3" borderId="26" xfId="0" applyFont="1" applyFill="1" applyBorder="1" applyAlignment="1">
      <alignment wrapText="1"/>
    </xf>
    <xf numFmtId="0" fontId="71" fillId="0" borderId="0" xfId="0" applyFont="1" applyBorder="1" applyProtection="1">
      <protection hidden="1"/>
    </xf>
    <xf numFmtId="0" fontId="71" fillId="0" borderId="0" xfId="0" applyFont="1" applyBorder="1"/>
    <xf numFmtId="0" fontId="72" fillId="0" borderId="0" xfId="0" applyFont="1" applyProtection="1">
      <protection hidden="1"/>
    </xf>
    <xf numFmtId="0" fontId="72" fillId="0" borderId="0" xfId="0" applyFont="1" applyBorder="1" applyProtection="1">
      <protection hidden="1"/>
    </xf>
    <xf numFmtId="0" fontId="37" fillId="0" borderId="0" xfId="0" applyFont="1" applyBorder="1" applyAlignment="1" applyProtection="1">
      <alignment vertical="center"/>
      <protection hidden="1"/>
    </xf>
    <xf numFmtId="0" fontId="38" fillId="0" borderId="0" xfId="0" applyFont="1" applyBorder="1" applyAlignment="1" applyProtection="1">
      <alignment vertical="center"/>
      <protection hidden="1"/>
    </xf>
    <xf numFmtId="0" fontId="5" fillId="0" borderId="0" xfId="0" applyFont="1" applyBorder="1" applyAlignment="1" applyProtection="1">
      <alignment vertical="center"/>
      <protection hidden="1"/>
    </xf>
    <xf numFmtId="0" fontId="73" fillId="0" borderId="0" xfId="0" applyFont="1" applyAlignment="1" applyProtection="1">
      <alignment vertical="center"/>
    </xf>
    <xf numFmtId="2" fontId="34" fillId="2" borderId="1" xfId="0" applyNumberFormat="1" applyFont="1" applyFill="1" applyBorder="1" applyAlignment="1" applyProtection="1">
      <alignment horizontal="center" vertical="center"/>
      <protection hidden="1"/>
    </xf>
    <xf numFmtId="165" fontId="25" fillId="7" borderId="1" xfId="0" applyNumberFormat="1" applyFont="1" applyFill="1" applyBorder="1" applyAlignment="1" applyProtection="1">
      <alignment horizontal="center" vertical="center"/>
      <protection hidden="1"/>
    </xf>
    <xf numFmtId="2" fontId="25" fillId="7" borderId="1" xfId="0" applyNumberFormat="1" applyFont="1" applyFill="1" applyBorder="1" applyAlignment="1" applyProtection="1">
      <alignment horizontal="center" vertical="center"/>
      <protection hidden="1"/>
    </xf>
    <xf numFmtId="2" fontId="11" fillId="6" borderId="27" xfId="0" applyNumberFormat="1" applyFont="1" applyFill="1" applyBorder="1" applyAlignment="1" applyProtection="1">
      <alignment horizontal="center" vertical="center" wrapText="1"/>
      <protection hidden="1"/>
    </xf>
    <xf numFmtId="0" fontId="74" fillId="0" borderId="12" xfId="0" applyFont="1" applyBorder="1" applyAlignment="1" applyProtection="1">
      <alignment horizontal="right" vertical="center"/>
      <protection hidden="1"/>
    </xf>
    <xf numFmtId="0" fontId="74" fillId="0" borderId="0" xfId="0" applyFont="1" applyBorder="1" applyAlignment="1" applyProtection="1">
      <alignment horizontal="right" vertical="center"/>
      <protection hidden="1"/>
    </xf>
    <xf numFmtId="0" fontId="7" fillId="11" borderId="1" xfId="0" applyFont="1" applyFill="1" applyBorder="1" applyAlignment="1" applyProtection="1">
      <alignment horizontal="center" vertical="center" wrapText="1"/>
      <protection locked="0"/>
    </xf>
    <xf numFmtId="0" fontId="11" fillId="12" borderId="0" xfId="0" applyFont="1" applyFill="1" applyBorder="1" applyAlignment="1" applyProtection="1">
      <alignment horizontal="right" vertical="center"/>
      <protection hidden="1"/>
    </xf>
    <xf numFmtId="0" fontId="7" fillId="12" borderId="0" xfId="0" applyFont="1" applyFill="1" applyBorder="1" applyAlignment="1" applyProtection="1">
      <alignment horizontal="center" vertical="center"/>
      <protection hidden="1"/>
    </xf>
    <xf numFmtId="0" fontId="74" fillId="0" borderId="0" xfId="0" applyFont="1" applyBorder="1" applyAlignment="1" applyProtection="1">
      <alignment horizontal="left" vertical="center"/>
      <protection hidden="1"/>
    </xf>
    <xf numFmtId="0" fontId="0" fillId="13" borderId="1" xfId="0" applyFill="1" applyBorder="1" applyAlignment="1" applyProtection="1">
      <alignment horizontal="center" vertical="center"/>
      <protection hidden="1"/>
    </xf>
    <xf numFmtId="0" fontId="11" fillId="0" borderId="15" xfId="0" applyFont="1" applyFill="1" applyBorder="1" applyAlignment="1" applyProtection="1">
      <alignment horizontal="center" vertical="center"/>
      <protection hidden="1"/>
    </xf>
    <xf numFmtId="0" fontId="67" fillId="0" borderId="0" xfId="0" applyFont="1" applyBorder="1"/>
    <xf numFmtId="0" fontId="67" fillId="0" borderId="0" xfId="0" applyFont="1" applyBorder="1" applyProtection="1">
      <protection hidden="1"/>
    </xf>
    <xf numFmtId="165" fontId="5" fillId="8" borderId="3" xfId="0" applyNumberFormat="1" applyFont="1" applyFill="1" applyBorder="1" applyAlignment="1" applyProtection="1">
      <alignment horizontal="center" vertical="center"/>
      <protection locked="0"/>
    </xf>
    <xf numFmtId="165" fontId="5" fillId="8" borderId="11" xfId="0" applyNumberFormat="1" applyFont="1" applyFill="1" applyBorder="1" applyAlignment="1" applyProtection="1">
      <alignment horizontal="center" vertical="center"/>
      <protection locked="0"/>
    </xf>
    <xf numFmtId="165" fontId="5" fillId="8" borderId="1" xfId="0" applyNumberFormat="1" applyFont="1" applyFill="1" applyBorder="1" applyAlignment="1" applyProtection="1">
      <alignment horizontal="center" vertical="center"/>
      <protection locked="0"/>
    </xf>
    <xf numFmtId="165" fontId="5" fillId="8" borderId="28" xfId="0" applyNumberFormat="1" applyFont="1" applyFill="1" applyBorder="1" applyAlignment="1" applyProtection="1">
      <alignment horizontal="center" vertical="center"/>
      <protection locked="0"/>
    </xf>
    <xf numFmtId="0" fontId="69" fillId="0" borderId="0" xfId="0" applyFont="1" applyProtection="1"/>
    <xf numFmtId="0" fontId="33" fillId="0" borderId="0" xfId="0" applyFont="1" applyAlignment="1" applyProtection="1">
      <alignment horizontal="left" vertical="center"/>
      <protection hidden="1"/>
    </xf>
    <xf numFmtId="2" fontId="11" fillId="0" borderId="1" xfId="0" applyNumberFormat="1" applyFont="1" applyBorder="1" applyAlignment="1" applyProtection="1">
      <alignment horizontal="right" vertical="center"/>
      <protection hidden="1"/>
    </xf>
    <xf numFmtId="2" fontId="1" fillId="2" borderId="18" xfId="0" applyNumberFormat="1" applyFont="1" applyFill="1" applyBorder="1" applyAlignment="1" applyProtection="1">
      <alignment horizontal="center" vertical="center" wrapText="1"/>
    </xf>
    <xf numFmtId="0" fontId="7" fillId="5" borderId="26" xfId="0" applyFont="1" applyFill="1" applyBorder="1" applyAlignment="1" applyProtection="1">
      <alignment horizontal="center" vertical="center" wrapText="1"/>
      <protection hidden="1"/>
    </xf>
    <xf numFmtId="0" fontId="7" fillId="0" borderId="29" xfId="0" applyFont="1" applyBorder="1" applyAlignment="1" applyProtection="1">
      <alignment horizontal="left" vertical="center"/>
      <protection hidden="1"/>
    </xf>
    <xf numFmtId="0" fontId="7" fillId="0" borderId="11" xfId="0" applyFont="1" applyBorder="1" applyAlignment="1" applyProtection="1">
      <alignment horizontal="left" vertical="center"/>
      <protection hidden="1"/>
    </xf>
    <xf numFmtId="0" fontId="7" fillId="0" borderId="30" xfId="0" applyFont="1" applyBorder="1" applyAlignment="1" applyProtection="1">
      <alignment horizontal="left" vertical="center"/>
      <protection hidden="1"/>
    </xf>
    <xf numFmtId="2" fontId="11" fillId="8" borderId="31" xfId="0" applyNumberFormat="1" applyFont="1" applyFill="1" applyBorder="1" applyAlignment="1" applyProtection="1">
      <alignment horizontal="center" vertical="center"/>
      <protection locked="0"/>
    </xf>
    <xf numFmtId="165" fontId="7" fillId="4" borderId="9" xfId="0" applyNumberFormat="1" applyFont="1" applyFill="1" applyBorder="1" applyAlignment="1" applyProtection="1">
      <alignment horizontal="center" vertical="center"/>
      <protection hidden="1"/>
    </xf>
    <xf numFmtId="165" fontId="7" fillId="11" borderId="8" xfId="0" applyNumberFormat="1" applyFont="1" applyFill="1" applyBorder="1" applyAlignment="1" applyProtection="1">
      <alignment horizontal="center" vertical="center"/>
      <protection locked="0"/>
    </xf>
    <xf numFmtId="165" fontId="7" fillId="4" borderId="4" xfId="0" applyNumberFormat="1" applyFont="1" applyFill="1" applyBorder="1" applyAlignment="1" applyProtection="1">
      <alignment horizontal="center" vertical="center"/>
      <protection hidden="1"/>
    </xf>
    <xf numFmtId="0" fontId="7" fillId="6" borderId="32" xfId="0" applyFont="1" applyFill="1" applyBorder="1" applyAlignment="1" applyProtection="1">
      <alignment horizontal="center" vertical="center" wrapText="1"/>
    </xf>
    <xf numFmtId="2" fontId="7" fillId="0" borderId="0" xfId="0" applyNumberFormat="1" applyFont="1" applyFill="1" applyBorder="1" applyAlignment="1" applyProtection="1">
      <alignment horizontal="left" vertical="center"/>
    </xf>
    <xf numFmtId="0" fontId="36" fillId="0" borderId="9" xfId="0" applyFont="1" applyBorder="1" applyAlignment="1" applyProtection="1">
      <alignment horizontal="left" wrapText="1"/>
      <protection hidden="1"/>
    </xf>
    <xf numFmtId="0" fontId="36" fillId="0" borderId="33" xfId="0" applyFont="1" applyBorder="1" applyAlignment="1" applyProtection="1">
      <alignment horizontal="left"/>
      <protection hidden="1"/>
    </xf>
    <xf numFmtId="0" fontId="36" fillId="0" borderId="1" xfId="0" applyFont="1" applyBorder="1" applyAlignment="1" applyProtection="1">
      <alignment vertical="center"/>
      <protection hidden="1"/>
    </xf>
    <xf numFmtId="165" fontId="7" fillId="0" borderId="26" xfId="0" applyNumberFormat="1" applyFont="1" applyFill="1" applyBorder="1" applyAlignment="1" applyProtection="1">
      <alignment horizontal="center" vertical="center"/>
      <protection hidden="1"/>
    </xf>
    <xf numFmtId="165" fontId="7" fillId="0" borderId="34" xfId="0" applyNumberFormat="1" applyFont="1" applyFill="1" applyBorder="1" applyAlignment="1" applyProtection="1">
      <alignment horizontal="center" vertical="center"/>
      <protection hidden="1"/>
    </xf>
    <xf numFmtId="0" fontId="7" fillId="0" borderId="0" xfId="0" applyFont="1" applyBorder="1" applyProtection="1">
      <protection hidden="1"/>
    </xf>
    <xf numFmtId="0" fontId="70" fillId="0" borderId="0" xfId="0" applyFont="1" applyAlignment="1" applyProtection="1">
      <alignment horizontal="left" vertical="center"/>
      <protection hidden="1"/>
    </xf>
    <xf numFmtId="0" fontId="7" fillId="0" borderId="11" xfId="0" applyFont="1" applyBorder="1" applyAlignment="1" applyProtection="1">
      <alignment vertical="center"/>
      <protection hidden="1"/>
    </xf>
    <xf numFmtId="0" fontId="25" fillId="0" borderId="7" xfId="0" applyFont="1" applyBorder="1" applyAlignment="1" applyProtection="1">
      <alignment vertical="center"/>
      <protection hidden="1"/>
    </xf>
    <xf numFmtId="165" fontId="7" fillId="9" borderId="1" xfId="0" applyNumberFormat="1" applyFont="1" applyFill="1" applyBorder="1" applyAlignment="1" applyProtection="1">
      <alignment horizontal="center" vertical="center"/>
      <protection hidden="1"/>
    </xf>
    <xf numFmtId="165" fontId="7" fillId="7" borderId="1" xfId="0" applyNumberFormat="1" applyFont="1" applyFill="1" applyBorder="1" applyAlignment="1" applyProtection="1">
      <alignment horizontal="center" vertical="center"/>
      <protection hidden="1"/>
    </xf>
    <xf numFmtId="1" fontId="11" fillId="0" borderId="0" xfId="0" applyNumberFormat="1" applyFont="1" applyFill="1" applyBorder="1" applyAlignment="1" applyProtection="1">
      <alignment horizontal="center" vertical="center"/>
    </xf>
    <xf numFmtId="0" fontId="73" fillId="0" borderId="26" xfId="0" applyFont="1" applyBorder="1" applyAlignment="1" applyProtection="1">
      <alignment vertical="center"/>
    </xf>
    <xf numFmtId="1" fontId="11" fillId="9" borderId="4" xfId="0" applyNumberFormat="1" applyFont="1" applyFill="1" applyBorder="1" applyAlignment="1" applyProtection="1">
      <alignment horizontal="center" vertical="center"/>
      <protection hidden="1"/>
    </xf>
    <xf numFmtId="165" fontId="11" fillId="8" borderId="1" xfId="0" applyNumberFormat="1" applyFont="1" applyFill="1" applyBorder="1" applyAlignment="1" applyProtection="1">
      <alignment horizontal="center" vertical="center"/>
      <protection locked="0"/>
    </xf>
    <xf numFmtId="0" fontId="11" fillId="8" borderId="1" xfId="0" applyFont="1" applyFill="1" applyBorder="1" applyAlignment="1" applyProtection="1">
      <alignment horizontal="center" vertical="center"/>
      <protection locked="0"/>
    </xf>
    <xf numFmtId="1" fontId="11" fillId="2" borderId="1" xfId="0" applyNumberFormat="1" applyFont="1" applyFill="1" applyBorder="1" applyAlignment="1" applyProtection="1">
      <alignment horizontal="center" vertical="center"/>
      <protection hidden="1"/>
    </xf>
    <xf numFmtId="165" fontId="7" fillId="5" borderId="7"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wrapText="1"/>
      <protection hidden="1"/>
    </xf>
    <xf numFmtId="165" fontId="7" fillId="0" borderId="0" xfId="0" applyNumberFormat="1" applyFont="1" applyFill="1" applyBorder="1" applyAlignment="1" applyProtection="1">
      <alignment vertical="center"/>
      <protection hidden="1"/>
    </xf>
    <xf numFmtId="0" fontId="1" fillId="6" borderId="35" xfId="0" applyFont="1" applyFill="1" applyBorder="1" applyAlignment="1" applyProtection="1">
      <alignment horizontal="left" wrapText="1"/>
    </xf>
    <xf numFmtId="0" fontId="1" fillId="6" borderId="36" xfId="0" applyFont="1" applyFill="1" applyBorder="1" applyAlignment="1" applyProtection="1">
      <alignment horizontal="left" wrapText="1"/>
    </xf>
    <xf numFmtId="2" fontId="11" fillId="14" borderId="1" xfId="0" applyNumberFormat="1" applyFont="1" applyFill="1" applyBorder="1" applyAlignment="1" applyProtection="1">
      <alignment horizontal="center" vertical="center"/>
      <protection hidden="1"/>
    </xf>
    <xf numFmtId="165" fontId="1" fillId="0" borderId="0" xfId="0" applyNumberFormat="1" applyFont="1" applyFill="1" applyBorder="1" applyAlignment="1" applyProtection="1">
      <alignment horizontal="center" vertical="center"/>
    </xf>
    <xf numFmtId="2" fontId="11" fillId="6" borderId="37" xfId="0" applyNumberFormat="1" applyFont="1" applyFill="1" applyBorder="1" applyAlignment="1" applyProtection="1">
      <alignment horizontal="center" wrapText="1"/>
    </xf>
    <xf numFmtId="0" fontId="7" fillId="6" borderId="6" xfId="0" applyFont="1" applyFill="1" applyBorder="1" applyAlignment="1" applyProtection="1">
      <alignment wrapText="1"/>
    </xf>
    <xf numFmtId="0" fontId="5" fillId="0" borderId="0" xfId="0" applyFont="1" applyAlignment="1" applyProtection="1">
      <alignment horizontal="right" vertical="center"/>
      <protection hidden="1"/>
    </xf>
    <xf numFmtId="1" fontId="5" fillId="0" borderId="0" xfId="0" applyNumberFormat="1" applyFont="1" applyAlignment="1" applyProtection="1">
      <alignment horizontal="center" vertical="center"/>
      <protection hidden="1"/>
    </xf>
    <xf numFmtId="1" fontId="75" fillId="2" borderId="23" xfId="0" applyNumberFormat="1" applyFont="1" applyFill="1" applyBorder="1" applyAlignment="1" applyProtection="1">
      <alignment horizontal="center" vertical="center" wrapText="1"/>
    </xf>
    <xf numFmtId="2" fontId="25" fillId="0" borderId="25" xfId="0" applyNumberFormat="1" applyFont="1" applyBorder="1" applyAlignment="1" applyProtection="1">
      <alignment vertical="center"/>
      <protection hidden="1"/>
    </xf>
    <xf numFmtId="2" fontId="25" fillId="0" borderId="16" xfId="0" applyNumberFormat="1" applyFont="1" applyBorder="1" applyAlignment="1" applyProtection="1">
      <alignment horizontal="center" vertical="center"/>
      <protection hidden="1"/>
    </xf>
    <xf numFmtId="2" fontId="25" fillId="0" borderId="17" xfId="0" applyNumberFormat="1" applyFont="1" applyBorder="1" applyAlignment="1" applyProtection="1">
      <alignment horizontal="left" vertical="center"/>
      <protection hidden="1"/>
    </xf>
    <xf numFmtId="0" fontId="0" fillId="9" borderId="38" xfId="0" applyFill="1" applyBorder="1"/>
    <xf numFmtId="165" fontId="5" fillId="2" borderId="17" xfId="0" applyNumberFormat="1" applyFont="1" applyFill="1" applyBorder="1" applyAlignment="1" applyProtection="1">
      <alignment vertical="center"/>
    </xf>
    <xf numFmtId="2" fontId="25" fillId="0" borderId="39" xfId="0" applyNumberFormat="1" applyFont="1" applyBorder="1" applyAlignment="1" applyProtection="1">
      <alignment vertical="center"/>
      <protection hidden="1"/>
    </xf>
    <xf numFmtId="2" fontId="25" fillId="0" borderId="40" xfId="0" applyNumberFormat="1" applyFont="1" applyBorder="1" applyAlignment="1" applyProtection="1">
      <alignment horizontal="center" vertical="center"/>
      <protection hidden="1"/>
    </xf>
    <xf numFmtId="2" fontId="25" fillId="0" borderId="41" xfId="0" applyNumberFormat="1" applyFont="1" applyBorder="1" applyAlignment="1" applyProtection="1">
      <alignment horizontal="left" vertical="center"/>
      <protection hidden="1"/>
    </xf>
    <xf numFmtId="0" fontId="0" fillId="9" borderId="42" xfId="0" applyFill="1" applyBorder="1"/>
    <xf numFmtId="165" fontId="5" fillId="2" borderId="43" xfId="0" applyNumberFormat="1" applyFont="1" applyFill="1" applyBorder="1" applyAlignment="1" applyProtection="1">
      <alignment vertical="center"/>
    </xf>
    <xf numFmtId="0" fontId="5" fillId="0" borderId="0" xfId="0" applyFont="1" applyBorder="1"/>
    <xf numFmtId="0" fontId="5" fillId="0" borderId="0" xfId="0" applyFont="1" applyFill="1" applyBorder="1"/>
    <xf numFmtId="165" fontId="1" fillId="0" borderId="0" xfId="0" applyNumberFormat="1" applyFont="1" applyFill="1" applyBorder="1" applyAlignment="1" applyProtection="1">
      <alignment horizontal="left" vertical="center"/>
    </xf>
    <xf numFmtId="0" fontId="76" fillId="0" borderId="0" xfId="0" applyFont="1" applyProtection="1">
      <protection hidden="1"/>
    </xf>
    <xf numFmtId="0" fontId="76" fillId="0" borderId="0" xfId="0" applyFont="1" applyAlignment="1" applyProtection="1">
      <alignment wrapText="1"/>
      <protection hidden="1"/>
    </xf>
    <xf numFmtId="0" fontId="7" fillId="0" borderId="0" xfId="0" applyFont="1" applyFill="1" applyBorder="1" applyAlignment="1" applyProtection="1">
      <alignment horizontal="left" vertical="top" wrapText="1"/>
      <protection hidden="1"/>
    </xf>
    <xf numFmtId="0" fontId="1" fillId="0" borderId="1" xfId="0" applyFont="1" applyBorder="1" applyAlignment="1" applyProtection="1">
      <alignment horizontal="left" vertical="center"/>
      <protection hidden="1"/>
    </xf>
    <xf numFmtId="0" fontId="7" fillId="0" borderId="44" xfId="0" applyFont="1" applyBorder="1" applyAlignment="1" applyProtection="1">
      <alignment horizontal="left" vertical="center"/>
      <protection hidden="1"/>
    </xf>
    <xf numFmtId="165" fontId="7" fillId="0" borderId="1" xfId="0" applyNumberFormat="1" applyFont="1" applyFill="1" applyBorder="1" applyAlignment="1" applyProtection="1">
      <alignment horizontal="center" vertical="center"/>
      <protection hidden="1"/>
    </xf>
    <xf numFmtId="165" fontId="7" fillId="2" borderId="45" xfId="0" applyNumberFormat="1" applyFont="1" applyFill="1" applyBorder="1" applyAlignment="1" applyProtection="1">
      <alignment horizontal="center" vertical="center"/>
      <protection hidden="1"/>
    </xf>
    <xf numFmtId="2" fontId="11" fillId="8" borderId="4" xfId="0" applyNumberFormat="1" applyFont="1" applyFill="1" applyBorder="1" applyAlignment="1" applyProtection="1">
      <alignment horizontal="center" vertical="center"/>
      <protection locked="0"/>
    </xf>
    <xf numFmtId="165" fontId="7" fillId="0" borderId="3"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vertical="center" wrapText="1"/>
      <protection hidden="1"/>
    </xf>
    <xf numFmtId="2" fontId="11" fillId="0" borderId="13" xfId="0" applyNumberFormat="1" applyFont="1" applyBorder="1" applyAlignment="1" applyProtection="1">
      <alignment horizontal="center" wrapText="1"/>
      <protection hidden="1"/>
    </xf>
    <xf numFmtId="165" fontId="7" fillId="2" borderId="22" xfId="0" applyNumberFormat="1" applyFont="1" applyFill="1" applyBorder="1" applyAlignment="1" applyProtection="1">
      <alignment horizontal="center" vertical="center"/>
      <protection hidden="1"/>
    </xf>
    <xf numFmtId="1" fontId="1" fillId="0" borderId="0" xfId="0" applyNumberFormat="1" applyFont="1" applyBorder="1" applyAlignment="1" applyProtection="1">
      <alignment vertical="center"/>
      <protection hidden="1"/>
    </xf>
    <xf numFmtId="2" fontId="1" fillId="0" borderId="0" xfId="0" applyNumberFormat="1" applyFont="1" applyBorder="1" applyAlignment="1" applyProtection="1">
      <alignment horizontal="left" vertical="center"/>
      <protection hidden="1"/>
    </xf>
    <xf numFmtId="1" fontId="1" fillId="0" borderId="0" xfId="0" applyNumberFormat="1" applyFont="1" applyBorder="1" applyAlignment="1" applyProtection="1">
      <alignment horizontal="right" vertical="center"/>
      <protection hidden="1"/>
    </xf>
    <xf numFmtId="1" fontId="68" fillId="0" borderId="0" xfId="0" applyNumberFormat="1" applyFont="1" applyFill="1" applyBorder="1" applyAlignment="1" applyProtection="1">
      <alignment horizontal="center" vertical="center"/>
      <protection hidden="1"/>
    </xf>
    <xf numFmtId="0" fontId="0" fillId="0" borderId="0" xfId="0" applyAlignment="1"/>
    <xf numFmtId="1" fontId="20" fillId="4" borderId="0" xfId="0" applyNumberFormat="1" applyFont="1" applyFill="1" applyBorder="1" applyAlignment="1" applyProtection="1">
      <alignment horizontal="center" vertical="center"/>
      <protection hidden="1"/>
    </xf>
    <xf numFmtId="0" fontId="11" fillId="0" borderId="0" xfId="0" applyFont="1" applyProtection="1">
      <protection hidden="1"/>
    </xf>
    <xf numFmtId="1" fontId="69" fillId="0" borderId="0" xfId="0" applyNumberFormat="1" applyFont="1" applyFill="1" applyBorder="1" applyAlignment="1" applyProtection="1">
      <alignment horizontal="center" vertical="center"/>
      <protection hidden="1"/>
    </xf>
    <xf numFmtId="0" fontId="69" fillId="0" borderId="0" xfId="0" applyFont="1" applyBorder="1"/>
    <xf numFmtId="0" fontId="2" fillId="15" borderId="46" xfId="0" applyFont="1" applyFill="1" applyBorder="1" applyAlignment="1">
      <alignment horizontal="right" vertical="center"/>
    </xf>
    <xf numFmtId="0" fontId="77" fillId="0" borderId="0" xfId="0" quotePrefix="1" applyFont="1" applyAlignment="1" applyProtection="1">
      <alignment vertical="center"/>
      <protection hidden="1"/>
    </xf>
    <xf numFmtId="0" fontId="67" fillId="0" borderId="0" xfId="0" applyFont="1" applyAlignment="1" applyProtection="1">
      <alignment wrapText="1"/>
      <protection hidden="1"/>
    </xf>
    <xf numFmtId="2" fontId="69" fillId="0" borderId="0" xfId="0" applyNumberFormat="1" applyFont="1" applyAlignment="1" applyProtection="1">
      <alignment vertical="center"/>
    </xf>
    <xf numFmtId="165" fontId="70" fillId="0" borderId="0" xfId="0" applyNumberFormat="1" applyFont="1" applyFill="1" applyBorder="1" applyAlignment="1" applyProtection="1">
      <alignment horizontal="center" vertical="center"/>
    </xf>
    <xf numFmtId="0" fontId="71" fillId="0" borderId="0" xfId="0" applyFont="1" applyProtection="1">
      <protection hidden="1"/>
    </xf>
    <xf numFmtId="0" fontId="71" fillId="0" borderId="0" xfId="0" applyFont="1" applyProtection="1"/>
    <xf numFmtId="2" fontId="68" fillId="0" borderId="0" xfId="0" applyNumberFormat="1" applyFont="1" applyFill="1" applyBorder="1" applyAlignment="1" applyProtection="1">
      <alignment horizontal="center" vertical="center"/>
      <protection hidden="1"/>
    </xf>
    <xf numFmtId="2" fontId="68" fillId="0" borderId="0" xfId="0" applyNumberFormat="1" applyFont="1" applyAlignment="1" applyProtection="1">
      <alignment horizontal="center"/>
      <protection hidden="1"/>
    </xf>
    <xf numFmtId="2" fontId="68" fillId="0" borderId="0" xfId="0" applyNumberFormat="1" applyFont="1" applyBorder="1" applyAlignment="1" applyProtection="1">
      <alignment horizontal="center"/>
      <protection hidden="1"/>
    </xf>
    <xf numFmtId="165" fontId="5" fillId="0" borderId="12" xfId="0" applyNumberFormat="1" applyFont="1" applyFill="1" applyBorder="1" applyAlignment="1" applyProtection="1">
      <alignment horizontal="center" vertical="center"/>
      <protection locked="0"/>
    </xf>
    <xf numFmtId="165" fontId="0" fillId="0" borderId="12" xfId="0" applyNumberFormat="1" applyFill="1" applyBorder="1" applyAlignment="1" applyProtection="1">
      <alignment horizontal="center" vertical="center"/>
      <protection hidden="1"/>
    </xf>
    <xf numFmtId="0" fontId="11" fillId="8" borderId="8" xfId="0" applyFont="1" applyFill="1" applyBorder="1" applyAlignment="1" applyProtection="1">
      <alignment horizontal="center" vertical="center"/>
      <protection locked="0"/>
    </xf>
    <xf numFmtId="0" fontId="78" fillId="0" borderId="0" xfId="1" applyFont="1" applyBorder="1" applyAlignment="1" applyProtection="1">
      <alignment horizontal="left" vertical="center"/>
    </xf>
    <xf numFmtId="1" fontId="7" fillId="9" borderId="1" xfId="0" applyNumberFormat="1" applyFont="1" applyFill="1" applyBorder="1" applyAlignment="1" applyProtection="1">
      <alignment horizontal="center" vertical="center"/>
      <protection hidden="1"/>
    </xf>
    <xf numFmtId="0" fontId="31" fillId="0" borderId="0" xfId="0"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79" fillId="0" borderId="0" xfId="0" applyFont="1" applyBorder="1" applyAlignment="1">
      <alignment vertical="center" wrapText="1"/>
    </xf>
    <xf numFmtId="0" fontId="66" fillId="0" borderId="0" xfId="1" applyBorder="1" applyAlignment="1" applyProtection="1">
      <alignment horizontal="right" vertical="center"/>
      <protection hidden="1"/>
    </xf>
    <xf numFmtId="0" fontId="19" fillId="0" borderId="0" xfId="0" applyFont="1" applyFill="1" applyBorder="1" applyAlignment="1">
      <alignment horizontal="left" vertical="center"/>
    </xf>
    <xf numFmtId="0" fontId="1" fillId="6" borderId="28" xfId="0" applyFont="1" applyFill="1" applyBorder="1" applyAlignment="1" applyProtection="1">
      <alignment horizontal="center" vertical="center"/>
      <protection hidden="1"/>
    </xf>
    <xf numFmtId="0" fontId="67" fillId="0" borderId="0" xfId="0" applyFont="1" applyFill="1" applyProtection="1"/>
    <xf numFmtId="0" fontId="42" fillId="0" borderId="0" xfId="0" applyFont="1" applyFill="1" applyBorder="1" applyAlignment="1" applyProtection="1">
      <alignment vertical="center"/>
      <protection hidden="1"/>
    </xf>
    <xf numFmtId="0" fontId="7" fillId="0" borderId="0" xfId="0" applyFont="1" applyAlignment="1" applyProtection="1">
      <protection hidden="1"/>
    </xf>
    <xf numFmtId="0" fontId="1" fillId="0" borderId="0" xfId="0" applyFont="1" applyFill="1" applyBorder="1" applyAlignment="1">
      <alignment vertical="center"/>
    </xf>
    <xf numFmtId="0" fontId="80" fillId="0" borderId="0" xfId="1" applyFont="1" applyBorder="1" applyAlignment="1" applyProtection="1">
      <alignment horizontal="left" vertical="center"/>
    </xf>
    <xf numFmtId="1" fontId="7" fillId="0" borderId="12" xfId="0" applyNumberFormat="1" applyFont="1" applyFill="1" applyBorder="1" applyAlignment="1" applyProtection="1">
      <alignment horizontal="center" vertical="center"/>
      <protection hidden="1"/>
    </xf>
    <xf numFmtId="0" fontId="1" fillId="0" borderId="0" xfId="0" applyFont="1" applyFill="1" applyBorder="1" applyAlignment="1">
      <alignment horizontal="left" vertical="center"/>
    </xf>
    <xf numFmtId="0" fontId="2" fillId="0" borderId="0" xfId="0" applyFont="1" applyFill="1" applyBorder="1" applyAlignment="1" applyProtection="1">
      <alignment horizontal="right" vertical="center"/>
      <protection hidden="1"/>
    </xf>
    <xf numFmtId="0" fontId="7" fillId="16" borderId="1" xfId="0" applyFont="1" applyFill="1" applyBorder="1" applyAlignment="1" applyProtection="1">
      <alignment horizontal="left" vertical="center"/>
      <protection locked="0"/>
    </xf>
    <xf numFmtId="0" fontId="34" fillId="16" borderId="1" xfId="0" applyFont="1" applyFill="1" applyBorder="1" applyAlignment="1" applyProtection="1">
      <alignment vertical="center"/>
      <protection locked="0" hidden="1"/>
    </xf>
    <xf numFmtId="165" fontId="25" fillId="0" borderId="0" xfId="0" applyNumberFormat="1" applyFont="1" applyFill="1" applyBorder="1" applyAlignment="1" applyProtection="1">
      <alignment horizontal="left" vertical="center"/>
      <protection hidden="1"/>
    </xf>
    <xf numFmtId="0" fontId="1" fillId="0" borderId="0" xfId="0" applyFont="1" applyFill="1" applyBorder="1" applyAlignment="1" applyProtection="1">
      <alignment horizontal="center" vertical="center"/>
      <protection locked="0"/>
    </xf>
    <xf numFmtId="1" fontId="1" fillId="0" borderId="47" xfId="0" applyNumberFormat="1" applyFont="1" applyFill="1" applyBorder="1" applyAlignment="1" applyProtection="1">
      <alignment horizontal="center" vertical="center" wrapText="1"/>
    </xf>
    <xf numFmtId="165" fontId="1" fillId="0" borderId="48" xfId="0" applyNumberFormat="1" applyFont="1" applyFill="1" applyBorder="1" applyAlignment="1" applyProtection="1">
      <alignment horizontal="center" vertical="center" wrapText="1"/>
    </xf>
    <xf numFmtId="0" fontId="67" fillId="0" borderId="0" xfId="0" applyFont="1" applyBorder="1" applyAlignment="1" applyProtection="1">
      <alignment vertical="center"/>
      <protection hidden="1"/>
    </xf>
    <xf numFmtId="0" fontId="67" fillId="0" borderId="0" xfId="0" applyFont="1" applyFill="1" applyBorder="1"/>
    <xf numFmtId="165" fontId="67" fillId="0" borderId="0" xfId="0" applyNumberFormat="1" applyFont="1" applyBorder="1" applyProtection="1">
      <protection hidden="1"/>
    </xf>
    <xf numFmtId="1" fontId="67" fillId="0" borderId="0" xfId="0" applyNumberFormat="1" applyFont="1" applyBorder="1" applyProtection="1">
      <protection hidden="1"/>
    </xf>
    <xf numFmtId="1" fontId="5" fillId="9" borderId="1" xfId="0" applyNumberFormat="1" applyFont="1" applyFill="1" applyBorder="1" applyAlignment="1" applyProtection="1">
      <alignment horizontal="center" vertical="center"/>
      <protection hidden="1"/>
    </xf>
    <xf numFmtId="165" fontId="11" fillId="16" borderId="8" xfId="0" applyNumberFormat="1" applyFont="1" applyFill="1" applyBorder="1" applyAlignment="1" applyProtection="1">
      <alignment horizontal="center" vertical="center"/>
      <protection locked="0" hidden="1"/>
    </xf>
    <xf numFmtId="2" fontId="7" fillId="16" borderId="49" xfId="0" applyNumberFormat="1" applyFont="1" applyFill="1" applyBorder="1" applyAlignment="1" applyProtection="1">
      <alignment horizontal="left" vertical="center"/>
      <protection locked="0" hidden="1"/>
    </xf>
    <xf numFmtId="0" fontId="11" fillId="16" borderId="1" xfId="0" applyFont="1" applyFill="1" applyBorder="1" applyAlignment="1" applyProtection="1">
      <alignment horizontal="center" vertical="center"/>
      <protection locked="0" hidden="1"/>
    </xf>
    <xf numFmtId="2" fontId="1" fillId="0" borderId="50" xfId="0" applyNumberFormat="1" applyFont="1" applyFill="1" applyBorder="1" applyAlignment="1" applyProtection="1">
      <alignment horizontal="center" vertical="center"/>
    </xf>
    <xf numFmtId="0" fontId="31" fillId="0" borderId="0" xfId="0" applyFont="1" applyFill="1" applyBorder="1" applyAlignment="1" applyProtection="1">
      <alignment horizontal="left" vertical="center"/>
      <protection hidden="1"/>
    </xf>
    <xf numFmtId="0" fontId="19" fillId="17" borderId="1" xfId="0" applyFont="1" applyFill="1" applyBorder="1" applyAlignment="1">
      <alignment horizontal="left" vertical="center"/>
    </xf>
    <xf numFmtId="0" fontId="47" fillId="17" borderId="1" xfId="0" applyFont="1" applyFill="1" applyBorder="1" applyAlignment="1" applyProtection="1">
      <alignment vertical="center"/>
      <protection hidden="1"/>
    </xf>
    <xf numFmtId="0" fontId="19" fillId="17" borderId="1" xfId="0" applyFont="1" applyFill="1" applyBorder="1" applyAlignment="1">
      <alignment vertical="center"/>
    </xf>
    <xf numFmtId="0" fontId="25" fillId="0" borderId="12" xfId="0" applyFont="1" applyFill="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165" fontId="11" fillId="0" borderId="51" xfId="0" applyNumberFormat="1" applyFont="1" applyFill="1" applyBorder="1" applyAlignment="1" applyProtection="1">
      <alignment horizontal="center" vertical="center"/>
      <protection locked="0"/>
    </xf>
    <xf numFmtId="2" fontId="7" fillId="0" borderId="30" xfId="0" applyNumberFormat="1" applyFont="1" applyBorder="1" applyAlignment="1" applyProtection="1">
      <alignment horizontal="left" vertical="center"/>
      <protection hidden="1"/>
    </xf>
    <xf numFmtId="2" fontId="11" fillId="0" borderId="14" xfId="0" applyNumberFormat="1" applyFont="1" applyFill="1" applyBorder="1" applyAlignment="1" applyProtection="1">
      <alignment horizontal="center" vertical="center"/>
      <protection hidden="1"/>
    </xf>
    <xf numFmtId="165" fontId="7" fillId="4" borderId="52" xfId="0" applyNumberFormat="1" applyFont="1" applyFill="1" applyBorder="1" applyAlignment="1" applyProtection="1">
      <alignment horizontal="center" vertical="center"/>
      <protection hidden="1"/>
    </xf>
    <xf numFmtId="165" fontId="7" fillId="0" borderId="14"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wrapText="1"/>
    </xf>
    <xf numFmtId="165" fontId="7" fillId="0" borderId="12" xfId="0" applyNumberFormat="1" applyFont="1" applyFill="1" applyBorder="1" applyAlignment="1" applyProtection="1">
      <alignment horizontal="center" vertical="center"/>
      <protection hidden="1"/>
    </xf>
    <xf numFmtId="1" fontId="7" fillId="0" borderId="0" xfId="0" applyNumberFormat="1" applyFont="1" applyFill="1" applyBorder="1" applyAlignment="1" applyProtection="1">
      <alignment vertical="center" wrapText="1"/>
      <protection locked="0"/>
    </xf>
    <xf numFmtId="0" fontId="7" fillId="0" borderId="26" xfId="0" applyFont="1" applyFill="1" applyBorder="1" applyAlignment="1" applyProtection="1">
      <alignment vertical="center" wrapText="1"/>
      <protection hidden="1"/>
    </xf>
    <xf numFmtId="0" fontId="11" fillId="0" borderId="51" xfId="0" applyFont="1" applyFill="1" applyBorder="1" applyAlignment="1" applyProtection="1">
      <alignment horizontal="center" vertical="center" wrapText="1"/>
      <protection locked="0"/>
    </xf>
    <xf numFmtId="165" fontId="5" fillId="8" borderId="44" xfId="0" applyNumberFormat="1" applyFont="1" applyFill="1" applyBorder="1" applyAlignment="1" applyProtection="1">
      <alignment horizontal="center" vertical="center"/>
      <protection locked="0"/>
    </xf>
    <xf numFmtId="0" fontId="0" fillId="13" borderId="4" xfId="0" applyFill="1" applyBorder="1" applyAlignment="1" applyProtection="1">
      <alignment horizontal="center" vertical="center"/>
      <protection hidden="1"/>
    </xf>
    <xf numFmtId="0" fontId="0" fillId="0" borderId="53" xfId="0" applyBorder="1" applyProtection="1">
      <protection hidden="1"/>
    </xf>
    <xf numFmtId="165" fontId="5" fillId="8" borderId="30" xfId="0" applyNumberFormat="1" applyFont="1" applyFill="1" applyBorder="1" applyAlignment="1" applyProtection="1">
      <alignment horizontal="center" vertical="center"/>
      <protection locked="0"/>
    </xf>
    <xf numFmtId="0" fontId="0" fillId="0" borderId="14" xfId="0" applyBorder="1" applyAlignment="1" applyProtection="1">
      <alignment horizontal="center" vertical="center"/>
      <protection hidden="1"/>
    </xf>
    <xf numFmtId="165" fontId="1" fillId="2" borderId="40" xfId="0" applyNumberFormat="1" applyFont="1" applyFill="1" applyBorder="1" applyAlignment="1" applyProtection="1">
      <alignment horizontal="center" vertical="center"/>
    </xf>
    <xf numFmtId="0" fontId="11" fillId="0" borderId="34" xfId="0" applyFont="1" applyFill="1" applyBorder="1" applyAlignment="1" applyProtection="1">
      <alignment vertical="center" wrapText="1"/>
      <protection hidden="1"/>
    </xf>
    <xf numFmtId="0" fontId="36" fillId="0" borderId="12" xfId="0" applyFont="1" applyFill="1" applyBorder="1" applyAlignment="1" applyProtection="1">
      <alignment vertical="center"/>
      <protection hidden="1"/>
    </xf>
    <xf numFmtId="0" fontId="44" fillId="0" borderId="15" xfId="0" applyFont="1" applyFill="1" applyBorder="1" applyAlignment="1" applyProtection="1">
      <alignment vertical="center" wrapText="1"/>
      <protection hidden="1"/>
    </xf>
    <xf numFmtId="0" fontId="44" fillId="0" borderId="54" xfId="0" applyFont="1" applyFill="1" applyBorder="1" applyAlignment="1" applyProtection="1">
      <alignment vertical="center" wrapText="1"/>
      <protection hidden="1"/>
    </xf>
    <xf numFmtId="0" fontId="7" fillId="0" borderId="0" xfId="0" applyFont="1" applyFill="1" applyBorder="1" applyAlignment="1" applyProtection="1">
      <alignment vertical="top" wrapText="1"/>
      <protection hidden="1"/>
    </xf>
    <xf numFmtId="0" fontId="11" fillId="0" borderId="0" xfId="0" applyFont="1" applyFill="1" applyBorder="1" applyAlignment="1" applyProtection="1">
      <alignment horizontal="center" vertical="center"/>
      <protection locked="0"/>
    </xf>
    <xf numFmtId="165" fontId="11" fillId="16" borderId="1" xfId="0" applyNumberFormat="1" applyFont="1" applyFill="1" applyBorder="1" applyAlignment="1" applyProtection="1">
      <alignment horizontal="center" vertical="center"/>
      <protection locked="0"/>
    </xf>
    <xf numFmtId="1" fontId="7" fillId="2" borderId="8" xfId="0" applyNumberFormat="1" applyFont="1" applyFill="1" applyBorder="1" applyAlignment="1" applyProtection="1">
      <alignment horizontal="center" vertical="center"/>
      <protection hidden="1"/>
    </xf>
    <xf numFmtId="1" fontId="7" fillId="9" borderId="4" xfId="0" applyNumberFormat="1" applyFont="1" applyFill="1" applyBorder="1" applyAlignment="1" applyProtection="1">
      <alignment horizontal="center" vertical="center"/>
      <protection hidden="1"/>
    </xf>
    <xf numFmtId="1" fontId="11" fillId="7" borderId="1" xfId="0" applyNumberFormat="1" applyFont="1" applyFill="1" applyBorder="1" applyAlignment="1" applyProtection="1">
      <alignment horizontal="center" vertical="center"/>
      <protection hidden="1"/>
    </xf>
    <xf numFmtId="1" fontId="7" fillId="9" borderId="8" xfId="0" applyNumberFormat="1" applyFont="1" applyFill="1" applyBorder="1" applyAlignment="1" applyProtection="1">
      <alignment horizontal="center" vertical="center"/>
      <protection hidden="1"/>
    </xf>
    <xf numFmtId="165" fontId="1" fillId="2" borderId="3" xfId="0" applyNumberFormat="1" applyFont="1" applyFill="1" applyBorder="1" applyAlignment="1" applyProtection="1">
      <alignment vertical="center"/>
    </xf>
    <xf numFmtId="165" fontId="1" fillId="2" borderId="6" xfId="0" applyNumberFormat="1" applyFont="1" applyFill="1" applyBorder="1" applyAlignment="1" applyProtection="1">
      <alignment horizontal="center" vertical="center"/>
    </xf>
    <xf numFmtId="165" fontId="1" fillId="2" borderId="7" xfId="0" applyNumberFormat="1" applyFont="1" applyFill="1" applyBorder="1" applyAlignment="1" applyProtection="1">
      <alignment vertical="center"/>
    </xf>
    <xf numFmtId="165" fontId="1" fillId="2" borderId="50" xfId="0" applyNumberFormat="1" applyFont="1" applyFill="1" applyBorder="1" applyAlignment="1" applyProtection="1">
      <alignment vertical="center"/>
    </xf>
    <xf numFmtId="165" fontId="1" fillId="2" borderId="16" xfId="0" applyNumberFormat="1" applyFont="1" applyFill="1" applyBorder="1" applyAlignment="1" applyProtection="1">
      <alignment horizontal="center" vertical="center"/>
    </xf>
    <xf numFmtId="165" fontId="1" fillId="2" borderId="23" xfId="0" applyNumberFormat="1" applyFont="1" applyFill="1" applyBorder="1" applyAlignment="1" applyProtection="1">
      <alignment horizontal="center" vertical="center"/>
    </xf>
    <xf numFmtId="165" fontId="1" fillId="2" borderId="4" xfId="0" applyNumberFormat="1" applyFont="1" applyFill="1" applyBorder="1" applyAlignment="1" applyProtection="1">
      <alignment horizontal="center" vertical="center"/>
    </xf>
    <xf numFmtId="165" fontId="1" fillId="2" borderId="24" xfId="0" applyNumberFormat="1" applyFont="1" applyFill="1" applyBorder="1" applyAlignment="1" applyProtection="1">
      <alignment horizontal="center" vertical="center"/>
    </xf>
    <xf numFmtId="165" fontId="1" fillId="2" borderId="23" xfId="0" applyNumberFormat="1" applyFont="1" applyFill="1" applyBorder="1" applyAlignment="1" applyProtection="1">
      <alignment horizontal="center" vertical="center" wrapText="1"/>
    </xf>
    <xf numFmtId="165" fontId="25" fillId="2" borderId="1" xfId="0" applyNumberFormat="1" applyFont="1" applyFill="1" applyBorder="1" applyAlignment="1" applyProtection="1">
      <alignment horizontal="center" vertical="center"/>
      <protection hidden="1"/>
    </xf>
    <xf numFmtId="2" fontId="71" fillId="0" borderId="0" xfId="0" applyNumberFormat="1" applyFont="1" applyFill="1" applyBorder="1" applyAlignment="1" applyProtection="1">
      <alignment horizontal="center" vertical="center"/>
    </xf>
    <xf numFmtId="2" fontId="71" fillId="0" borderId="0" xfId="0" applyNumberFormat="1" applyFont="1" applyFill="1" applyBorder="1" applyAlignment="1" applyProtection="1">
      <alignment horizontal="center" vertical="center"/>
      <protection hidden="1"/>
    </xf>
    <xf numFmtId="0" fontId="71" fillId="0" borderId="0" xfId="0" applyFont="1" applyFill="1" applyBorder="1" applyProtection="1">
      <protection hidden="1"/>
    </xf>
    <xf numFmtId="0" fontId="81" fillId="0" borderId="0" xfId="0" applyFont="1" applyAlignment="1">
      <alignment horizontal="left" wrapText="1"/>
    </xf>
    <xf numFmtId="0" fontId="81" fillId="0" borderId="0" xfId="0" applyFont="1" applyAlignment="1">
      <alignment wrapText="1"/>
    </xf>
    <xf numFmtId="0" fontId="68" fillId="0" borderId="0" xfId="0" applyFont="1" applyAlignment="1" applyProtection="1">
      <alignment horizontal="right"/>
      <protection hidden="1"/>
    </xf>
    <xf numFmtId="167" fontId="68" fillId="0" borderId="0" xfId="0" applyNumberFormat="1" applyFont="1" applyProtection="1">
      <protection hidden="1"/>
    </xf>
    <xf numFmtId="166" fontId="68" fillId="0" borderId="0" xfId="0" applyNumberFormat="1" applyFont="1" applyProtection="1">
      <protection hidden="1"/>
    </xf>
    <xf numFmtId="0" fontId="68" fillId="0" borderId="0" xfId="0" applyFont="1" applyBorder="1" applyProtection="1">
      <protection hidden="1"/>
    </xf>
    <xf numFmtId="0" fontId="68" fillId="0" borderId="0" xfId="0" applyFont="1" applyFill="1" applyBorder="1" applyProtection="1">
      <protection hidden="1"/>
    </xf>
    <xf numFmtId="0" fontId="68" fillId="0" borderId="0" xfId="0" applyFont="1" applyFill="1" applyBorder="1" applyAlignment="1" applyProtection="1">
      <alignment horizontal="center"/>
      <protection hidden="1"/>
    </xf>
    <xf numFmtId="0" fontId="68" fillId="0" borderId="0" xfId="0" applyFont="1" applyFill="1" applyAlignment="1">
      <alignment horizontal="center"/>
    </xf>
    <xf numFmtId="0" fontId="71" fillId="0" borderId="0" xfId="0" applyFont="1" applyFill="1" applyProtection="1"/>
    <xf numFmtId="0" fontId="71" fillId="0" borderId="0" xfId="0" applyFont="1" applyFill="1" applyProtection="1">
      <protection hidden="1"/>
    </xf>
    <xf numFmtId="0" fontId="68" fillId="0" borderId="0" xfId="0" applyFont="1" applyFill="1" applyAlignment="1" applyProtection="1">
      <alignment horizontal="right"/>
      <protection hidden="1"/>
    </xf>
    <xf numFmtId="166" fontId="68" fillId="0" borderId="0" xfId="0" applyNumberFormat="1" applyFont="1" applyFill="1" applyProtection="1">
      <protection hidden="1"/>
    </xf>
    <xf numFmtId="0" fontId="68" fillId="0" borderId="0" xfId="0" applyFont="1" applyFill="1" applyProtection="1">
      <protection hidden="1"/>
    </xf>
    <xf numFmtId="2" fontId="68" fillId="0" borderId="0" xfId="0" applyNumberFormat="1" applyFont="1" applyFill="1" applyBorder="1" applyAlignment="1" applyProtection="1">
      <alignment horizontal="center"/>
      <protection hidden="1"/>
    </xf>
    <xf numFmtId="2" fontId="68" fillId="0" borderId="0" xfId="0" applyNumberFormat="1" applyFont="1" applyFill="1" applyAlignment="1" applyProtection="1">
      <alignment horizontal="center"/>
      <protection hidden="1"/>
    </xf>
    <xf numFmtId="0" fontId="68" fillId="0" borderId="0" xfId="0" applyFont="1" applyFill="1" applyAlignment="1" applyProtection="1">
      <alignment horizontal="center"/>
      <protection hidden="1"/>
    </xf>
    <xf numFmtId="164" fontId="68" fillId="0" borderId="0" xfId="0" applyNumberFormat="1" applyFont="1" applyFill="1" applyProtection="1">
      <protection hidden="1"/>
    </xf>
    <xf numFmtId="165" fontId="68" fillId="0" borderId="0" xfId="0" applyNumberFormat="1" applyFont="1" applyFill="1" applyProtection="1">
      <protection hidden="1"/>
    </xf>
    <xf numFmtId="0" fontId="68" fillId="0" borderId="0" xfId="0" applyFont="1" applyFill="1" applyProtection="1"/>
    <xf numFmtId="2" fontId="68" fillId="0" borderId="0" xfId="0" applyNumberFormat="1" applyFont="1" applyFill="1" applyProtection="1">
      <protection hidden="1"/>
    </xf>
    <xf numFmtId="2" fontId="68" fillId="0" borderId="0" xfId="0" applyNumberFormat="1" applyFont="1" applyFill="1" applyAlignment="1" applyProtection="1">
      <alignment horizontal="right"/>
      <protection hidden="1"/>
    </xf>
    <xf numFmtId="2" fontId="68" fillId="0" borderId="0" xfId="0" applyNumberFormat="1" applyFont="1" applyFill="1" applyAlignment="1" applyProtection="1">
      <alignment horizontal="left"/>
      <protection hidden="1"/>
    </xf>
    <xf numFmtId="0" fontId="71" fillId="12" borderId="0" xfId="0" applyFont="1" applyFill="1" applyProtection="1">
      <protection hidden="1"/>
    </xf>
    <xf numFmtId="2" fontId="71" fillId="0" borderId="0" xfId="0" applyNumberFormat="1" applyFont="1" applyProtection="1">
      <protection hidden="1"/>
    </xf>
    <xf numFmtId="2" fontId="71" fillId="0" borderId="0" xfId="0" applyNumberFormat="1" applyFont="1" applyProtection="1"/>
    <xf numFmtId="0" fontId="68" fillId="0" borderId="0" xfId="0" applyFont="1" applyAlignment="1" applyProtection="1">
      <protection hidden="1"/>
    </xf>
    <xf numFmtId="1" fontId="68" fillId="0" borderId="0" xfId="0" applyNumberFormat="1" applyFont="1" applyAlignment="1" applyProtection="1">
      <alignment horizontal="right"/>
      <protection hidden="1"/>
    </xf>
    <xf numFmtId="2" fontId="68" fillId="0" borderId="0" xfId="0" applyNumberFormat="1" applyFont="1" applyAlignment="1" applyProtection="1">
      <alignment horizontal="left"/>
      <protection hidden="1"/>
    </xf>
    <xf numFmtId="2" fontId="68" fillId="0" borderId="0" xfId="0" applyNumberFormat="1" applyFont="1" applyAlignment="1" applyProtection="1">
      <alignment horizontal="right"/>
      <protection hidden="1"/>
    </xf>
    <xf numFmtId="0" fontId="7" fillId="0" borderId="51" xfId="0" applyFont="1" applyFill="1" applyBorder="1" applyAlignment="1" applyProtection="1">
      <alignment wrapText="1"/>
    </xf>
    <xf numFmtId="0" fontId="7" fillId="0" borderId="51" xfId="0" applyFont="1" applyBorder="1" applyAlignment="1" applyProtection="1">
      <alignment vertical="center" wrapText="1"/>
      <protection hidden="1"/>
    </xf>
    <xf numFmtId="0" fontId="7" fillId="0" borderId="0" xfId="0" applyFont="1" applyBorder="1" applyAlignment="1" applyProtection="1">
      <alignment vertical="center" wrapText="1"/>
      <protection hidden="1"/>
    </xf>
    <xf numFmtId="2" fontId="11" fillId="0" borderId="0" xfId="0" applyNumberFormat="1" applyFont="1" applyFill="1" applyBorder="1" applyAlignment="1" applyProtection="1">
      <alignment vertical="center"/>
      <protection hidden="1"/>
    </xf>
    <xf numFmtId="0" fontId="61" fillId="0" borderId="51" xfId="0" applyFont="1" applyFill="1" applyBorder="1" applyAlignment="1" applyProtection="1"/>
    <xf numFmtId="0" fontId="61" fillId="0" borderId="0" xfId="0" applyFont="1" applyFill="1" applyBorder="1" applyAlignment="1" applyProtection="1"/>
    <xf numFmtId="0" fontId="82" fillId="0" borderId="0" xfId="0" applyFont="1" applyBorder="1" applyAlignment="1" applyProtection="1">
      <alignment vertical="center"/>
      <protection hidden="1"/>
    </xf>
    <xf numFmtId="0" fontId="68" fillId="0" borderId="0" xfId="0" applyFont="1" applyAlignment="1" applyProtection="1">
      <alignment horizontal="center"/>
      <protection hidden="1"/>
    </xf>
    <xf numFmtId="165" fontId="68" fillId="0" borderId="0" xfId="0" applyNumberFormat="1" applyFont="1" applyProtection="1">
      <protection hidden="1"/>
    </xf>
    <xf numFmtId="0" fontId="83" fillId="0" borderId="0" xfId="0" applyFont="1" applyFill="1" applyBorder="1" applyAlignment="1" applyProtection="1">
      <alignment wrapText="1"/>
      <protection hidden="1"/>
    </xf>
    <xf numFmtId="0" fontId="68" fillId="0" borderId="0" xfId="0" applyFont="1" applyBorder="1" applyAlignment="1" applyProtection="1">
      <alignment horizontal="center"/>
      <protection hidden="1"/>
    </xf>
    <xf numFmtId="1" fontId="68" fillId="0" borderId="0" xfId="0" applyNumberFormat="1" applyFont="1" applyAlignment="1" applyProtection="1">
      <alignment horizontal="center"/>
      <protection hidden="1"/>
    </xf>
    <xf numFmtId="168" fontId="68" fillId="0" borderId="0" xfId="0" applyNumberFormat="1" applyFont="1" applyProtection="1">
      <protection hidden="1"/>
    </xf>
    <xf numFmtId="0" fontId="68" fillId="0" borderId="0" xfId="0" applyFont="1" applyFill="1" applyBorder="1" applyAlignment="1" applyProtection="1">
      <alignment horizontal="center" wrapText="1"/>
      <protection hidden="1"/>
    </xf>
    <xf numFmtId="1" fontId="68" fillId="0" borderId="0" xfId="0" applyNumberFormat="1" applyFont="1" applyFill="1" applyBorder="1" applyAlignment="1" applyProtection="1">
      <alignment horizontal="left" vertical="center"/>
      <protection hidden="1"/>
    </xf>
    <xf numFmtId="1" fontId="68" fillId="0" borderId="0" xfId="0" applyNumberFormat="1" applyFont="1" applyProtection="1">
      <protection hidden="1"/>
    </xf>
    <xf numFmtId="164" fontId="68" fillId="0" borderId="0" xfId="0" applyNumberFormat="1" applyFont="1" applyProtection="1">
      <protection hidden="1"/>
    </xf>
    <xf numFmtId="1" fontId="71" fillId="0" borderId="0" xfId="0" applyNumberFormat="1" applyFont="1" applyFill="1" applyBorder="1" applyAlignment="1" applyProtection="1">
      <alignment vertical="center"/>
      <protection hidden="1"/>
    </xf>
    <xf numFmtId="0" fontId="84" fillId="0" borderId="0" xfId="0" applyFont="1" applyProtection="1">
      <protection hidden="1"/>
    </xf>
    <xf numFmtId="0" fontId="2" fillId="16" borderId="56" xfId="1" applyFont="1" applyFill="1" applyBorder="1" applyAlignment="1" applyProtection="1">
      <alignment horizontal="right" vertical="center"/>
      <protection locked="0"/>
    </xf>
    <xf numFmtId="0" fontId="85" fillId="0" borderId="0" xfId="0" applyFont="1" applyBorder="1" applyAlignment="1" applyProtection="1">
      <alignment vertical="center"/>
      <protection hidden="1"/>
    </xf>
    <xf numFmtId="0" fontId="86" fillId="0" borderId="0" xfId="0" applyFont="1" applyAlignment="1" applyProtection="1">
      <alignment vertical="center" wrapText="1"/>
      <protection hidden="1"/>
    </xf>
    <xf numFmtId="164" fontId="70" fillId="0" borderId="0" xfId="0" applyNumberFormat="1" applyFont="1" applyFill="1" applyBorder="1" applyAlignment="1" applyProtection="1">
      <alignment horizontal="center" vertical="center"/>
      <protection locked="0"/>
    </xf>
    <xf numFmtId="0" fontId="69" fillId="0" borderId="0" xfId="0" applyFont="1" applyAlignment="1" applyProtection="1">
      <alignment vertical="center"/>
      <protection hidden="1"/>
    </xf>
    <xf numFmtId="165" fontId="70" fillId="0" borderId="0" xfId="0" applyNumberFormat="1" applyFont="1" applyFill="1" applyBorder="1" applyAlignment="1" applyProtection="1">
      <alignment horizontal="center" vertical="center"/>
      <protection hidden="1"/>
    </xf>
    <xf numFmtId="0" fontId="69" fillId="0" borderId="0" xfId="0" applyFont="1" applyAlignment="1" applyProtection="1">
      <alignment horizontal="left" vertical="center"/>
      <protection hidden="1"/>
    </xf>
    <xf numFmtId="0" fontId="69" fillId="0" borderId="0" xfId="0" applyFont="1" applyFill="1" applyBorder="1" applyAlignment="1" applyProtection="1">
      <alignment vertical="center" wrapText="1"/>
      <protection hidden="1"/>
    </xf>
    <xf numFmtId="0" fontId="87" fillId="0" borderId="0" xfId="1" applyFont="1" applyBorder="1" applyAlignment="1" applyProtection="1">
      <alignment vertical="center"/>
      <protection hidden="1"/>
    </xf>
    <xf numFmtId="0" fontId="88" fillId="0" borderId="0" xfId="1" applyFont="1" applyBorder="1" applyAlignment="1" applyProtection="1">
      <alignment vertical="center"/>
      <protection hidden="1"/>
    </xf>
    <xf numFmtId="0" fontId="89" fillId="12" borderId="0" xfId="0" applyFont="1" applyFill="1" applyBorder="1" applyAlignment="1" applyProtection="1">
      <alignment vertical="center"/>
      <protection hidden="1"/>
    </xf>
    <xf numFmtId="0" fontId="89" fillId="0" borderId="0" xfId="0" applyFont="1" applyFill="1" applyBorder="1" applyAlignment="1" applyProtection="1">
      <alignment vertical="center"/>
      <protection hidden="1"/>
    </xf>
    <xf numFmtId="0" fontId="90" fillId="0" borderId="0" xfId="0" applyFont="1" applyBorder="1" applyAlignment="1" applyProtection="1">
      <alignment vertical="center" wrapText="1"/>
      <protection hidden="1"/>
    </xf>
    <xf numFmtId="0" fontId="68" fillId="0" borderId="0" xfId="0" applyFont="1" applyAlignment="1" applyProtection="1">
      <alignment wrapText="1"/>
      <protection hidden="1"/>
    </xf>
    <xf numFmtId="0" fontId="71" fillId="0" borderId="0" xfId="0" applyFont="1" applyAlignment="1" applyProtection="1">
      <alignment wrapText="1"/>
      <protection hidden="1"/>
    </xf>
    <xf numFmtId="0" fontId="83" fillId="12" borderId="0" xfId="0" applyFont="1" applyFill="1" applyBorder="1" applyAlignment="1" applyProtection="1">
      <alignment horizontal="center" vertical="center" wrapText="1"/>
      <protection hidden="1"/>
    </xf>
    <xf numFmtId="0" fontId="83" fillId="0" borderId="0" xfId="0" applyFont="1" applyFill="1" applyBorder="1" applyAlignment="1" applyProtection="1">
      <alignment horizontal="center" vertical="center" wrapText="1"/>
      <protection hidden="1"/>
    </xf>
    <xf numFmtId="0" fontId="68" fillId="0" borderId="0" xfId="0" applyFont="1" applyAlignment="1" applyProtection="1">
      <alignment horizontal="center" vertical="center"/>
      <protection hidden="1"/>
    </xf>
    <xf numFmtId="0" fontId="71" fillId="0" borderId="0" xfId="0" applyFont="1" applyAlignment="1" applyProtection="1">
      <alignment vertical="center"/>
      <protection hidden="1"/>
    </xf>
    <xf numFmtId="0" fontId="68" fillId="0" borderId="0" xfId="0" applyFont="1" applyAlignment="1" applyProtection="1">
      <alignment vertical="center"/>
      <protection hidden="1"/>
    </xf>
    <xf numFmtId="165" fontId="91" fillId="12" borderId="0" xfId="0" applyNumberFormat="1" applyFont="1" applyFill="1" applyBorder="1" applyAlignment="1" applyProtection="1">
      <alignment horizontal="center" vertical="center"/>
      <protection hidden="1"/>
    </xf>
    <xf numFmtId="165" fontId="91" fillId="0" borderId="0" xfId="0" applyNumberFormat="1" applyFont="1" applyFill="1" applyBorder="1" applyAlignment="1" applyProtection="1">
      <alignment horizontal="center" vertical="center"/>
      <protection hidden="1"/>
    </xf>
    <xf numFmtId="0" fontId="83" fillId="0" borderId="0" xfId="0" applyFont="1" applyFill="1" applyBorder="1" applyAlignment="1" applyProtection="1">
      <alignment vertical="center"/>
      <protection hidden="1"/>
    </xf>
    <xf numFmtId="165" fontId="90" fillId="12" borderId="0" xfId="0" applyNumberFormat="1" applyFont="1" applyFill="1" applyBorder="1" applyAlignment="1" applyProtection="1">
      <alignment horizontal="center" vertical="center"/>
      <protection hidden="1"/>
    </xf>
    <xf numFmtId="165" fontId="92" fillId="12" borderId="0" xfId="0" applyNumberFormat="1" applyFont="1" applyFill="1" applyBorder="1" applyAlignment="1" applyProtection="1">
      <alignment vertical="center"/>
      <protection hidden="1"/>
    </xf>
    <xf numFmtId="165" fontId="92" fillId="0" borderId="0" xfId="0" applyNumberFormat="1" applyFont="1" applyFill="1" applyBorder="1" applyAlignment="1" applyProtection="1">
      <alignment vertical="center"/>
      <protection hidden="1"/>
    </xf>
    <xf numFmtId="2" fontId="68" fillId="0" borderId="0" xfId="0" applyNumberFormat="1" applyFont="1" applyAlignment="1" applyProtection="1">
      <alignment vertical="center"/>
      <protection hidden="1"/>
    </xf>
    <xf numFmtId="1" fontId="71" fillId="0" borderId="0" xfId="0" applyNumberFormat="1" applyFont="1" applyAlignment="1" applyProtection="1">
      <alignment horizontal="left" vertical="center"/>
      <protection hidden="1"/>
    </xf>
    <xf numFmtId="0" fontId="83" fillId="0" borderId="0" xfId="0" applyFont="1" applyAlignment="1" applyProtection="1">
      <alignment vertical="center"/>
      <protection hidden="1"/>
    </xf>
    <xf numFmtId="2" fontId="90" fillId="0" borderId="0" xfId="0" applyNumberFormat="1" applyFont="1" applyFill="1" applyBorder="1" applyAlignment="1" applyProtection="1">
      <alignment horizontal="center" vertical="center"/>
      <protection hidden="1"/>
    </xf>
    <xf numFmtId="0" fontId="81" fillId="0" borderId="0" xfId="0" applyFont="1" applyAlignment="1" applyProtection="1">
      <alignment wrapText="1"/>
      <protection hidden="1"/>
    </xf>
    <xf numFmtId="0" fontId="93" fillId="0" borderId="0" xfId="0" applyFont="1" applyProtection="1">
      <protection hidden="1"/>
    </xf>
    <xf numFmtId="0" fontId="81" fillId="0" borderId="0" xfId="0" applyFont="1" applyAlignment="1" applyProtection="1">
      <protection hidden="1"/>
    </xf>
    <xf numFmtId="2" fontId="69" fillId="0" borderId="0" xfId="0" applyNumberFormat="1" applyFont="1" applyAlignment="1" applyProtection="1">
      <alignment horizontal="center"/>
      <protection hidden="1"/>
    </xf>
    <xf numFmtId="2" fontId="69" fillId="0" borderId="0" xfId="0" applyNumberFormat="1" applyFont="1" applyBorder="1" applyAlignment="1" applyProtection="1">
      <alignment horizontal="center"/>
      <protection hidden="1"/>
    </xf>
    <xf numFmtId="2" fontId="69" fillId="0" borderId="0" xfId="0" applyNumberFormat="1" applyFont="1" applyFill="1" applyBorder="1" applyAlignment="1" applyProtection="1">
      <alignment horizontal="center" vertical="center"/>
      <protection hidden="1"/>
    </xf>
    <xf numFmtId="0" fontId="74" fillId="0" borderId="0" xfId="0" applyFont="1" applyAlignment="1" applyProtection="1">
      <alignment horizontal="center" wrapText="1"/>
      <protection hidden="1"/>
    </xf>
    <xf numFmtId="0" fontId="94" fillId="0" borderId="0" xfId="1" applyFont="1" applyFill="1" applyBorder="1" applyAlignment="1" applyProtection="1">
      <alignment horizontal="right" vertical="center"/>
      <protection hidden="1"/>
    </xf>
    <xf numFmtId="0" fontId="95" fillId="0" borderId="0" xfId="0" applyFont="1" applyFill="1" applyBorder="1" applyAlignment="1" applyProtection="1">
      <alignment vertical="center"/>
      <protection locked="0"/>
    </xf>
    <xf numFmtId="0" fontId="95" fillId="0" borderId="0" xfId="0" applyFont="1" applyFill="1" applyBorder="1" applyAlignment="1" applyProtection="1">
      <alignment horizontal="left" vertical="center"/>
      <protection hidden="1"/>
    </xf>
    <xf numFmtId="0" fontId="74" fillId="0" borderId="0" xfId="0" applyFont="1" applyFill="1" applyBorder="1" applyAlignment="1" applyProtection="1">
      <alignment horizontal="center" vertical="center" wrapText="1"/>
      <protection hidden="1"/>
    </xf>
    <xf numFmtId="2" fontId="96" fillId="0" borderId="0" xfId="0" applyNumberFormat="1" applyFont="1" applyFill="1" applyBorder="1" applyAlignment="1" applyProtection="1">
      <alignment horizontal="center" vertical="center" wrapText="1"/>
      <protection hidden="1"/>
    </xf>
    <xf numFmtId="0" fontId="70" fillId="0" borderId="26" xfId="0" applyFont="1" applyFill="1" applyBorder="1" applyAlignment="1" applyProtection="1">
      <alignment horizontal="center" vertical="center" wrapText="1"/>
      <protection hidden="1"/>
    </xf>
    <xf numFmtId="165" fontId="97" fillId="0" borderId="26" xfId="0" applyNumberFormat="1" applyFont="1" applyFill="1" applyBorder="1" applyAlignment="1" applyProtection="1">
      <alignment horizontal="center" vertical="center"/>
      <protection hidden="1"/>
    </xf>
    <xf numFmtId="165" fontId="74" fillId="0" borderId="0" xfId="0" applyNumberFormat="1" applyFont="1" applyFill="1" applyBorder="1" applyAlignment="1" applyProtection="1">
      <alignment horizontal="center" vertical="center"/>
      <protection hidden="1"/>
    </xf>
    <xf numFmtId="0" fontId="97" fillId="0" borderId="0" xfId="0" applyFont="1" applyFill="1" applyBorder="1" applyAlignment="1" applyProtection="1">
      <alignment horizontal="center" vertical="center"/>
      <protection locked="0"/>
    </xf>
    <xf numFmtId="0" fontId="70" fillId="0" borderId="0" xfId="0" applyFont="1" applyFill="1" applyBorder="1" applyAlignment="1" applyProtection="1">
      <alignment horizontal="right" vertical="center"/>
      <protection hidden="1"/>
    </xf>
    <xf numFmtId="165" fontId="96" fillId="0" borderId="0" xfId="0" applyNumberFormat="1" applyFont="1" applyFill="1" applyBorder="1" applyAlignment="1" applyProtection="1">
      <alignment horizontal="center" vertical="center"/>
      <protection hidden="1"/>
    </xf>
    <xf numFmtId="2" fontId="74" fillId="0" borderId="26" xfId="0" applyNumberFormat="1" applyFont="1" applyFill="1" applyBorder="1" applyAlignment="1" applyProtection="1">
      <alignment horizontal="center" vertical="center"/>
      <protection hidden="1"/>
    </xf>
    <xf numFmtId="0" fontId="70" fillId="0" borderId="0" xfId="0" applyFont="1" applyBorder="1" applyAlignment="1" applyProtection="1">
      <alignment horizontal="right" vertical="center"/>
      <protection hidden="1"/>
    </xf>
    <xf numFmtId="0" fontId="79" fillId="0" borderId="0" xfId="0" applyFont="1" applyAlignment="1">
      <alignment horizontal="center" wrapText="1"/>
    </xf>
    <xf numFmtId="0" fontId="1" fillId="0" borderId="0" xfId="0" applyFont="1" applyProtection="1">
      <protection hidden="1"/>
    </xf>
    <xf numFmtId="0" fontId="1" fillId="0" borderId="0" xfId="0" applyFont="1" applyBorder="1"/>
    <xf numFmtId="0" fontId="5" fillId="3" borderId="26" xfId="0" applyFont="1" applyFill="1" applyBorder="1" applyAlignment="1">
      <alignment horizontal="left" wrapText="1"/>
    </xf>
    <xf numFmtId="0" fontId="5" fillId="3" borderId="0" xfId="0" applyFont="1" applyFill="1" applyBorder="1" applyAlignment="1">
      <alignment horizontal="left" wrapText="1"/>
    </xf>
    <xf numFmtId="0" fontId="5" fillId="3" borderId="55" xfId="0" applyFont="1" applyFill="1" applyBorder="1" applyAlignment="1">
      <alignment horizontal="left" wrapText="1"/>
    </xf>
    <xf numFmtId="0" fontId="0" fillId="3" borderId="0" xfId="0" applyFill="1"/>
    <xf numFmtId="0" fontId="0" fillId="3" borderId="55" xfId="0" applyFill="1" applyBorder="1"/>
    <xf numFmtId="0" fontId="28" fillId="0" borderId="9" xfId="0" applyFont="1" applyFill="1" applyBorder="1" applyAlignment="1">
      <alignment horizontal="left" wrapText="1"/>
    </xf>
    <xf numFmtId="0" fontId="29" fillId="0" borderId="12" xfId="0" applyFont="1" applyFill="1" applyBorder="1"/>
    <xf numFmtId="0" fontId="29" fillId="0" borderId="31" xfId="0" applyFont="1" applyFill="1" applyBorder="1"/>
    <xf numFmtId="0" fontId="0" fillId="3" borderId="0" xfId="0" applyFill="1" applyBorder="1"/>
    <xf numFmtId="0" fontId="2" fillId="0" borderId="15" xfId="0" applyFont="1" applyBorder="1" applyAlignment="1">
      <alignment horizontal="center"/>
    </xf>
    <xf numFmtId="0" fontId="5" fillId="3" borderId="10" xfId="0" applyFont="1" applyFill="1" applyBorder="1" applyAlignment="1">
      <alignment horizontal="left" wrapText="1"/>
    </xf>
    <xf numFmtId="0" fontId="5" fillId="3" borderId="15" xfId="0" applyFont="1" applyFill="1" applyBorder="1" applyAlignment="1">
      <alignment horizontal="left" wrapText="1"/>
    </xf>
    <xf numFmtId="0" fontId="5" fillId="3" borderId="57" xfId="0" applyFont="1" applyFill="1" applyBorder="1" applyAlignment="1">
      <alignment horizontal="left" wrapText="1"/>
    </xf>
    <xf numFmtId="0" fontId="0" fillId="3" borderId="15" xfId="0" applyFill="1" applyBorder="1"/>
    <xf numFmtId="0" fontId="0" fillId="3" borderId="57" xfId="0" applyFill="1" applyBorder="1"/>
    <xf numFmtId="0" fontId="28" fillId="0" borderId="9" xfId="0" applyFont="1" applyBorder="1" applyAlignment="1">
      <alignment horizontal="left" wrapText="1"/>
    </xf>
    <xf numFmtId="0" fontId="29" fillId="0" borderId="12" xfId="0" applyFont="1" applyBorder="1"/>
    <xf numFmtId="0" fontId="29" fillId="0" borderId="31" xfId="0" applyFont="1" applyBorder="1"/>
    <xf numFmtId="0" fontId="5" fillId="0" borderId="3" xfId="0" applyFont="1" applyBorder="1" applyAlignment="1">
      <alignment horizontal="left"/>
    </xf>
    <xf numFmtId="0" fontId="0" fillId="0" borderId="6" xfId="0" applyBorder="1"/>
    <xf numFmtId="0" fontId="0" fillId="0" borderId="7" xfId="0" applyBorder="1"/>
    <xf numFmtId="0" fontId="1" fillId="3" borderId="0" xfId="0" applyFont="1" applyFill="1" applyBorder="1" applyAlignment="1">
      <alignment horizontal="left" wrapText="1"/>
    </xf>
    <xf numFmtId="0" fontId="1" fillId="3" borderId="55" xfId="0" applyFont="1" applyFill="1" applyBorder="1" applyAlignment="1">
      <alignment horizontal="left" wrapText="1"/>
    </xf>
    <xf numFmtId="0" fontId="2" fillId="0" borderId="3" xfId="0" applyFont="1" applyFill="1" applyBorder="1" applyAlignment="1">
      <alignment horizontal="left" wrapText="1"/>
    </xf>
    <xf numFmtId="0" fontId="17" fillId="0" borderId="6" xfId="0" applyFont="1" applyFill="1" applyBorder="1" applyAlignment="1">
      <alignment horizontal="left" wrapText="1"/>
    </xf>
    <xf numFmtId="0" fontId="17" fillId="0" borderId="7" xfId="0" applyFont="1" applyFill="1" applyBorder="1" applyAlignment="1">
      <alignment horizontal="left" wrapText="1"/>
    </xf>
    <xf numFmtId="0" fontId="28" fillId="0" borderId="26" xfId="0" applyFont="1" applyFill="1" applyBorder="1" applyAlignment="1">
      <alignment horizontal="left" wrapText="1"/>
    </xf>
    <xf numFmtId="0" fontId="5" fillId="0" borderId="0" xfId="0" applyFont="1" applyFill="1" applyBorder="1" applyAlignment="1">
      <alignment horizontal="left" wrapText="1"/>
    </xf>
    <xf numFmtId="0" fontId="5" fillId="0" borderId="55" xfId="0" applyFont="1" applyFill="1" applyBorder="1" applyAlignment="1">
      <alignment horizontal="left" wrapText="1"/>
    </xf>
    <xf numFmtId="0" fontId="99" fillId="0" borderId="12" xfId="0" applyFont="1" applyBorder="1" applyAlignment="1">
      <alignment horizontal="left" wrapText="1"/>
    </xf>
    <xf numFmtId="0" fontId="16" fillId="0" borderId="3" xfId="0" applyFont="1" applyBorder="1" applyAlignment="1">
      <alignment horizontal="left" wrapText="1"/>
    </xf>
    <xf numFmtId="0" fontId="66" fillId="0" borderId="6" xfId="1" applyBorder="1" applyAlignment="1" applyProtection="1">
      <alignment horizontal="center"/>
    </xf>
    <xf numFmtId="0" fontId="66" fillId="0" borderId="7" xfId="1" applyBorder="1" applyAlignment="1" applyProtection="1">
      <alignment horizontal="center"/>
    </xf>
    <xf numFmtId="0" fontId="66" fillId="0" borderId="3" xfId="1" applyFill="1" applyBorder="1" applyAlignment="1" applyProtection="1">
      <alignment horizontal="center" wrapText="1"/>
    </xf>
    <xf numFmtId="0" fontId="66" fillId="0" borderId="6" xfId="1" applyFill="1" applyBorder="1" applyAlignment="1" applyProtection="1">
      <alignment horizontal="center" wrapText="1"/>
    </xf>
    <xf numFmtId="0" fontId="66" fillId="0" borderId="7" xfId="1" applyFill="1" applyBorder="1" applyAlignment="1" applyProtection="1">
      <alignment horizontal="center" wrapText="1"/>
    </xf>
    <xf numFmtId="14" fontId="99" fillId="0" borderId="12" xfId="0" applyNumberFormat="1" applyFont="1" applyBorder="1" applyAlignment="1">
      <alignment horizontal="right" wrapText="1"/>
    </xf>
    <xf numFmtId="0" fontId="47" fillId="17" borderId="3" xfId="0" applyFont="1" applyFill="1" applyBorder="1" applyAlignment="1">
      <alignment horizontal="left" vertical="center"/>
    </xf>
    <xf numFmtId="0" fontId="47" fillId="17" borderId="7" xfId="0" applyFont="1" applyFill="1" applyBorder="1" applyAlignment="1">
      <alignment horizontal="left" vertical="center"/>
    </xf>
    <xf numFmtId="0" fontId="12" fillId="0" borderId="0" xfId="0" applyFont="1" applyBorder="1" applyAlignment="1">
      <alignment horizontal="left" vertical="center" wrapText="1"/>
    </xf>
    <xf numFmtId="0" fontId="98" fillId="3" borderId="26" xfId="1" applyFont="1" applyFill="1" applyBorder="1" applyAlignment="1" applyProtection="1">
      <alignment horizontal="center" wrapText="1"/>
    </xf>
    <xf numFmtId="0" fontId="98" fillId="3" borderId="0" xfId="1" applyFont="1" applyFill="1" applyBorder="1" applyAlignment="1" applyProtection="1">
      <alignment horizontal="center" wrapText="1"/>
    </xf>
    <xf numFmtId="0" fontId="98" fillId="3" borderId="55" xfId="1" applyFont="1" applyFill="1" applyBorder="1" applyAlignment="1" applyProtection="1">
      <alignment horizontal="center" wrapText="1"/>
    </xf>
    <xf numFmtId="0" fontId="36" fillId="0" borderId="9" xfId="0" applyFont="1" applyFill="1" applyBorder="1" applyAlignment="1">
      <alignment horizontal="center" wrapText="1"/>
    </xf>
    <xf numFmtId="0" fontId="42" fillId="0" borderId="12" xfId="0" applyFont="1" applyFill="1" applyBorder="1" applyAlignment="1">
      <alignment horizontal="center" wrapText="1"/>
    </xf>
    <xf numFmtId="0" fontId="42" fillId="0" borderId="31" xfId="0" applyFont="1" applyFill="1" applyBorder="1" applyAlignment="1">
      <alignment horizontal="center" wrapText="1"/>
    </xf>
    <xf numFmtId="0" fontId="28" fillId="0" borderId="0" xfId="0" applyFont="1" applyFill="1" applyBorder="1" applyAlignment="1">
      <alignment horizontal="left" wrapText="1"/>
    </xf>
    <xf numFmtId="0" fontId="28" fillId="0" borderId="55" xfId="0" applyFont="1" applyFill="1" applyBorder="1" applyAlignment="1">
      <alignment horizontal="left" wrapText="1"/>
    </xf>
    <xf numFmtId="0" fontId="5" fillId="11" borderId="26" xfId="0" applyFont="1" applyFill="1" applyBorder="1" applyAlignment="1">
      <alignment horizontal="left" wrapText="1"/>
    </xf>
    <xf numFmtId="0" fontId="5" fillId="11" borderId="0" xfId="0" applyFont="1" applyFill="1" applyBorder="1" applyAlignment="1">
      <alignment horizontal="left" wrapText="1"/>
    </xf>
    <xf numFmtId="0" fontId="5" fillId="11" borderId="55" xfId="0" applyFont="1" applyFill="1" applyBorder="1" applyAlignment="1">
      <alignment horizontal="left" wrapText="1"/>
    </xf>
    <xf numFmtId="0" fontId="0" fillId="11" borderId="0" xfId="0" applyFill="1" applyBorder="1" applyAlignment="1">
      <alignment horizontal="left" wrapText="1"/>
    </xf>
    <xf numFmtId="0" fontId="0" fillId="11" borderId="55" xfId="0" applyFill="1" applyBorder="1" applyAlignment="1">
      <alignment horizontal="left" wrapText="1"/>
    </xf>
    <xf numFmtId="0" fontId="1" fillId="3" borderId="26" xfId="0" applyFont="1" applyFill="1" applyBorder="1" applyAlignment="1">
      <alignment horizontal="left" wrapText="1"/>
    </xf>
    <xf numFmtId="0" fontId="5" fillId="3" borderId="0" xfId="0" applyFont="1" applyFill="1"/>
    <xf numFmtId="0" fontId="5" fillId="3" borderId="55" xfId="0" applyFont="1" applyFill="1" applyBorder="1"/>
    <xf numFmtId="0" fontId="19" fillId="0" borderId="15" xfId="0" applyFont="1" applyBorder="1" applyAlignment="1" applyProtection="1">
      <alignment horizontal="left" vertical="center"/>
      <protection hidden="1"/>
    </xf>
    <xf numFmtId="0" fontId="32" fillId="0" borderId="15" xfId="0" applyFont="1" applyBorder="1" applyAlignment="1" applyProtection="1">
      <alignment horizontal="left" vertical="center"/>
      <protection hidden="1"/>
    </xf>
    <xf numFmtId="0" fontId="1" fillId="6" borderId="3" xfId="0" applyFont="1" applyFill="1" applyBorder="1" applyAlignment="1" applyProtection="1">
      <alignment horizontal="center" vertical="center" wrapText="1"/>
      <protection hidden="1"/>
    </xf>
    <xf numFmtId="0" fontId="1" fillId="6" borderId="7" xfId="0" applyFont="1" applyFill="1" applyBorder="1" applyAlignment="1" applyProtection="1">
      <alignment horizontal="center" vertical="center" wrapText="1"/>
      <protection hidden="1"/>
    </xf>
    <xf numFmtId="0" fontId="66" fillId="0" borderId="26" xfId="1" applyBorder="1" applyAlignment="1" applyProtection="1">
      <alignment horizontal="right" vertical="center"/>
      <protection hidden="1"/>
    </xf>
    <xf numFmtId="0" fontId="66" fillId="0" borderId="0" xfId="1" applyBorder="1" applyAlignment="1" applyProtection="1">
      <alignment horizontal="right" vertical="center"/>
      <protection hidden="1"/>
    </xf>
    <xf numFmtId="0" fontId="5" fillId="5" borderId="3" xfId="0" applyFont="1" applyFill="1" applyBorder="1" applyAlignment="1" applyProtection="1">
      <alignment horizontal="left" vertical="center" wrapText="1"/>
      <protection hidden="1"/>
    </xf>
    <xf numFmtId="0" fontId="5" fillId="5" borderId="6" xfId="0" applyFont="1" applyFill="1" applyBorder="1" applyAlignment="1" applyProtection="1">
      <alignment horizontal="left" vertical="center" wrapText="1"/>
      <protection hidden="1"/>
    </xf>
    <xf numFmtId="0" fontId="5" fillId="5" borderId="7" xfId="0" applyFont="1" applyFill="1" applyBorder="1" applyAlignment="1" applyProtection="1">
      <alignment horizontal="left" vertical="center" wrapText="1"/>
      <protection hidden="1"/>
    </xf>
    <xf numFmtId="0" fontId="1" fillId="13" borderId="37" xfId="0" applyFont="1" applyFill="1" applyBorder="1" applyAlignment="1" applyProtection="1">
      <alignment horizontal="center" vertical="center"/>
      <protection hidden="1"/>
    </xf>
    <xf numFmtId="0" fontId="1" fillId="13" borderId="58" xfId="0" applyFont="1" applyFill="1" applyBorder="1" applyAlignment="1" applyProtection="1">
      <alignment horizontal="center" vertical="center"/>
      <protection hidden="1"/>
    </xf>
    <xf numFmtId="0" fontId="29" fillId="0" borderId="15" xfId="0" applyFont="1" applyBorder="1" applyAlignment="1" applyProtection="1">
      <alignment horizontal="left"/>
      <protection hidden="1"/>
    </xf>
    <xf numFmtId="0" fontId="12" fillId="0" borderId="12" xfId="0" applyFont="1" applyBorder="1" applyAlignment="1">
      <alignment horizontal="left" wrapText="1"/>
    </xf>
    <xf numFmtId="0" fontId="1" fillId="5" borderId="3" xfId="0" applyFont="1" applyFill="1" applyBorder="1" applyAlignment="1" applyProtection="1">
      <alignment horizontal="center" vertical="center"/>
      <protection hidden="1"/>
    </xf>
    <xf numFmtId="0" fontId="1" fillId="5" borderId="6" xfId="0" applyFont="1" applyFill="1" applyBorder="1" applyAlignment="1" applyProtection="1">
      <alignment horizontal="center" vertical="center"/>
      <protection hidden="1"/>
    </xf>
    <xf numFmtId="0" fontId="1" fillId="5" borderId="7" xfId="0" applyFont="1" applyFill="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5" fillId="0" borderId="26" xfId="0" applyFont="1" applyBorder="1" applyAlignment="1" applyProtection="1">
      <alignment horizontal="left" vertical="center"/>
      <protection hidden="1"/>
    </xf>
    <xf numFmtId="0" fontId="5" fillId="0" borderId="0" xfId="0" applyFont="1" applyBorder="1" applyAlignment="1" applyProtection="1">
      <alignment horizontal="left" vertical="center"/>
      <protection hidden="1"/>
    </xf>
    <xf numFmtId="0" fontId="5" fillId="0" borderId="0" xfId="0" applyFont="1" applyFill="1" applyBorder="1" applyAlignment="1" applyProtection="1">
      <alignment horizontal="center" wrapText="1"/>
      <protection hidden="1"/>
    </xf>
    <xf numFmtId="0" fontId="70" fillId="0" borderId="0" xfId="0" applyFont="1" applyAlignment="1" applyProtection="1">
      <alignment horizontal="left" wrapText="1"/>
    </xf>
    <xf numFmtId="0" fontId="66" fillId="0" borderId="0" xfId="1" applyBorder="1" applyAlignment="1" applyProtection="1">
      <alignment horizontal="center" vertical="center"/>
      <protection hidden="1"/>
    </xf>
    <xf numFmtId="0" fontId="100" fillId="0" borderId="0" xfId="0" applyFont="1" applyAlignment="1">
      <alignment horizontal="left" wrapText="1"/>
    </xf>
    <xf numFmtId="0" fontId="11" fillId="5" borderId="3" xfId="0" applyFont="1" applyFill="1" applyBorder="1" applyAlignment="1" applyProtection="1">
      <alignment horizontal="center" vertical="center"/>
      <protection hidden="1"/>
    </xf>
    <xf numFmtId="0" fontId="11" fillId="5" borderId="6" xfId="0" applyFont="1" applyFill="1" applyBorder="1" applyAlignment="1" applyProtection="1">
      <alignment horizontal="center" vertical="center"/>
      <protection hidden="1"/>
    </xf>
    <xf numFmtId="0" fontId="11" fillId="5" borderId="7" xfId="0" applyFont="1" applyFill="1" applyBorder="1" applyAlignment="1" applyProtection="1">
      <alignment horizontal="center" vertical="center"/>
      <protection hidden="1"/>
    </xf>
    <xf numFmtId="0" fontId="11" fillId="5" borderId="3" xfId="0" applyFont="1" applyFill="1" applyBorder="1" applyAlignment="1" applyProtection="1">
      <alignment horizontal="center" vertical="center"/>
    </xf>
    <xf numFmtId="0" fontId="11" fillId="5" borderId="6" xfId="0" applyFont="1" applyFill="1" applyBorder="1" applyAlignment="1" applyProtection="1">
      <alignment horizontal="center" vertical="center"/>
    </xf>
    <xf numFmtId="0" fontId="11" fillId="5" borderId="7" xfId="0" applyFont="1" applyFill="1" applyBorder="1" applyAlignment="1" applyProtection="1">
      <alignment horizontal="center" vertical="center"/>
    </xf>
    <xf numFmtId="0" fontId="17" fillId="0" borderId="15" xfId="0" applyFont="1" applyBorder="1" applyAlignment="1" applyProtection="1">
      <alignment horizontal="left" vertical="center"/>
    </xf>
    <xf numFmtId="0" fontId="7" fillId="0" borderId="9" xfId="0" applyFont="1" applyBorder="1" applyAlignment="1" applyProtection="1">
      <alignment horizontal="left" vertical="center"/>
    </xf>
    <xf numFmtId="0" fontId="7" fillId="0" borderId="12" xfId="0" applyFont="1" applyBorder="1" applyAlignment="1" applyProtection="1">
      <alignment horizontal="left" vertical="center"/>
    </xf>
    <xf numFmtId="0" fontId="7" fillId="0" borderId="26" xfId="0" applyFont="1" applyBorder="1" applyAlignment="1" applyProtection="1">
      <alignment horizontal="left" vertical="center"/>
    </xf>
    <xf numFmtId="0" fontId="7" fillId="0" borderId="0" xfId="0" applyFont="1" applyAlignment="1" applyProtection="1">
      <alignment horizontal="left" vertical="center"/>
    </xf>
    <xf numFmtId="0" fontId="11" fillId="0" borderId="0" xfId="0" applyFont="1" applyFill="1" applyBorder="1" applyAlignment="1" applyProtection="1">
      <alignment horizontal="center" vertical="center" wrapText="1"/>
      <protection hidden="1"/>
    </xf>
    <xf numFmtId="0" fontId="12" fillId="0" borderId="0" xfId="0" applyFont="1" applyAlignment="1">
      <alignment horizontal="left" wrapText="1"/>
    </xf>
    <xf numFmtId="0" fontId="74" fillId="0" borderId="0" xfId="0" applyFont="1" applyAlignment="1" applyProtection="1">
      <alignment horizontal="left" wrapText="1"/>
      <protection hidden="1"/>
    </xf>
    <xf numFmtId="165" fontId="2" fillId="5" borderId="3" xfId="0" applyNumberFormat="1" applyFont="1" applyFill="1" applyBorder="1" applyAlignment="1" applyProtection="1">
      <alignment horizontal="center" vertical="center"/>
      <protection hidden="1"/>
    </xf>
    <xf numFmtId="165" fontId="2" fillId="5" borderId="6" xfId="0" applyNumberFormat="1" applyFont="1" applyFill="1" applyBorder="1" applyAlignment="1" applyProtection="1">
      <alignment horizontal="center" vertical="center"/>
      <protection hidden="1"/>
    </xf>
    <xf numFmtId="165" fontId="2" fillId="5" borderId="7" xfId="0" applyNumberFormat="1" applyFont="1" applyFill="1" applyBorder="1" applyAlignment="1" applyProtection="1">
      <alignment horizontal="center" vertical="center"/>
      <protection hidden="1"/>
    </xf>
    <xf numFmtId="0" fontId="11" fillId="0" borderId="9" xfId="0" applyFont="1" applyBorder="1" applyAlignment="1" applyProtection="1">
      <alignment horizontal="right" vertical="center"/>
      <protection hidden="1"/>
    </xf>
    <xf numFmtId="0" fontId="11" fillId="0" borderId="12" xfId="0" applyFont="1" applyBorder="1" applyAlignment="1" applyProtection="1">
      <alignment horizontal="right" vertical="center"/>
      <protection hidden="1"/>
    </xf>
    <xf numFmtId="0" fontId="11" fillId="0" borderId="31" xfId="0" applyFont="1" applyBorder="1" applyAlignment="1" applyProtection="1">
      <alignment horizontal="right" vertical="center"/>
      <protection hidden="1"/>
    </xf>
    <xf numFmtId="0" fontId="11" fillId="0" borderId="26" xfId="0" applyFont="1" applyBorder="1" applyAlignment="1" applyProtection="1">
      <alignment horizontal="right" vertical="center"/>
      <protection hidden="1"/>
    </xf>
    <xf numFmtId="0" fontId="11" fillId="0" borderId="0" xfId="0" applyFont="1" applyBorder="1" applyAlignment="1" applyProtection="1">
      <alignment horizontal="right" vertical="center"/>
      <protection hidden="1"/>
    </xf>
    <xf numFmtId="0" fontId="11" fillId="0" borderId="55" xfId="0" applyFont="1" applyBorder="1" applyAlignment="1" applyProtection="1">
      <alignment horizontal="right" vertical="center"/>
      <protection hidden="1"/>
    </xf>
    <xf numFmtId="0" fontId="1" fillId="0" borderId="55" xfId="0" applyFont="1" applyBorder="1" applyAlignment="1" applyProtection="1">
      <alignment horizontal="center" vertical="center" wrapText="1"/>
      <protection hidden="1"/>
    </xf>
    <xf numFmtId="0" fontId="9" fillId="0" borderId="0" xfId="0" applyFont="1" applyBorder="1" applyAlignment="1" applyProtection="1">
      <alignment horizontal="left" vertical="center" wrapText="1"/>
      <protection hidden="1"/>
    </xf>
    <xf numFmtId="0" fontId="32" fillId="0" borderId="0" xfId="0" applyFont="1" applyBorder="1" applyAlignment="1" applyProtection="1">
      <alignment horizontal="center" vertical="center" wrapText="1"/>
      <protection hidden="1"/>
    </xf>
    <xf numFmtId="0" fontId="11" fillId="0" borderId="10" xfId="0" applyFont="1" applyBorder="1" applyAlignment="1" applyProtection="1">
      <alignment horizontal="right" vertical="center"/>
      <protection hidden="1"/>
    </xf>
    <xf numFmtId="0" fontId="11" fillId="0" borderId="15" xfId="0" applyFont="1" applyBorder="1" applyAlignment="1" applyProtection="1">
      <alignment horizontal="right" vertical="center"/>
      <protection hidden="1"/>
    </xf>
    <xf numFmtId="0" fontId="11" fillId="0" borderId="57" xfId="0" applyFont="1" applyBorder="1" applyAlignment="1" applyProtection="1">
      <alignment horizontal="right" vertical="center"/>
      <protection hidden="1"/>
    </xf>
    <xf numFmtId="0" fontId="34" fillId="0" borderId="12" xfId="0" applyFont="1" applyBorder="1" applyAlignment="1" applyProtection="1">
      <alignment horizontal="right" vertical="center"/>
      <protection hidden="1"/>
    </xf>
    <xf numFmtId="0" fontId="34" fillId="0" borderId="0" xfId="0" applyFont="1" applyAlignment="1" applyProtection="1">
      <alignment horizontal="right" vertical="center"/>
      <protection hidden="1"/>
    </xf>
    <xf numFmtId="0" fontId="34" fillId="0" borderId="0" xfId="0" applyFont="1" applyBorder="1" applyAlignment="1" applyProtection="1">
      <alignment horizontal="right" vertical="center"/>
      <protection hidden="1"/>
    </xf>
    <xf numFmtId="0" fontId="1" fillId="0" borderId="15" xfId="0" applyFont="1" applyBorder="1" applyAlignment="1" applyProtection="1">
      <alignment horizontal="left" wrapText="1"/>
      <protection hidden="1"/>
    </xf>
    <xf numFmtId="165" fontId="11" fillId="7" borderId="68" xfId="0" applyNumberFormat="1" applyFont="1" applyFill="1" applyBorder="1" applyAlignment="1" applyProtection="1">
      <alignment horizontal="center" vertical="center"/>
    </xf>
    <xf numFmtId="165" fontId="7" fillId="7" borderId="68" xfId="0" applyNumberFormat="1" applyFont="1" applyFill="1" applyBorder="1" applyAlignment="1" applyProtection="1">
      <alignment horizontal="center" vertical="center"/>
    </xf>
    <xf numFmtId="0" fontId="44" fillId="0" borderId="3" xfId="0" applyFont="1" applyFill="1" applyBorder="1" applyAlignment="1" applyProtection="1">
      <alignment horizontal="left" vertical="center" wrapText="1"/>
      <protection hidden="1"/>
    </xf>
    <xf numFmtId="0" fontId="43" fillId="0" borderId="6" xfId="0" applyFont="1" applyFill="1" applyBorder="1" applyAlignment="1" applyProtection="1">
      <alignment horizontal="left" vertical="center" wrapText="1"/>
      <protection hidden="1"/>
    </xf>
    <xf numFmtId="0" fontId="43" fillId="0" borderId="50" xfId="0" applyFont="1" applyFill="1" applyBorder="1" applyAlignment="1" applyProtection="1">
      <alignment horizontal="left" vertical="center" wrapText="1"/>
      <protection hidden="1"/>
    </xf>
    <xf numFmtId="0" fontId="1" fillId="6" borderId="72" xfId="0" applyFont="1" applyFill="1" applyBorder="1" applyAlignment="1" applyProtection="1">
      <alignment horizontal="center" vertical="center"/>
    </xf>
    <xf numFmtId="165" fontId="11" fillId="7" borderId="59" xfId="0" applyNumberFormat="1" applyFont="1" applyFill="1" applyBorder="1" applyAlignment="1" applyProtection="1">
      <alignment horizontal="center" vertical="center"/>
    </xf>
    <xf numFmtId="0" fontId="1" fillId="0" borderId="25" xfId="0" applyFont="1" applyBorder="1" applyAlignment="1" applyProtection="1">
      <alignment horizontal="center" vertical="center"/>
      <protection hidden="1"/>
    </xf>
    <xf numFmtId="0" fontId="0" fillId="0" borderId="16" xfId="0" applyBorder="1"/>
    <xf numFmtId="0" fontId="0" fillId="0" borderId="60" xfId="0" applyBorder="1"/>
    <xf numFmtId="165" fontId="11" fillId="7" borderId="61" xfId="0" applyNumberFormat="1" applyFont="1" applyFill="1" applyBorder="1" applyAlignment="1" applyProtection="1">
      <alignment horizontal="center" vertical="center"/>
    </xf>
    <xf numFmtId="165" fontId="11" fillId="7" borderId="50" xfId="0" applyNumberFormat="1" applyFont="1" applyFill="1" applyBorder="1" applyAlignment="1" applyProtection="1">
      <alignment horizontal="center" vertical="center"/>
    </xf>
    <xf numFmtId="0" fontId="36" fillId="5" borderId="3" xfId="0" applyFont="1" applyFill="1" applyBorder="1" applyAlignment="1" applyProtection="1">
      <alignment horizontal="left" vertical="center"/>
      <protection hidden="1"/>
    </xf>
    <xf numFmtId="0" fontId="36" fillId="5" borderId="7" xfId="0" applyFont="1" applyFill="1" applyBorder="1" applyAlignment="1" applyProtection="1">
      <alignment horizontal="left" vertical="center"/>
      <protection hidden="1"/>
    </xf>
    <xf numFmtId="0" fontId="7" fillId="18" borderId="3" xfId="0" applyFont="1" applyFill="1" applyBorder="1" applyAlignment="1" applyProtection="1">
      <alignment horizontal="center" vertical="center" wrapText="1"/>
      <protection hidden="1"/>
    </xf>
    <xf numFmtId="0" fontId="7" fillId="18" borderId="6" xfId="0" applyFont="1" applyFill="1" applyBorder="1" applyAlignment="1" applyProtection="1">
      <alignment horizontal="center" vertical="center" wrapText="1"/>
      <protection hidden="1"/>
    </xf>
    <xf numFmtId="0" fontId="7" fillId="18" borderId="7" xfId="0" applyFont="1" applyFill="1" applyBorder="1" applyAlignment="1" applyProtection="1">
      <alignment horizontal="center" vertical="center" wrapText="1"/>
      <protection hidden="1"/>
    </xf>
    <xf numFmtId="0" fontId="9" fillId="0" borderId="15" xfId="0" applyFont="1" applyBorder="1" applyAlignment="1" applyProtection="1">
      <alignment horizontal="left" vertical="center"/>
      <protection hidden="1"/>
    </xf>
    <xf numFmtId="0" fontId="37" fillId="0" borderId="0" xfId="0" applyFont="1" applyBorder="1" applyAlignment="1" applyProtection="1">
      <alignment horizontal="left" vertical="center"/>
      <protection hidden="1"/>
    </xf>
    <xf numFmtId="0" fontId="36" fillId="5" borderId="3" xfId="0" applyFont="1" applyFill="1" applyBorder="1" applyAlignment="1" applyProtection="1">
      <alignment horizontal="left"/>
      <protection hidden="1"/>
    </xf>
    <xf numFmtId="0" fontId="36" fillId="5" borderId="7" xfId="0" applyFont="1" applyFill="1" applyBorder="1" applyAlignment="1" applyProtection="1">
      <alignment horizontal="left"/>
      <protection hidden="1"/>
    </xf>
    <xf numFmtId="0" fontId="7" fillId="22" borderId="9" xfId="0" applyFont="1" applyFill="1" applyBorder="1" applyAlignment="1" applyProtection="1">
      <alignment horizontal="center" vertical="center"/>
      <protection hidden="1"/>
    </xf>
    <xf numFmtId="0" fontId="7" fillId="22" borderId="12" xfId="0" applyFont="1" applyFill="1" applyBorder="1" applyAlignment="1" applyProtection="1">
      <alignment horizontal="center" vertical="center"/>
      <protection hidden="1"/>
    </xf>
    <xf numFmtId="0" fontId="7" fillId="22" borderId="31" xfId="0" applyFont="1" applyFill="1" applyBorder="1" applyAlignment="1" applyProtection="1">
      <alignment horizontal="center" vertical="center"/>
      <protection hidden="1"/>
    </xf>
    <xf numFmtId="165" fontId="11" fillId="7" borderId="67" xfId="0" applyNumberFormat="1" applyFont="1" applyFill="1" applyBorder="1" applyAlignment="1" applyProtection="1">
      <alignment horizontal="center" vertical="center"/>
    </xf>
    <xf numFmtId="165" fontId="11" fillId="7" borderId="32"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protection hidden="1"/>
    </xf>
    <xf numFmtId="165" fontId="11" fillId="7" borderId="71" xfId="0" applyNumberFormat="1" applyFont="1" applyFill="1" applyBorder="1" applyAlignment="1" applyProtection="1">
      <alignment horizontal="center" vertical="center"/>
      <protection hidden="1"/>
    </xf>
    <xf numFmtId="0" fontId="7" fillId="19" borderId="26" xfId="0" applyFont="1" applyFill="1" applyBorder="1" applyAlignment="1" applyProtection="1">
      <alignment horizontal="center" vertical="center"/>
      <protection hidden="1"/>
    </xf>
    <xf numFmtId="0" fontId="7" fillId="19" borderId="0" xfId="0" applyFont="1" applyFill="1" applyBorder="1" applyAlignment="1" applyProtection="1">
      <alignment horizontal="center" vertical="center"/>
      <protection hidden="1"/>
    </xf>
    <xf numFmtId="0" fontId="7" fillId="19" borderId="55" xfId="0" applyFont="1" applyFill="1" applyBorder="1" applyAlignment="1" applyProtection="1">
      <alignment horizontal="center" vertical="center"/>
      <protection hidden="1"/>
    </xf>
    <xf numFmtId="0" fontId="68" fillId="20" borderId="26" xfId="0" applyFont="1" applyFill="1" applyBorder="1" applyAlignment="1" applyProtection="1">
      <alignment horizontal="center" vertical="center"/>
      <protection hidden="1"/>
    </xf>
    <xf numFmtId="0" fontId="68" fillId="20" borderId="0" xfId="0" applyFont="1" applyFill="1" applyBorder="1" applyAlignment="1" applyProtection="1">
      <alignment horizontal="center" vertical="center"/>
      <protection hidden="1"/>
    </xf>
    <xf numFmtId="0" fontId="68" fillId="20" borderId="55" xfId="0" applyFont="1" applyFill="1" applyBorder="1" applyAlignment="1" applyProtection="1">
      <alignment horizontal="center" vertical="center"/>
      <protection hidden="1"/>
    </xf>
    <xf numFmtId="0" fontId="68" fillId="21" borderId="10" xfId="0" applyFont="1" applyFill="1" applyBorder="1" applyAlignment="1" applyProtection="1">
      <alignment horizontal="center" vertical="center"/>
      <protection hidden="1"/>
    </xf>
    <xf numFmtId="0" fontId="68" fillId="21" borderId="15" xfId="0" applyFont="1" applyFill="1" applyBorder="1" applyAlignment="1" applyProtection="1">
      <alignment horizontal="center" vertical="center"/>
      <protection hidden="1"/>
    </xf>
    <xf numFmtId="0" fontId="68" fillId="21" borderId="57" xfId="0" applyFont="1" applyFill="1" applyBorder="1" applyAlignment="1" applyProtection="1">
      <alignment horizontal="center" vertical="center"/>
      <protection hidden="1"/>
    </xf>
    <xf numFmtId="165" fontId="7" fillId="7" borderId="59" xfId="0" applyNumberFormat="1" applyFont="1" applyFill="1" applyBorder="1" applyAlignment="1" applyProtection="1">
      <alignment horizontal="center" vertical="center"/>
    </xf>
    <xf numFmtId="0" fontId="7" fillId="6" borderId="37" xfId="0" applyFont="1" applyFill="1" applyBorder="1" applyAlignment="1" applyProtection="1">
      <alignment horizontal="left" wrapText="1"/>
    </xf>
    <xf numFmtId="165" fontId="11" fillId="7" borderId="72" xfId="0" applyNumberFormat="1" applyFont="1" applyFill="1" applyBorder="1" applyAlignment="1" applyProtection="1">
      <alignment horizontal="center" vertical="center"/>
    </xf>
    <xf numFmtId="0" fontId="11" fillId="0" borderId="0" xfId="0" applyFont="1" applyFill="1" applyBorder="1" applyAlignment="1" applyProtection="1">
      <alignment horizontal="center" wrapText="1"/>
      <protection hidden="1"/>
    </xf>
    <xf numFmtId="165" fontId="7" fillId="0" borderId="0"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wrapText="1"/>
      <protection hidden="1"/>
    </xf>
    <xf numFmtId="0" fontId="11" fillId="0" borderId="0" xfId="0" applyFont="1" applyAlignment="1" applyProtection="1">
      <alignment horizontal="right" vertical="center"/>
      <protection hidden="1"/>
    </xf>
    <xf numFmtId="0" fontId="7" fillId="0" borderId="62" xfId="0" applyFont="1" applyFill="1" applyBorder="1" applyAlignment="1" applyProtection="1">
      <alignment horizontal="center" wrapText="1"/>
      <protection hidden="1"/>
    </xf>
    <xf numFmtId="0" fontId="7" fillId="0" borderId="63" xfId="0" applyFont="1" applyFill="1" applyBorder="1" applyAlignment="1" applyProtection="1">
      <alignment horizontal="center" wrapText="1"/>
      <protection hidden="1"/>
    </xf>
    <xf numFmtId="0" fontId="7" fillId="0" borderId="64" xfId="0" applyFont="1" applyFill="1" applyBorder="1" applyAlignment="1" applyProtection="1">
      <alignment horizontal="center" wrapText="1"/>
      <protection hidden="1"/>
    </xf>
    <xf numFmtId="165" fontId="11" fillId="0" borderId="65" xfId="0" applyNumberFormat="1" applyFont="1" applyFill="1" applyBorder="1" applyAlignment="1" applyProtection="1">
      <alignment horizontal="center" vertical="center"/>
    </xf>
    <xf numFmtId="165" fontId="11" fillId="0" borderId="66" xfId="0" applyNumberFormat="1" applyFont="1" applyFill="1" applyBorder="1" applyAlignment="1" applyProtection="1">
      <alignment horizontal="center" vertical="center"/>
    </xf>
    <xf numFmtId="165" fontId="11" fillId="0" borderId="14" xfId="0" applyNumberFormat="1" applyFont="1" applyFill="1" applyBorder="1" applyAlignment="1" applyProtection="1">
      <alignment horizontal="center" vertical="center"/>
      <protection hidden="1"/>
    </xf>
    <xf numFmtId="2" fontId="7" fillId="6" borderId="37" xfId="0" applyNumberFormat="1" applyFont="1" applyFill="1" applyBorder="1" applyAlignment="1" applyProtection="1">
      <alignment horizontal="center" wrapText="1"/>
    </xf>
    <xf numFmtId="0" fontId="7" fillId="6" borderId="6" xfId="0" applyFont="1" applyFill="1" applyBorder="1" applyAlignment="1" applyProtection="1">
      <alignment horizontal="left" wrapText="1"/>
    </xf>
    <xf numFmtId="165" fontId="11" fillId="7" borderId="68" xfId="0" applyNumberFormat="1" applyFont="1" applyFill="1" applyBorder="1" applyAlignment="1" applyProtection="1">
      <alignment horizontal="center" vertical="center"/>
      <protection hidden="1"/>
    </xf>
    <xf numFmtId="2" fontId="7" fillId="6" borderId="6" xfId="0" applyNumberFormat="1" applyFont="1" applyFill="1" applyBorder="1" applyAlignment="1" applyProtection="1">
      <alignment horizontal="right" wrapText="1"/>
    </xf>
    <xf numFmtId="2" fontId="7" fillId="6" borderId="50" xfId="0" applyNumberFormat="1" applyFont="1" applyFill="1" applyBorder="1" applyAlignment="1" applyProtection="1">
      <alignment horizontal="right" wrapText="1"/>
    </xf>
    <xf numFmtId="165" fontId="11" fillId="0" borderId="71" xfId="0" applyNumberFormat="1" applyFont="1" applyFill="1" applyBorder="1" applyAlignment="1" applyProtection="1">
      <alignment horizontal="center" vertical="center"/>
      <protection hidden="1"/>
    </xf>
    <xf numFmtId="0" fontId="7" fillId="0" borderId="0" xfId="0" applyFont="1" applyAlignment="1" applyProtection="1">
      <alignment horizontal="left" wrapText="1"/>
      <protection hidden="1"/>
    </xf>
    <xf numFmtId="165" fontId="11" fillId="0" borderId="69" xfId="0" applyNumberFormat="1" applyFont="1" applyFill="1" applyBorder="1" applyAlignment="1" applyProtection="1">
      <alignment horizontal="center" vertical="center"/>
    </xf>
    <xf numFmtId="165" fontId="11" fillId="0" borderId="70" xfId="0" applyNumberFormat="1" applyFont="1" applyFill="1" applyBorder="1" applyAlignment="1" applyProtection="1">
      <alignment horizontal="center" vertical="center"/>
    </xf>
    <xf numFmtId="1" fontId="7" fillId="11" borderId="3" xfId="0" applyNumberFormat="1" applyFont="1" applyFill="1" applyBorder="1" applyAlignment="1" applyProtection="1">
      <alignment horizontal="left" vertical="center"/>
      <protection locked="0"/>
    </xf>
    <xf numFmtId="1" fontId="7" fillId="11" borderId="6" xfId="0" applyNumberFormat="1" applyFont="1" applyFill="1" applyBorder="1" applyAlignment="1" applyProtection="1">
      <alignment horizontal="left" vertical="center"/>
      <protection locked="0"/>
    </xf>
    <xf numFmtId="1" fontId="7" fillId="11" borderId="7" xfId="0" applyNumberFormat="1" applyFont="1" applyFill="1" applyBorder="1" applyAlignment="1" applyProtection="1">
      <alignment horizontal="left" vertical="center"/>
      <protection locked="0"/>
    </xf>
    <xf numFmtId="0" fontId="36" fillId="0" borderId="0" xfId="0" applyFont="1" applyAlignment="1" applyProtection="1">
      <alignment horizontal="center"/>
      <protection hidden="1"/>
    </xf>
    <xf numFmtId="2" fontId="11" fillId="0" borderId="0" xfId="0" applyNumberFormat="1" applyFont="1" applyFill="1" applyBorder="1" applyAlignment="1" applyProtection="1">
      <alignment horizontal="left" vertical="center"/>
      <protection hidden="1"/>
    </xf>
    <xf numFmtId="0" fontId="7" fillId="5" borderId="3" xfId="0" applyFont="1" applyFill="1" applyBorder="1" applyAlignment="1" applyProtection="1">
      <alignment horizontal="center" wrapText="1"/>
      <protection hidden="1"/>
    </xf>
    <xf numFmtId="0" fontId="7" fillId="5" borderId="6" xfId="0" applyFont="1" applyFill="1" applyBorder="1" applyAlignment="1" applyProtection="1">
      <alignment horizontal="center" wrapText="1"/>
      <protection hidden="1"/>
    </xf>
    <xf numFmtId="0" fontId="7" fillId="5" borderId="7" xfId="0" applyFont="1" applyFill="1" applyBorder="1" applyAlignment="1" applyProtection="1">
      <alignment horizontal="center" wrapText="1"/>
      <protection hidden="1"/>
    </xf>
    <xf numFmtId="0" fontId="7" fillId="0" borderId="26" xfId="0" applyFont="1" applyFill="1" applyBorder="1" applyAlignment="1" applyProtection="1">
      <alignment horizontal="center" wrapText="1"/>
      <protection hidden="1"/>
    </xf>
    <xf numFmtId="1" fontId="69" fillId="11" borderId="1" xfId="0" applyNumberFormat="1" applyFont="1" applyFill="1" applyBorder="1" applyAlignment="1" applyProtection="1">
      <alignment horizontal="left" vertical="center"/>
      <protection locked="0"/>
    </xf>
    <xf numFmtId="0" fontId="1" fillId="16" borderId="3" xfId="0" applyFont="1" applyFill="1" applyBorder="1" applyAlignment="1" applyProtection="1">
      <alignment horizontal="left" vertical="center"/>
      <protection locked="0" hidden="1"/>
    </xf>
    <xf numFmtId="0" fontId="1" fillId="16" borderId="7" xfId="0" applyFont="1" applyFill="1" applyBorder="1" applyAlignment="1" applyProtection="1">
      <alignment horizontal="left" vertical="center"/>
      <protection locked="0" hidden="1"/>
    </xf>
    <xf numFmtId="0" fontId="1" fillId="0" borderId="73" xfId="0" applyFont="1" applyBorder="1" applyAlignment="1" applyProtection="1">
      <alignment horizontal="center" vertical="center" wrapText="1"/>
      <protection hidden="1"/>
    </xf>
    <xf numFmtId="0" fontId="0" fillId="0" borderId="47" xfId="0" applyBorder="1"/>
    <xf numFmtId="0" fontId="0" fillId="0" borderId="74" xfId="0" applyBorder="1"/>
    <xf numFmtId="0" fontId="0" fillId="0" borderId="54" xfId="0" applyBorder="1"/>
    <xf numFmtId="0" fontId="11" fillId="6" borderId="68" xfId="0" applyFont="1" applyFill="1" applyBorder="1" applyAlignment="1" applyProtection="1">
      <alignment horizontal="center" vertical="center" wrapText="1"/>
    </xf>
    <xf numFmtId="0" fontId="12" fillId="0" borderId="0" xfId="0" applyFont="1" applyBorder="1" applyAlignment="1" applyProtection="1">
      <alignment horizontal="left" wrapText="1"/>
      <protection hidden="1"/>
    </xf>
    <xf numFmtId="0" fontId="25" fillId="0" borderId="74" xfId="0" applyFont="1" applyBorder="1" applyAlignment="1" applyProtection="1">
      <alignment horizontal="left" vertical="center"/>
      <protection hidden="1"/>
    </xf>
    <xf numFmtId="0" fontId="25" fillId="0" borderId="15" xfId="0" applyFont="1" applyBorder="1" applyAlignment="1" applyProtection="1">
      <alignment horizontal="left" vertical="center"/>
      <protection hidden="1"/>
    </xf>
    <xf numFmtId="0" fontId="25" fillId="0" borderId="57" xfId="0" applyFont="1" applyBorder="1" applyAlignment="1" applyProtection="1">
      <alignment horizontal="left" vertical="center"/>
      <protection hidden="1"/>
    </xf>
    <xf numFmtId="0" fontId="1" fillId="5" borderId="18" xfId="0" applyFont="1" applyFill="1" applyBorder="1" applyAlignment="1" applyProtection="1">
      <alignment horizontal="center" vertical="center" wrapText="1"/>
      <protection hidden="1"/>
    </xf>
    <xf numFmtId="0" fontId="25" fillId="0" borderId="39" xfId="0" applyFont="1" applyBorder="1" applyAlignment="1" applyProtection="1">
      <alignment horizontal="left" vertical="center"/>
      <protection hidden="1"/>
    </xf>
    <xf numFmtId="0" fontId="25" fillId="0" borderId="40" xfId="0" applyFont="1" applyBorder="1" applyAlignment="1" applyProtection="1">
      <alignment horizontal="left" vertical="center"/>
      <protection hidden="1"/>
    </xf>
    <xf numFmtId="0" fontId="25" fillId="0" borderId="41" xfId="0" applyFont="1" applyBorder="1" applyAlignment="1" applyProtection="1">
      <alignment horizontal="left" vertical="center"/>
      <protection hidden="1"/>
    </xf>
    <xf numFmtId="165" fontId="1" fillId="0" borderId="38" xfId="0" applyNumberFormat="1" applyFont="1" applyFill="1" applyBorder="1" applyAlignment="1" applyProtection="1">
      <alignment horizontal="center" vertical="center"/>
    </xf>
    <xf numFmtId="165" fontId="1" fillId="0" borderId="16" xfId="0" applyNumberFormat="1" applyFont="1" applyFill="1" applyBorder="1" applyAlignment="1" applyProtection="1">
      <alignment horizontal="center" vertical="center"/>
    </xf>
    <xf numFmtId="165" fontId="1" fillId="0" borderId="60" xfId="0" applyNumberFormat="1" applyFont="1" applyFill="1" applyBorder="1" applyAlignment="1" applyProtection="1">
      <alignment horizontal="center" vertical="center"/>
    </xf>
    <xf numFmtId="0" fontId="33" fillId="23" borderId="46" xfId="0" applyFont="1" applyFill="1" applyBorder="1" applyAlignment="1" applyProtection="1">
      <alignment horizontal="center" vertical="center" wrapText="1"/>
      <protection hidden="1"/>
    </xf>
    <xf numFmtId="0" fontId="33" fillId="23" borderId="20" xfId="0" applyFont="1" applyFill="1" applyBorder="1" applyAlignment="1" applyProtection="1">
      <alignment horizontal="center" vertical="center" wrapText="1"/>
      <protection hidden="1"/>
    </xf>
    <xf numFmtId="0" fontId="33" fillId="23" borderId="75" xfId="0" applyFont="1" applyFill="1" applyBorder="1" applyAlignment="1" applyProtection="1">
      <alignment horizontal="center" vertical="center" wrapText="1"/>
      <protection hidden="1"/>
    </xf>
    <xf numFmtId="2" fontId="0" fillId="23" borderId="76" xfId="0" applyNumberFormat="1" applyFill="1" applyBorder="1" applyAlignment="1" applyProtection="1">
      <alignment horizontal="center" vertical="center"/>
      <protection hidden="1"/>
    </xf>
    <xf numFmtId="0" fontId="0" fillId="23" borderId="76" xfId="0" applyFill="1" applyBorder="1" applyAlignment="1" applyProtection="1">
      <alignment horizontal="center" vertical="center"/>
      <protection hidden="1"/>
    </xf>
    <xf numFmtId="0" fontId="0" fillId="23" borderId="77" xfId="0" applyFill="1" applyBorder="1" applyAlignment="1" applyProtection="1">
      <alignment horizontal="center" vertical="center"/>
      <protection hidden="1"/>
    </xf>
    <xf numFmtId="165" fontId="1" fillId="2" borderId="3" xfId="0" applyNumberFormat="1" applyFont="1" applyFill="1" applyBorder="1" applyAlignment="1" applyProtection="1">
      <alignment horizontal="center" vertical="center"/>
    </xf>
    <xf numFmtId="165" fontId="1" fillId="2" borderId="6" xfId="0" applyNumberFormat="1" applyFont="1" applyFill="1" applyBorder="1" applyAlignment="1" applyProtection="1">
      <alignment horizontal="center" vertical="center"/>
    </xf>
    <xf numFmtId="165" fontId="1" fillId="2" borderId="50" xfId="0" applyNumberFormat="1" applyFont="1" applyFill="1" applyBorder="1" applyAlignment="1" applyProtection="1">
      <alignment horizontal="center" vertical="center"/>
    </xf>
    <xf numFmtId="165" fontId="1" fillId="2" borderId="42" xfId="0" applyNumberFormat="1" applyFont="1" applyFill="1" applyBorder="1" applyAlignment="1" applyProtection="1">
      <alignment horizontal="center" vertical="center"/>
    </xf>
    <xf numFmtId="165" fontId="1" fillId="2" borderId="40" xfId="0" applyNumberFormat="1" applyFont="1" applyFill="1" applyBorder="1" applyAlignment="1" applyProtection="1">
      <alignment horizontal="center" vertical="center"/>
    </xf>
    <xf numFmtId="165" fontId="1" fillId="2" borderId="41" xfId="0" applyNumberFormat="1" applyFont="1" applyFill="1" applyBorder="1" applyAlignment="1" applyProtection="1">
      <alignment horizontal="center" vertical="center"/>
    </xf>
    <xf numFmtId="165" fontId="1" fillId="2" borderId="7" xfId="0" applyNumberFormat="1" applyFont="1" applyFill="1" applyBorder="1" applyAlignment="1" applyProtection="1">
      <alignment horizontal="center" vertical="center"/>
    </xf>
    <xf numFmtId="165" fontId="1" fillId="2" borderId="43" xfId="0" applyNumberFormat="1" applyFont="1" applyFill="1" applyBorder="1" applyAlignment="1" applyProtection="1">
      <alignment horizontal="center" vertical="center"/>
    </xf>
    <xf numFmtId="0" fontId="66" fillId="0" borderId="0" xfId="1" applyBorder="1" applyAlignment="1" applyProtection="1">
      <alignment horizontal="left" vertical="center"/>
      <protection hidden="1"/>
    </xf>
    <xf numFmtId="0" fontId="47" fillId="17" borderId="0" xfId="0" applyFont="1" applyFill="1" applyBorder="1" applyAlignment="1" applyProtection="1">
      <alignment horizontal="left" vertical="center"/>
      <protection hidden="1"/>
    </xf>
    <xf numFmtId="0" fontId="2" fillId="0" borderId="0" xfId="0" applyFont="1" applyFill="1" applyBorder="1" applyAlignment="1">
      <alignment horizontal="left" vertical="center"/>
    </xf>
    <xf numFmtId="0" fontId="42" fillId="0" borderId="0" xfId="0" applyFont="1" applyFill="1" applyBorder="1" applyAlignment="1" applyProtection="1">
      <alignment horizontal="left" vertical="center"/>
    </xf>
    <xf numFmtId="0" fontId="9" fillId="0" borderId="34" xfId="0" applyFont="1" applyBorder="1" applyAlignment="1" applyProtection="1">
      <alignment horizontal="left"/>
      <protection hidden="1"/>
    </xf>
    <xf numFmtId="0" fontId="40" fillId="0" borderId="0" xfId="0" applyFont="1" applyBorder="1" applyAlignment="1" applyProtection="1">
      <alignment horizontal="center" vertical="center"/>
      <protection hidden="1"/>
    </xf>
    <xf numFmtId="0" fontId="33" fillId="5" borderId="61" xfId="0" applyFont="1" applyFill="1" applyBorder="1" applyAlignment="1" applyProtection="1">
      <alignment horizontal="left" vertical="center"/>
      <protection hidden="1"/>
    </xf>
    <xf numFmtId="0" fontId="33" fillId="5" borderId="6" xfId="0" applyFont="1" applyFill="1" applyBorder="1" applyAlignment="1" applyProtection="1">
      <alignment horizontal="left" vertical="center"/>
      <protection hidden="1"/>
    </xf>
    <xf numFmtId="0" fontId="33" fillId="5" borderId="7" xfId="0" applyFont="1" applyFill="1" applyBorder="1" applyAlignment="1" applyProtection="1">
      <alignment horizontal="left" vertical="center"/>
      <protection hidden="1"/>
    </xf>
    <xf numFmtId="0" fontId="34" fillId="10" borderId="18" xfId="0" applyFont="1" applyFill="1" applyBorder="1" applyAlignment="1" applyProtection="1">
      <alignment horizontal="center" vertical="center" wrapText="1"/>
      <protection hidden="1"/>
    </xf>
    <xf numFmtId="0" fontId="0" fillId="23" borderId="78" xfId="0" applyFill="1" applyBorder="1" applyAlignment="1" applyProtection="1">
      <alignment horizontal="center" vertical="center"/>
      <protection hidden="1"/>
    </xf>
    <xf numFmtId="0" fontId="0" fillId="23" borderId="20" xfId="0" applyFill="1" applyBorder="1" applyAlignment="1" applyProtection="1">
      <alignment horizontal="center" vertical="center"/>
      <protection hidden="1"/>
    </xf>
    <xf numFmtId="0" fontId="0" fillId="23" borderId="75" xfId="0" applyFill="1" applyBorder="1" applyAlignment="1" applyProtection="1">
      <alignment horizontal="center" vertical="center"/>
      <protection hidden="1"/>
    </xf>
    <xf numFmtId="2" fontId="34" fillId="10" borderId="38" xfId="0" applyNumberFormat="1" applyFont="1" applyFill="1" applyBorder="1" applyAlignment="1" applyProtection="1">
      <alignment horizontal="center" vertical="center" wrapText="1"/>
      <protection hidden="1"/>
    </xf>
    <xf numFmtId="0" fontId="34" fillId="10" borderId="17" xfId="0" applyFont="1" applyFill="1" applyBorder="1" applyAlignment="1" applyProtection="1">
      <alignment horizontal="center" vertical="center" wrapText="1"/>
      <protection hidden="1"/>
    </xf>
    <xf numFmtId="2" fontId="34" fillId="0" borderId="3" xfId="0" applyNumberFormat="1" applyFont="1" applyFill="1" applyBorder="1" applyAlignment="1" applyProtection="1">
      <alignment horizontal="center" vertical="center" wrapText="1"/>
      <protection hidden="1"/>
    </xf>
    <xf numFmtId="0" fontId="34" fillId="0" borderId="6" xfId="0" applyFont="1" applyFill="1" applyBorder="1" applyAlignment="1" applyProtection="1">
      <alignment horizontal="center" vertical="center" wrapText="1"/>
      <protection hidden="1"/>
    </xf>
    <xf numFmtId="0" fontId="1" fillId="5" borderId="19" xfId="0" applyFont="1" applyFill="1" applyBorder="1" applyAlignment="1" applyProtection="1">
      <alignment horizontal="center" vertical="center" wrapText="1"/>
      <protection hidden="1"/>
    </xf>
    <xf numFmtId="0" fontId="34" fillId="0" borderId="85" xfId="0" applyFont="1" applyFill="1" applyBorder="1" applyAlignment="1" applyProtection="1">
      <alignment horizontal="center" vertical="center" wrapText="1"/>
      <protection hidden="1"/>
    </xf>
    <xf numFmtId="0" fontId="34" fillId="0" borderId="81" xfId="0" applyFont="1" applyFill="1" applyBorder="1" applyAlignment="1" applyProtection="1">
      <alignment horizontal="center" vertical="center" wrapText="1"/>
      <protection hidden="1"/>
    </xf>
    <xf numFmtId="0" fontId="33" fillId="5" borderId="39" xfId="0" applyFont="1" applyFill="1" applyBorder="1" applyAlignment="1" applyProtection="1">
      <alignment horizontal="left" vertical="center"/>
      <protection hidden="1"/>
    </xf>
    <xf numFmtId="0" fontId="33" fillId="5" borderId="40" xfId="0" applyFont="1" applyFill="1" applyBorder="1" applyAlignment="1" applyProtection="1">
      <alignment horizontal="left" vertical="center"/>
      <protection hidden="1"/>
    </xf>
    <xf numFmtId="0" fontId="33" fillId="5" borderId="41" xfId="0" applyFont="1" applyFill="1" applyBorder="1" applyAlignment="1" applyProtection="1">
      <alignment horizontal="left" vertical="center"/>
      <protection hidden="1"/>
    </xf>
    <xf numFmtId="0" fontId="36" fillId="5" borderId="46" xfId="0" applyFont="1" applyFill="1" applyBorder="1" applyAlignment="1" applyProtection="1">
      <alignment horizontal="left" vertical="center"/>
      <protection hidden="1"/>
    </xf>
    <xf numFmtId="0" fontId="36" fillId="5" borderId="20" xfId="0" applyFont="1" applyFill="1" applyBorder="1" applyAlignment="1" applyProtection="1">
      <alignment horizontal="left" vertical="center"/>
      <protection hidden="1"/>
    </xf>
    <xf numFmtId="2" fontId="34" fillId="10" borderId="80" xfId="0" applyNumberFormat="1" applyFont="1" applyFill="1" applyBorder="1" applyAlignment="1" applyProtection="1">
      <alignment horizontal="left" vertical="center" wrapText="1"/>
      <protection hidden="1"/>
    </xf>
    <xf numFmtId="0" fontId="34" fillId="10" borderId="23" xfId="0" applyFont="1" applyFill="1" applyBorder="1" applyAlignment="1" applyProtection="1">
      <alignment horizontal="left" vertical="center" wrapText="1"/>
      <protection hidden="1"/>
    </xf>
    <xf numFmtId="0" fontId="36" fillId="5" borderId="73" xfId="0" applyFont="1" applyFill="1" applyBorder="1" applyAlignment="1" applyProtection="1">
      <alignment horizontal="left" vertical="center"/>
      <protection hidden="1"/>
    </xf>
    <xf numFmtId="0" fontId="36" fillId="5" borderId="81" xfId="0" applyFont="1" applyFill="1" applyBorder="1" applyAlignment="1" applyProtection="1">
      <alignment horizontal="left" vertical="center"/>
      <protection hidden="1"/>
    </xf>
    <xf numFmtId="0" fontId="36" fillId="5" borderId="82" xfId="0" applyFont="1" applyFill="1" applyBorder="1" applyAlignment="1" applyProtection="1">
      <alignment horizontal="left" vertical="center"/>
      <protection hidden="1"/>
    </xf>
    <xf numFmtId="0" fontId="36" fillId="5" borderId="51" xfId="0" applyFont="1" applyFill="1" applyBorder="1" applyAlignment="1" applyProtection="1">
      <alignment horizontal="left" vertical="center"/>
      <protection hidden="1"/>
    </xf>
    <xf numFmtId="0" fontId="36" fillId="5" borderId="0" xfId="0" applyFont="1" applyFill="1" applyBorder="1" applyAlignment="1" applyProtection="1">
      <alignment horizontal="left" vertical="center"/>
      <protection hidden="1"/>
    </xf>
    <xf numFmtId="0" fontId="36" fillId="5" borderId="55" xfId="0" applyFont="1" applyFill="1" applyBorder="1" applyAlignment="1" applyProtection="1">
      <alignment horizontal="left" vertical="center"/>
      <protection hidden="1"/>
    </xf>
    <xf numFmtId="0" fontId="36" fillId="5" borderId="83" xfId="0" applyFont="1" applyFill="1" applyBorder="1" applyAlignment="1" applyProtection="1">
      <alignment horizontal="left" vertical="center"/>
      <protection hidden="1"/>
    </xf>
    <xf numFmtId="0" fontId="36" fillId="5" borderId="34" xfId="0" applyFont="1" applyFill="1" applyBorder="1" applyAlignment="1" applyProtection="1">
      <alignment horizontal="left" vertical="center"/>
      <protection hidden="1"/>
    </xf>
    <xf numFmtId="0" fontId="36" fillId="5" borderId="84" xfId="0" applyFont="1" applyFill="1" applyBorder="1" applyAlignment="1" applyProtection="1">
      <alignment horizontal="left" vertical="center"/>
      <protection hidden="1"/>
    </xf>
    <xf numFmtId="0" fontId="34" fillId="10" borderId="79" xfId="0" applyFont="1" applyFill="1" applyBorder="1" applyAlignment="1" applyProtection="1">
      <alignment horizontal="left" vertical="center" wrapText="1"/>
      <protection hidden="1"/>
    </xf>
    <xf numFmtId="0" fontId="34" fillId="10" borderId="18" xfId="0" applyFont="1" applyFill="1" applyBorder="1" applyAlignment="1" applyProtection="1">
      <alignment horizontal="left" vertical="center" wrapText="1"/>
      <protection hidden="1"/>
    </xf>
    <xf numFmtId="1" fontId="34" fillId="10" borderId="3" xfId="0" applyNumberFormat="1" applyFont="1" applyFill="1" applyBorder="1" applyAlignment="1" applyProtection="1">
      <alignment horizontal="center" vertical="center" wrapText="1"/>
      <protection hidden="1"/>
    </xf>
    <xf numFmtId="0" fontId="34" fillId="10" borderId="7" xfId="0" applyFont="1" applyFill="1" applyBorder="1" applyAlignment="1" applyProtection="1">
      <alignment horizontal="center" vertical="center" wrapText="1"/>
      <protection hidden="1"/>
    </xf>
    <xf numFmtId="165" fontId="1" fillId="0" borderId="42" xfId="0" applyNumberFormat="1" applyFont="1" applyFill="1" applyBorder="1" applyAlignment="1" applyProtection="1">
      <alignment horizontal="center" vertical="center"/>
    </xf>
    <xf numFmtId="165" fontId="1" fillId="0" borderId="40" xfId="0" applyNumberFormat="1" applyFont="1" applyFill="1" applyBorder="1" applyAlignment="1" applyProtection="1">
      <alignment horizontal="center" vertical="center"/>
    </xf>
    <xf numFmtId="165" fontId="1" fillId="0" borderId="41" xfId="0" applyNumberFormat="1" applyFont="1" applyFill="1" applyBorder="1" applyAlignment="1" applyProtection="1">
      <alignment horizontal="center" vertical="center"/>
    </xf>
    <xf numFmtId="0" fontId="34" fillId="0" borderId="86" xfId="0" applyFont="1" applyFill="1" applyBorder="1" applyAlignment="1" applyProtection="1">
      <alignment horizontal="center" vertical="center" wrapText="1"/>
      <protection hidden="1"/>
    </xf>
    <xf numFmtId="0" fontId="34" fillId="0" borderId="34" xfId="0" applyFont="1" applyFill="1" applyBorder="1" applyAlignment="1" applyProtection="1">
      <alignment horizontal="center" vertical="center" wrapText="1"/>
      <protection hidden="1"/>
    </xf>
    <xf numFmtId="165" fontId="1" fillId="2" borderId="38" xfId="0" applyNumberFormat="1" applyFont="1" applyFill="1" applyBorder="1" applyAlignment="1" applyProtection="1">
      <alignment horizontal="center" vertical="center"/>
    </xf>
    <xf numFmtId="165" fontId="1" fillId="2" borderId="16" xfId="0" applyNumberFormat="1" applyFont="1" applyFill="1" applyBorder="1" applyAlignment="1" applyProtection="1">
      <alignment horizontal="center" vertical="center"/>
    </xf>
    <xf numFmtId="165" fontId="1" fillId="2" borderId="17" xfId="0" applyNumberFormat="1" applyFont="1" applyFill="1" applyBorder="1" applyAlignment="1" applyProtection="1">
      <alignment horizontal="center" vertical="center"/>
    </xf>
    <xf numFmtId="0" fontId="34" fillId="10" borderId="23" xfId="0" applyFont="1" applyFill="1" applyBorder="1" applyAlignment="1" applyProtection="1">
      <alignment horizontal="center" vertical="center" wrapText="1"/>
      <protection hidden="1"/>
    </xf>
    <xf numFmtId="0" fontId="25" fillId="0" borderId="61" xfId="0" applyFont="1" applyBorder="1" applyAlignment="1" applyProtection="1">
      <alignment horizontal="left" vertical="center"/>
      <protection hidden="1"/>
    </xf>
    <xf numFmtId="0" fontId="25" fillId="0" borderId="6" xfId="0" applyFont="1" applyBorder="1" applyAlignment="1" applyProtection="1">
      <alignment horizontal="left" vertical="center"/>
      <protection hidden="1"/>
    </xf>
    <xf numFmtId="0" fontId="25" fillId="0" borderId="7" xfId="0" applyFont="1" applyBorder="1" applyAlignment="1" applyProtection="1">
      <alignment horizontal="left" vertical="center"/>
      <protection hidden="1"/>
    </xf>
    <xf numFmtId="0" fontId="0" fillId="23" borderId="21" xfId="0" applyFill="1" applyBorder="1" applyAlignment="1" applyProtection="1">
      <alignment horizontal="center" vertical="center"/>
      <protection hidden="1"/>
    </xf>
    <xf numFmtId="165" fontId="1" fillId="2" borderId="60" xfId="0" applyNumberFormat="1" applyFont="1" applyFill="1" applyBorder="1" applyAlignment="1" applyProtection="1">
      <alignment horizontal="center" vertical="center"/>
    </xf>
  </cellXfs>
  <cellStyles count="3">
    <cellStyle name="Hyperlink" xfId="1" builtinId="8"/>
    <cellStyle name="Normal" xfId="0" builtinId="0"/>
    <cellStyle name="Normal 2" xfId="2"/>
  </cellStyles>
  <dxfs count="30">
    <dxf>
      <fill>
        <patternFill>
          <bgColor rgb="FFFFC000"/>
        </patternFill>
      </fill>
    </dxf>
    <dxf>
      <fill>
        <patternFill>
          <bgColor rgb="FF65FF65"/>
        </patternFill>
      </fill>
    </dxf>
    <dxf>
      <fill>
        <patternFill>
          <bgColor rgb="FFFFC000"/>
        </patternFill>
      </fill>
    </dxf>
    <dxf>
      <fill>
        <patternFill>
          <bgColor rgb="FFFF6565"/>
        </patternFill>
      </fill>
    </dxf>
    <dxf>
      <fill>
        <patternFill>
          <bgColor rgb="FFFF6565"/>
        </patternFill>
      </fill>
    </dxf>
    <dxf>
      <fill>
        <patternFill>
          <bgColor rgb="FFFFC000"/>
        </patternFill>
      </fill>
    </dxf>
    <dxf>
      <fill>
        <patternFill>
          <bgColor rgb="FFFFC000"/>
        </patternFill>
      </fill>
    </dxf>
    <dxf>
      <fill>
        <patternFill>
          <bgColor rgb="FFFF6565"/>
        </patternFill>
      </fill>
    </dxf>
    <dxf>
      <fill>
        <patternFill>
          <bgColor rgb="FFFF6565"/>
        </patternFill>
      </fill>
    </dxf>
    <dxf>
      <fill>
        <patternFill>
          <bgColor rgb="FF65FF65"/>
        </patternFill>
      </fill>
    </dxf>
    <dxf>
      <fill>
        <patternFill>
          <bgColor rgb="FF65FF65"/>
        </patternFill>
      </fill>
    </dxf>
    <dxf>
      <fill>
        <patternFill>
          <bgColor rgb="FFFF6565"/>
        </patternFill>
      </fill>
    </dxf>
    <dxf>
      <fill>
        <patternFill>
          <bgColor rgb="FFFFFFCC"/>
        </patternFill>
      </fill>
    </dxf>
    <dxf>
      <fill>
        <patternFill>
          <bgColor rgb="FFCC6600"/>
        </patternFill>
      </fill>
    </dxf>
    <dxf>
      <fill>
        <patternFill>
          <bgColor rgb="FF92D050"/>
        </patternFill>
      </fill>
    </dxf>
    <dxf>
      <fill>
        <patternFill>
          <bgColor rgb="FFFF6565"/>
        </patternFill>
      </fill>
    </dxf>
    <dxf>
      <fill>
        <patternFill>
          <bgColor rgb="FFFF6565"/>
        </patternFill>
      </fill>
    </dxf>
    <dxf>
      <fill>
        <patternFill>
          <bgColor rgb="FFFF6565"/>
        </patternFill>
      </fill>
    </dxf>
    <dxf>
      <fill>
        <patternFill>
          <bgColor rgb="FFFFC000"/>
        </patternFill>
      </fill>
    </dxf>
    <dxf>
      <fill>
        <patternFill>
          <bgColor rgb="FF65FF65"/>
        </patternFill>
      </fill>
    </dxf>
    <dxf>
      <font>
        <color theme="0"/>
      </font>
    </dxf>
    <dxf>
      <fill>
        <patternFill>
          <bgColor rgb="FF65FF65"/>
        </patternFill>
      </fill>
    </dxf>
    <dxf>
      <fill>
        <patternFill>
          <bgColor rgb="FFFFC000"/>
        </patternFill>
      </fill>
    </dxf>
    <dxf>
      <fill>
        <patternFill>
          <bgColor rgb="FF65FF65"/>
        </patternFill>
      </fill>
    </dxf>
    <dxf>
      <fill>
        <patternFill>
          <bgColor rgb="FFCCFFFF"/>
        </patternFill>
      </fill>
    </dxf>
    <dxf>
      <fill>
        <patternFill>
          <bgColor rgb="FFFFC000"/>
        </patternFill>
      </fill>
    </dxf>
    <dxf>
      <fill>
        <patternFill>
          <bgColor rgb="FFFFC000"/>
        </patternFill>
      </fill>
    </dxf>
    <dxf>
      <fill>
        <patternFill>
          <bgColor rgb="FFFF66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alpha val="50000"/>
          </a:srgbClr>
        </a:solidFill>
        <a:ln w="9525" cap="flat" cmpd="sng" algn="ctr">
          <a:solidFill>
            <a:srgbClr val="000000"/>
          </a:solidFill>
          <a:prstDash val="solid"/>
          <a:round/>
          <a:headEnd type="none" w="med" len="med"/>
          <a:tailEnd type="none" w="med" len="med"/>
        </a:ln>
        <a:effectLst/>
      </a:spPr>
      <a:bodyPr vertOverflow="clip" vert="vert270" wrap="square" lIns="18288" tIns="0" rIns="0" bIns="0" upright="1"/>
      <a:lstStyle/>
    </a:spDef>
    <a:lnDef>
      <a:spPr bwMode="auto">
        <a:xfrm>
          <a:off x="0" y="0"/>
          <a:ext cx="1" cy="1"/>
        </a:xfrm>
        <a:custGeom>
          <a:avLst/>
          <a:gdLst/>
          <a:ahLst/>
          <a:cxnLst/>
          <a:rect l="0" t="0" r="0" b="0"/>
          <a:pathLst/>
        </a:custGeom>
        <a:solidFill>
          <a:srgbClr val="CCFFFF">
            <a:alpha val="50000"/>
          </a:srgbClr>
        </a:solidFill>
        <a:ln w="9525" cap="flat" cmpd="sng" algn="ctr">
          <a:solidFill>
            <a:srgbClr val="000000"/>
          </a:solidFill>
          <a:prstDash val="solid"/>
          <a:round/>
          <a:headEnd type="none" w="med" len="med"/>
          <a:tailEnd type="none" w="med" len="med"/>
        </a:ln>
        <a:effectLst/>
      </a:spPr>
      <a:bodyPr vertOverflow="clip" vert="vert270"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runwater.com/water-knowledge" TargetMode="External"/><Relationship Id="rId2" Type="http://schemas.openxmlformats.org/officeDocument/2006/relationships/hyperlink" Target="https://sites.google.com/site/brunwater/" TargetMode="External"/><Relationship Id="rId1" Type="http://schemas.openxmlformats.org/officeDocument/2006/relationships/hyperlink" Target="https://sites.google.com/site/brunwater/water-knowledge" TargetMode="External"/><Relationship Id="rId5" Type="http://schemas.openxmlformats.org/officeDocument/2006/relationships/printerSettings" Target="../printerSettings/printerSettings1.bin"/><Relationship Id="rId4" Type="http://schemas.openxmlformats.org/officeDocument/2006/relationships/hyperlink" Target="https://www.brunwater.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brunwater.com/" TargetMode="External"/><Relationship Id="rId1" Type="http://schemas.openxmlformats.org/officeDocument/2006/relationships/hyperlink" Target="https://sites.google.com/site/brunwater/home/fil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brunwater.com/" TargetMode="External"/><Relationship Id="rId2" Type="http://schemas.openxmlformats.org/officeDocument/2006/relationships/hyperlink" Target="https://sites.google.com/site/brunwater/" TargetMode="External"/><Relationship Id="rId1" Type="http://schemas.openxmlformats.org/officeDocument/2006/relationships/hyperlink" Target="https://sites.google.com/site/brunwater/home/fil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runwater.com/" TargetMode="External"/><Relationship Id="rId2" Type="http://schemas.openxmlformats.org/officeDocument/2006/relationships/hyperlink" Target="https://sites.google.com/site/brunwater/" TargetMode="External"/><Relationship Id="rId1" Type="http://schemas.openxmlformats.org/officeDocument/2006/relationships/hyperlink" Target="https://sites.google.com/site/brunwater/home/files"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brunwater.com/" TargetMode="External"/><Relationship Id="rId2" Type="http://schemas.openxmlformats.org/officeDocument/2006/relationships/hyperlink" Target="https://sites.google.com/site/brunwater/" TargetMode="External"/><Relationship Id="rId1" Type="http://schemas.openxmlformats.org/officeDocument/2006/relationships/hyperlink" Target="https://sites.google.com/site/brunwater/home/file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brunwater.com/" TargetMode="External"/><Relationship Id="rId2" Type="http://schemas.openxmlformats.org/officeDocument/2006/relationships/hyperlink" Target="https://sites.google.com/site/brunwater/" TargetMode="External"/><Relationship Id="rId1" Type="http://schemas.openxmlformats.org/officeDocument/2006/relationships/hyperlink" Target="https://sites.google.com/site/brunwater/home/files"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pageSetUpPr fitToPage="1"/>
  </sheetPr>
  <dimension ref="A1:M162"/>
  <sheetViews>
    <sheetView showGridLines="0" tabSelected="1" zoomScale="80" zoomScaleNormal="80" workbookViewId="0">
      <selection sqref="A1:B1"/>
    </sheetView>
  </sheetViews>
  <sheetFormatPr defaultRowHeight="12.75" x14ac:dyDescent="0.2"/>
  <cols>
    <col min="1" max="2" width="14.42578125" customWidth="1"/>
    <col min="3" max="11" width="8.5703125" customWidth="1"/>
  </cols>
  <sheetData>
    <row r="1" spans="1:11" ht="38.450000000000003" customHeight="1" x14ac:dyDescent="0.2">
      <c r="A1" s="456" t="s">
        <v>19</v>
      </c>
      <c r="B1" s="457"/>
      <c r="C1" s="458" t="s">
        <v>557</v>
      </c>
      <c r="D1" s="458"/>
      <c r="E1" s="458"/>
      <c r="F1" s="458"/>
      <c r="G1" s="458"/>
      <c r="H1" s="458"/>
      <c r="I1" s="458"/>
      <c r="J1" s="458"/>
      <c r="K1" s="458"/>
    </row>
    <row r="2" spans="1:11" ht="26.45" customHeight="1" x14ac:dyDescent="0.25">
      <c r="A2" s="428" t="s">
        <v>163</v>
      </c>
      <c r="B2" s="428"/>
      <c r="C2" s="428"/>
      <c r="D2" s="428"/>
      <c r="E2" s="428"/>
      <c r="F2" s="428"/>
      <c r="G2" s="428"/>
      <c r="H2" s="428"/>
      <c r="I2" s="428"/>
      <c r="J2" s="428"/>
      <c r="K2" s="428"/>
    </row>
    <row r="3" spans="1:11" ht="26.1" customHeight="1" x14ac:dyDescent="0.2">
      <c r="A3" s="437" t="s">
        <v>164</v>
      </c>
      <c r="B3" s="438"/>
      <c r="C3" s="438"/>
      <c r="D3" s="438"/>
      <c r="E3" s="438"/>
      <c r="F3" s="438"/>
      <c r="G3" s="438"/>
      <c r="H3" s="438"/>
      <c r="I3" s="438"/>
      <c r="J3" s="438"/>
      <c r="K3" s="439"/>
    </row>
    <row r="4" spans="1:11" ht="81.599999999999994" customHeight="1" x14ac:dyDescent="0.2">
      <c r="A4" s="419" t="s">
        <v>269</v>
      </c>
      <c r="B4" s="427"/>
      <c r="C4" s="427"/>
      <c r="D4" s="427"/>
      <c r="E4" s="427"/>
      <c r="F4" s="427"/>
      <c r="G4" s="427"/>
      <c r="H4" s="427"/>
      <c r="I4" s="427"/>
      <c r="J4" s="427"/>
      <c r="K4" s="423"/>
    </row>
    <row r="5" spans="1:11" ht="110.45" customHeight="1" x14ac:dyDescent="0.2">
      <c r="A5" s="429" t="s">
        <v>184</v>
      </c>
      <c r="B5" s="432"/>
      <c r="C5" s="432"/>
      <c r="D5" s="432"/>
      <c r="E5" s="432"/>
      <c r="F5" s="432"/>
      <c r="G5" s="432"/>
      <c r="H5" s="432"/>
      <c r="I5" s="432"/>
      <c r="J5" s="432"/>
      <c r="K5" s="433"/>
    </row>
    <row r="6" spans="1:11" ht="35.450000000000003" customHeight="1" x14ac:dyDescent="0.3">
      <c r="A6" s="434" t="s">
        <v>141</v>
      </c>
      <c r="B6" s="435"/>
      <c r="C6" s="435"/>
      <c r="D6" s="435"/>
      <c r="E6" s="435"/>
      <c r="F6" s="435"/>
      <c r="G6" s="435"/>
      <c r="H6" s="435"/>
      <c r="I6" s="435"/>
      <c r="J6" s="435"/>
      <c r="K6" s="436"/>
    </row>
    <row r="7" spans="1:11" ht="137.44999999999999" customHeight="1" x14ac:dyDescent="0.2">
      <c r="A7" s="419" t="s">
        <v>554</v>
      </c>
      <c r="B7" s="420"/>
      <c r="C7" s="420"/>
      <c r="D7" s="420"/>
      <c r="E7" s="420"/>
      <c r="F7" s="420"/>
      <c r="G7" s="420"/>
      <c r="H7" s="420"/>
      <c r="I7" s="420"/>
      <c r="J7" s="420"/>
      <c r="K7" s="421"/>
    </row>
    <row r="8" spans="1:11" ht="56.45" customHeight="1" x14ac:dyDescent="0.2">
      <c r="A8" s="419" t="s">
        <v>430</v>
      </c>
      <c r="B8" s="420"/>
      <c r="C8" s="420"/>
      <c r="D8" s="420"/>
      <c r="E8" s="420"/>
      <c r="F8" s="420"/>
      <c r="G8" s="420"/>
      <c r="H8" s="420"/>
      <c r="I8" s="420"/>
      <c r="J8" s="420"/>
      <c r="K8" s="421"/>
    </row>
    <row r="9" spans="1:11" ht="31.35" customHeight="1" x14ac:dyDescent="0.3">
      <c r="A9" s="459" t="s">
        <v>274</v>
      </c>
      <c r="B9" s="460"/>
      <c r="C9" s="460"/>
      <c r="D9" s="460"/>
      <c r="E9" s="460"/>
      <c r="F9" s="460"/>
      <c r="G9" s="460"/>
      <c r="H9" s="460"/>
      <c r="I9" s="460"/>
      <c r="J9" s="460"/>
      <c r="K9" s="461"/>
    </row>
    <row r="10" spans="1:11" ht="31.35" customHeight="1" x14ac:dyDescent="0.2">
      <c r="A10" s="419" t="s">
        <v>487</v>
      </c>
      <c r="B10" s="420"/>
      <c r="C10" s="420"/>
      <c r="D10" s="420"/>
      <c r="E10" s="420"/>
      <c r="F10" s="420"/>
      <c r="G10" s="420"/>
      <c r="H10" s="420"/>
      <c r="I10" s="420"/>
      <c r="J10" s="420"/>
      <c r="K10" s="421"/>
    </row>
    <row r="11" spans="1:11" ht="79.349999999999994" customHeight="1" x14ac:dyDescent="0.2">
      <c r="A11" s="419" t="s">
        <v>561</v>
      </c>
      <c r="B11" s="420"/>
      <c r="C11" s="420"/>
      <c r="D11" s="420"/>
      <c r="E11" s="420"/>
      <c r="F11" s="420"/>
      <c r="G11" s="420"/>
      <c r="H11" s="420"/>
      <c r="I11" s="420"/>
      <c r="J11" s="420"/>
      <c r="K11" s="421"/>
    </row>
    <row r="12" spans="1:11" ht="140.1" customHeight="1" x14ac:dyDescent="0.2">
      <c r="A12" s="419" t="s">
        <v>431</v>
      </c>
      <c r="B12" s="420"/>
      <c r="C12" s="420"/>
      <c r="D12" s="420"/>
      <c r="E12" s="420"/>
      <c r="F12" s="420"/>
      <c r="G12" s="420"/>
      <c r="H12" s="420"/>
      <c r="I12" s="420"/>
      <c r="J12" s="420"/>
      <c r="K12" s="421"/>
    </row>
    <row r="13" spans="1:11" ht="69.599999999999994" customHeight="1" x14ac:dyDescent="0.2">
      <c r="A13" s="429" t="s">
        <v>510</v>
      </c>
      <c r="B13" s="430"/>
      <c r="C13" s="430"/>
      <c r="D13" s="430"/>
      <c r="E13" s="430"/>
      <c r="F13" s="430"/>
      <c r="G13" s="430"/>
      <c r="H13" s="430"/>
      <c r="I13" s="430"/>
      <c r="J13" s="430"/>
      <c r="K13" s="431"/>
    </row>
    <row r="14" spans="1:11" ht="30.6" customHeight="1" x14ac:dyDescent="0.25">
      <c r="A14" s="442" t="s">
        <v>318</v>
      </c>
      <c r="B14" s="443"/>
      <c r="C14" s="443"/>
      <c r="D14" s="443"/>
      <c r="E14" s="443"/>
      <c r="F14" s="443"/>
      <c r="G14" s="443"/>
      <c r="H14" s="443"/>
      <c r="I14" s="443"/>
      <c r="J14" s="443"/>
      <c r="K14" s="444"/>
    </row>
    <row r="15" spans="1:11" ht="41.1" customHeight="1" x14ac:dyDescent="0.2">
      <c r="A15" s="121"/>
      <c r="B15" s="440" t="s">
        <v>529</v>
      </c>
      <c r="C15" s="440"/>
      <c r="D15" s="440"/>
      <c r="E15" s="440"/>
      <c r="F15" s="440"/>
      <c r="G15" s="440"/>
      <c r="H15" s="440"/>
      <c r="I15" s="440"/>
      <c r="J15" s="440"/>
      <c r="K15" s="441"/>
    </row>
    <row r="16" spans="1:11" ht="155.44999999999999" customHeight="1" x14ac:dyDescent="0.2">
      <c r="A16" s="122"/>
      <c r="B16" s="440" t="s">
        <v>553</v>
      </c>
      <c r="C16" s="440"/>
      <c r="D16" s="440"/>
      <c r="E16" s="440"/>
      <c r="F16" s="440"/>
      <c r="G16" s="440"/>
      <c r="H16" s="440"/>
      <c r="I16" s="440"/>
      <c r="J16" s="440"/>
      <c r="K16" s="441"/>
    </row>
    <row r="17" spans="1:11" ht="74.099999999999994" customHeight="1" x14ac:dyDescent="0.2">
      <c r="A17" s="122"/>
      <c r="B17" s="440" t="s">
        <v>530</v>
      </c>
      <c r="C17" s="440"/>
      <c r="D17" s="440"/>
      <c r="E17" s="440"/>
      <c r="F17" s="440"/>
      <c r="G17" s="440"/>
      <c r="H17" s="440"/>
      <c r="I17" s="440"/>
      <c r="J17" s="440"/>
      <c r="K17" s="441"/>
    </row>
    <row r="18" spans="1:11" ht="142.35" customHeight="1" x14ac:dyDescent="0.2">
      <c r="A18" s="122"/>
      <c r="B18" s="420" t="s">
        <v>562</v>
      </c>
      <c r="C18" s="440"/>
      <c r="D18" s="440"/>
      <c r="E18" s="440"/>
      <c r="F18" s="440"/>
      <c r="G18" s="440"/>
      <c r="H18" s="440"/>
      <c r="I18" s="440"/>
      <c r="J18" s="440"/>
      <c r="K18" s="441"/>
    </row>
    <row r="19" spans="1:11" ht="51.6" customHeight="1" x14ac:dyDescent="0.2">
      <c r="A19" s="122"/>
      <c r="B19" s="420" t="s">
        <v>432</v>
      </c>
      <c r="C19" s="420"/>
      <c r="D19" s="420"/>
      <c r="E19" s="420"/>
      <c r="F19" s="420"/>
      <c r="G19" s="420"/>
      <c r="H19" s="420"/>
      <c r="I19" s="420"/>
      <c r="J19" s="420"/>
      <c r="K19" s="421"/>
    </row>
    <row r="20" spans="1:11" ht="94.35" customHeight="1" x14ac:dyDescent="0.2">
      <c r="A20" s="122"/>
      <c r="B20" s="420" t="s">
        <v>531</v>
      </c>
      <c r="C20" s="420"/>
      <c r="D20" s="420"/>
      <c r="E20" s="420"/>
      <c r="F20" s="420"/>
      <c r="G20" s="420"/>
      <c r="H20" s="420"/>
      <c r="I20" s="420"/>
      <c r="J20" s="420"/>
      <c r="K20" s="421"/>
    </row>
    <row r="21" spans="1:11" ht="54.6" customHeight="1" x14ac:dyDescent="0.2">
      <c r="A21" s="122"/>
      <c r="B21" s="420" t="s">
        <v>386</v>
      </c>
      <c r="C21" s="420"/>
      <c r="D21" s="420"/>
      <c r="E21" s="420"/>
      <c r="F21" s="420"/>
      <c r="G21" s="420"/>
      <c r="H21" s="420"/>
      <c r="I21" s="420"/>
      <c r="J21" s="420"/>
      <c r="K21" s="421"/>
    </row>
    <row r="22" spans="1:11" ht="85.7" customHeight="1" x14ac:dyDescent="0.2">
      <c r="A22" s="419" t="s">
        <v>533</v>
      </c>
      <c r="B22" s="420"/>
      <c r="C22" s="420"/>
      <c r="D22" s="420"/>
      <c r="E22" s="420"/>
      <c r="F22" s="420"/>
      <c r="G22" s="420"/>
      <c r="H22" s="420"/>
      <c r="I22" s="420"/>
      <c r="J22" s="420"/>
      <c r="K22" s="421"/>
    </row>
    <row r="23" spans="1:11" ht="60" customHeight="1" x14ac:dyDescent="0.2">
      <c r="A23" s="419" t="s">
        <v>13</v>
      </c>
      <c r="B23" s="420"/>
      <c r="C23" s="420"/>
      <c r="D23" s="420"/>
      <c r="E23" s="420"/>
      <c r="F23" s="420"/>
      <c r="G23" s="420"/>
      <c r="H23" s="420"/>
      <c r="I23" s="420"/>
      <c r="J23" s="420"/>
      <c r="K23" s="421"/>
    </row>
    <row r="24" spans="1:11" ht="112.35" customHeight="1" x14ac:dyDescent="0.2">
      <c r="A24" s="419" t="s">
        <v>534</v>
      </c>
      <c r="B24" s="420"/>
      <c r="C24" s="420"/>
      <c r="D24" s="420"/>
      <c r="E24" s="420"/>
      <c r="F24" s="420"/>
      <c r="G24" s="420"/>
      <c r="H24" s="420"/>
      <c r="I24" s="420"/>
      <c r="J24" s="420"/>
      <c r="K24" s="421"/>
    </row>
    <row r="25" spans="1:11" ht="51.75" customHeight="1" x14ac:dyDescent="0.2">
      <c r="A25" s="419" t="s">
        <v>563</v>
      </c>
      <c r="B25" s="422"/>
      <c r="C25" s="422"/>
      <c r="D25" s="422"/>
      <c r="E25" s="422"/>
      <c r="F25" s="422"/>
      <c r="G25" s="422"/>
      <c r="H25" s="422"/>
      <c r="I25" s="422"/>
      <c r="J25" s="422"/>
      <c r="K25" s="423"/>
    </row>
    <row r="26" spans="1:11" ht="73.349999999999994" customHeight="1" x14ac:dyDescent="0.2">
      <c r="A26" s="419" t="s">
        <v>433</v>
      </c>
      <c r="B26" s="420"/>
      <c r="C26" s="420"/>
      <c r="D26" s="420"/>
      <c r="E26" s="420"/>
      <c r="F26" s="420"/>
      <c r="G26" s="420"/>
      <c r="H26" s="420"/>
      <c r="I26" s="420"/>
      <c r="J26" s="420"/>
      <c r="K26" s="421"/>
    </row>
    <row r="27" spans="1:11" ht="225" customHeight="1" x14ac:dyDescent="0.2">
      <c r="A27" s="429" t="s">
        <v>564</v>
      </c>
      <c r="B27" s="430"/>
      <c r="C27" s="430"/>
      <c r="D27" s="430"/>
      <c r="E27" s="430"/>
      <c r="F27" s="430"/>
      <c r="G27" s="430"/>
      <c r="H27" s="430"/>
      <c r="I27" s="430"/>
      <c r="J27" s="430"/>
      <c r="K27" s="431"/>
    </row>
    <row r="28" spans="1:11" ht="40.5" customHeight="1" x14ac:dyDescent="0.3">
      <c r="A28" s="445" t="s">
        <v>16</v>
      </c>
      <c r="B28" s="465"/>
      <c r="C28" s="465"/>
      <c r="D28" s="465"/>
      <c r="E28" s="465"/>
      <c r="F28" s="465"/>
      <c r="G28" s="465"/>
      <c r="H28" s="465"/>
      <c r="I28" s="465"/>
      <c r="J28" s="465"/>
      <c r="K28" s="466"/>
    </row>
    <row r="29" spans="1:11" ht="108.75" customHeight="1" x14ac:dyDescent="0.2">
      <c r="A29" s="419" t="s">
        <v>565</v>
      </c>
      <c r="B29" s="420"/>
      <c r="C29" s="420"/>
      <c r="D29" s="420"/>
      <c r="E29" s="420"/>
      <c r="F29" s="420"/>
      <c r="G29" s="420"/>
      <c r="H29" s="420"/>
      <c r="I29" s="420"/>
      <c r="J29" s="420"/>
      <c r="K29" s="421"/>
    </row>
    <row r="30" spans="1:11" ht="63" customHeight="1" x14ac:dyDescent="0.2">
      <c r="A30" s="419" t="s">
        <v>321</v>
      </c>
      <c r="B30" s="420"/>
      <c r="C30" s="420"/>
      <c r="D30" s="420"/>
      <c r="E30" s="420"/>
      <c r="F30" s="420"/>
      <c r="G30" s="420"/>
      <c r="H30" s="420"/>
      <c r="I30" s="420"/>
      <c r="J30" s="420"/>
      <c r="K30" s="421"/>
    </row>
    <row r="31" spans="1:11" ht="71.099999999999994" customHeight="1" x14ac:dyDescent="0.2">
      <c r="A31" s="419" t="s">
        <v>319</v>
      </c>
      <c r="B31" s="420"/>
      <c r="C31" s="420"/>
      <c r="D31" s="420"/>
      <c r="E31" s="420"/>
      <c r="F31" s="420"/>
      <c r="G31" s="420"/>
      <c r="H31" s="420"/>
      <c r="I31" s="420"/>
      <c r="J31" s="420"/>
      <c r="K31" s="421"/>
    </row>
    <row r="32" spans="1:11" ht="128.44999999999999" customHeight="1" x14ac:dyDescent="0.2">
      <c r="A32" s="419" t="s">
        <v>428</v>
      </c>
      <c r="B32" s="420"/>
      <c r="C32" s="420"/>
      <c r="D32" s="420"/>
      <c r="E32" s="420"/>
      <c r="F32" s="420"/>
      <c r="G32" s="420"/>
      <c r="H32" s="420"/>
      <c r="I32" s="420"/>
      <c r="J32" s="420"/>
      <c r="K32" s="421"/>
    </row>
    <row r="33" spans="1:12" ht="78.599999999999994" customHeight="1" x14ac:dyDescent="0.2">
      <c r="A33" s="419" t="s">
        <v>434</v>
      </c>
      <c r="B33" s="420"/>
      <c r="C33" s="420"/>
      <c r="D33" s="420"/>
      <c r="E33" s="420"/>
      <c r="F33" s="420"/>
      <c r="G33" s="420"/>
      <c r="H33" s="420"/>
      <c r="I33" s="420"/>
      <c r="J33" s="420"/>
      <c r="K33" s="421"/>
    </row>
    <row r="34" spans="1:12" ht="131.1" customHeight="1" x14ac:dyDescent="0.3">
      <c r="A34" s="419" t="s">
        <v>243</v>
      </c>
      <c r="B34" s="420"/>
      <c r="C34" s="420"/>
      <c r="D34" s="420"/>
      <c r="E34" s="420"/>
      <c r="F34" s="420"/>
      <c r="G34" s="420"/>
      <c r="H34" s="420"/>
      <c r="I34" s="420"/>
      <c r="J34" s="420"/>
      <c r="K34" s="421"/>
    </row>
    <row r="35" spans="1:12" ht="28.5" customHeight="1" x14ac:dyDescent="0.3">
      <c r="A35" s="424" t="s">
        <v>126</v>
      </c>
      <c r="B35" s="425"/>
      <c r="C35" s="425"/>
      <c r="D35" s="425"/>
      <c r="E35" s="425"/>
      <c r="F35" s="425"/>
      <c r="G35" s="425"/>
      <c r="H35" s="425"/>
      <c r="I35" s="425"/>
      <c r="J35" s="425"/>
      <c r="K35" s="426"/>
    </row>
    <row r="36" spans="1:12" ht="117" customHeight="1" x14ac:dyDescent="0.2">
      <c r="A36" s="419" t="s">
        <v>429</v>
      </c>
      <c r="B36" s="422"/>
      <c r="C36" s="422"/>
      <c r="D36" s="422"/>
      <c r="E36" s="422"/>
      <c r="F36" s="422"/>
      <c r="G36" s="422"/>
      <c r="H36" s="422"/>
      <c r="I36" s="422"/>
      <c r="J36" s="422"/>
      <c r="K36" s="423"/>
    </row>
    <row r="37" spans="1:12" ht="58.35" customHeight="1" x14ac:dyDescent="0.2">
      <c r="A37" s="419" t="s">
        <v>535</v>
      </c>
      <c r="B37" s="420"/>
      <c r="C37" s="420"/>
      <c r="D37" s="420"/>
      <c r="E37" s="420"/>
      <c r="F37" s="420"/>
      <c r="G37" s="420"/>
      <c r="H37" s="420"/>
      <c r="I37" s="420"/>
      <c r="J37" s="420"/>
      <c r="K37" s="421"/>
    </row>
    <row r="38" spans="1:12" ht="100.35" customHeight="1" x14ac:dyDescent="0.2">
      <c r="A38" s="419" t="s">
        <v>536</v>
      </c>
      <c r="B38" s="420"/>
      <c r="C38" s="420"/>
      <c r="D38" s="420"/>
      <c r="E38" s="420"/>
      <c r="F38" s="420"/>
      <c r="G38" s="420"/>
      <c r="H38" s="420"/>
      <c r="I38" s="420"/>
      <c r="J38" s="420"/>
      <c r="K38" s="421"/>
    </row>
    <row r="39" spans="1:12" ht="63" customHeight="1" x14ac:dyDescent="0.2">
      <c r="A39" s="419" t="s">
        <v>320</v>
      </c>
      <c r="B39" s="420"/>
      <c r="C39" s="420"/>
      <c r="D39" s="420"/>
      <c r="E39" s="420"/>
      <c r="F39" s="420"/>
      <c r="G39" s="420"/>
      <c r="H39" s="420"/>
      <c r="I39" s="420"/>
      <c r="J39" s="420"/>
      <c r="K39" s="421"/>
    </row>
    <row r="40" spans="1:12" ht="90.6" customHeight="1" x14ac:dyDescent="0.2">
      <c r="A40" s="419" t="s">
        <v>537</v>
      </c>
      <c r="B40" s="422"/>
      <c r="C40" s="422"/>
      <c r="D40" s="422"/>
      <c r="E40" s="422"/>
      <c r="F40" s="422"/>
      <c r="G40" s="422"/>
      <c r="H40" s="422"/>
      <c r="I40" s="422"/>
      <c r="J40" s="422"/>
      <c r="K40" s="423"/>
    </row>
    <row r="41" spans="1:12" ht="62.45" customHeight="1" x14ac:dyDescent="0.2">
      <c r="A41" s="419" t="s">
        <v>538</v>
      </c>
      <c r="B41" s="420"/>
      <c r="C41" s="420"/>
      <c r="D41" s="420"/>
      <c r="E41" s="420"/>
      <c r="F41" s="420"/>
      <c r="G41" s="420"/>
      <c r="H41" s="420"/>
      <c r="I41" s="420"/>
      <c r="J41" s="420"/>
      <c r="K41" s="421"/>
    </row>
    <row r="42" spans="1:12" ht="126" customHeight="1" x14ac:dyDescent="0.2">
      <c r="A42" s="419" t="s">
        <v>566</v>
      </c>
      <c r="B42" s="420"/>
      <c r="C42" s="420"/>
      <c r="D42" s="420"/>
      <c r="E42" s="420"/>
      <c r="F42" s="420"/>
      <c r="G42" s="420"/>
      <c r="H42" s="420"/>
      <c r="I42" s="420"/>
      <c r="J42" s="420"/>
      <c r="K42" s="421"/>
    </row>
    <row r="43" spans="1:12" ht="49.35" customHeight="1" x14ac:dyDescent="0.2">
      <c r="A43" s="429" t="s">
        <v>539</v>
      </c>
      <c r="B43" s="430"/>
      <c r="C43" s="430"/>
      <c r="D43" s="430"/>
      <c r="E43" s="430"/>
      <c r="F43" s="430"/>
      <c r="G43" s="430"/>
      <c r="H43" s="430"/>
      <c r="I43" s="430"/>
      <c r="J43" s="430"/>
      <c r="K43" s="431"/>
    </row>
    <row r="44" spans="1:12" ht="33.75" customHeight="1" x14ac:dyDescent="0.25">
      <c r="A44" s="462" t="s">
        <v>540</v>
      </c>
      <c r="B44" s="463"/>
      <c r="C44" s="463"/>
      <c r="D44" s="463"/>
      <c r="E44" s="463"/>
      <c r="F44" s="463"/>
      <c r="G44" s="463"/>
      <c r="H44" s="463"/>
      <c r="I44" s="463"/>
      <c r="J44" s="463"/>
      <c r="K44" s="464"/>
    </row>
    <row r="45" spans="1:12" ht="44.25" customHeight="1" x14ac:dyDescent="0.2">
      <c r="A45" s="419" t="s">
        <v>435</v>
      </c>
      <c r="B45" s="420"/>
      <c r="C45" s="420"/>
      <c r="D45" s="420"/>
      <c r="E45" s="420"/>
      <c r="F45" s="420"/>
      <c r="G45" s="420"/>
      <c r="H45" s="420"/>
      <c r="I45" s="420"/>
      <c r="J45" s="420"/>
      <c r="K45" s="421"/>
    </row>
    <row r="46" spans="1:12" ht="75" customHeight="1" x14ac:dyDescent="0.2">
      <c r="A46" s="419" t="s">
        <v>265</v>
      </c>
      <c r="B46" s="420"/>
      <c r="C46" s="420"/>
      <c r="D46" s="420"/>
      <c r="E46" s="420"/>
      <c r="F46" s="420"/>
      <c r="G46" s="420"/>
      <c r="H46" s="420"/>
      <c r="I46" s="420"/>
      <c r="J46" s="420"/>
      <c r="K46" s="421"/>
    </row>
    <row r="47" spans="1:12" ht="67.349999999999994" customHeight="1" x14ac:dyDescent="0.2">
      <c r="A47" s="419" t="s">
        <v>389</v>
      </c>
      <c r="B47" s="422"/>
      <c r="C47" s="422"/>
      <c r="D47" s="422"/>
      <c r="E47" s="422"/>
      <c r="F47" s="422"/>
      <c r="G47" s="422"/>
      <c r="H47" s="422"/>
      <c r="I47" s="422"/>
      <c r="J47" s="422"/>
      <c r="K47" s="423"/>
      <c r="L47" s="50"/>
    </row>
    <row r="48" spans="1:12" ht="130.35" customHeight="1" x14ac:dyDescent="0.2">
      <c r="A48" s="419" t="s">
        <v>264</v>
      </c>
      <c r="B48" s="420"/>
      <c r="C48" s="420"/>
      <c r="D48" s="420"/>
      <c r="E48" s="420"/>
      <c r="F48" s="420"/>
      <c r="G48" s="420"/>
      <c r="H48" s="420"/>
      <c r="I48" s="420"/>
      <c r="J48" s="420"/>
      <c r="K48" s="421"/>
      <c r="L48" s="50"/>
    </row>
    <row r="49" spans="1:11" ht="74.099999999999994" customHeight="1" x14ac:dyDescent="0.2">
      <c r="A49" s="419" t="s">
        <v>327</v>
      </c>
      <c r="B49" s="422"/>
      <c r="C49" s="422"/>
      <c r="D49" s="422"/>
      <c r="E49" s="422"/>
      <c r="F49" s="422"/>
      <c r="G49" s="422"/>
      <c r="H49" s="422"/>
      <c r="I49" s="422"/>
      <c r="J49" s="422"/>
      <c r="K49" s="423"/>
    </row>
    <row r="50" spans="1:11" ht="46.7" customHeight="1" x14ac:dyDescent="0.2">
      <c r="A50" s="419" t="s">
        <v>541</v>
      </c>
      <c r="B50" s="420"/>
      <c r="C50" s="420"/>
      <c r="D50" s="420"/>
      <c r="E50" s="420"/>
      <c r="F50" s="420"/>
      <c r="G50" s="420"/>
      <c r="H50" s="420"/>
      <c r="I50" s="420"/>
      <c r="J50" s="420"/>
      <c r="K50" s="421"/>
    </row>
    <row r="51" spans="1:11" ht="59.25" customHeight="1" x14ac:dyDescent="0.2">
      <c r="A51" s="419" t="s">
        <v>436</v>
      </c>
      <c r="B51" s="420"/>
      <c r="C51" s="420"/>
      <c r="D51" s="420"/>
      <c r="E51" s="420"/>
      <c r="F51" s="420"/>
      <c r="G51" s="420"/>
      <c r="H51" s="420"/>
      <c r="I51" s="420"/>
      <c r="J51" s="420"/>
      <c r="K51" s="421"/>
    </row>
    <row r="52" spans="1:11" ht="42" customHeight="1" x14ac:dyDescent="0.2">
      <c r="A52" s="419" t="s">
        <v>437</v>
      </c>
      <c r="B52" s="420"/>
      <c r="C52" s="420"/>
      <c r="D52" s="420"/>
      <c r="E52" s="420"/>
      <c r="F52" s="420"/>
      <c r="G52" s="420"/>
      <c r="H52" s="420"/>
      <c r="I52" s="420"/>
      <c r="J52" s="420"/>
      <c r="K52" s="421"/>
    </row>
    <row r="53" spans="1:11" ht="31.5" customHeight="1" x14ac:dyDescent="0.3">
      <c r="A53" s="424" t="s">
        <v>20</v>
      </c>
      <c r="B53" s="425"/>
      <c r="C53" s="425"/>
      <c r="D53" s="425"/>
      <c r="E53" s="425"/>
      <c r="F53" s="425"/>
      <c r="G53" s="425"/>
      <c r="H53" s="425"/>
      <c r="I53" s="425"/>
      <c r="J53" s="425"/>
      <c r="K53" s="426"/>
    </row>
    <row r="54" spans="1:11" ht="51" customHeight="1" x14ac:dyDescent="0.2">
      <c r="A54" s="419" t="s">
        <v>323</v>
      </c>
      <c r="B54" s="422"/>
      <c r="C54" s="422"/>
      <c r="D54" s="422"/>
      <c r="E54" s="422"/>
      <c r="F54" s="422"/>
      <c r="G54" s="422"/>
      <c r="H54" s="422"/>
      <c r="I54" s="422"/>
      <c r="J54" s="422"/>
      <c r="K54" s="423"/>
    </row>
    <row r="55" spans="1:11" ht="70.349999999999994" customHeight="1" x14ac:dyDescent="0.2">
      <c r="A55" s="419" t="s">
        <v>542</v>
      </c>
      <c r="B55" s="420"/>
      <c r="C55" s="420"/>
      <c r="D55" s="420"/>
      <c r="E55" s="420"/>
      <c r="F55" s="420"/>
      <c r="G55" s="420"/>
      <c r="H55" s="420"/>
      <c r="I55" s="420"/>
      <c r="J55" s="420"/>
      <c r="K55" s="421"/>
    </row>
    <row r="56" spans="1:11" ht="56.1" customHeight="1" x14ac:dyDescent="0.2">
      <c r="A56" s="419" t="s">
        <v>438</v>
      </c>
      <c r="B56" s="420"/>
      <c r="C56" s="420"/>
      <c r="D56" s="420"/>
      <c r="E56" s="420"/>
      <c r="F56" s="420"/>
      <c r="G56" s="420"/>
      <c r="H56" s="420"/>
      <c r="I56" s="420"/>
      <c r="J56" s="420"/>
      <c r="K56" s="421"/>
    </row>
    <row r="57" spans="1:11" ht="81.599999999999994" customHeight="1" x14ac:dyDescent="0.2">
      <c r="A57" s="419" t="s">
        <v>543</v>
      </c>
      <c r="B57" s="420"/>
      <c r="C57" s="420"/>
      <c r="D57" s="420"/>
      <c r="E57" s="420"/>
      <c r="F57" s="420"/>
      <c r="G57" s="420"/>
      <c r="H57" s="420"/>
      <c r="I57" s="420"/>
      <c r="J57" s="420"/>
      <c r="K57" s="421"/>
    </row>
    <row r="58" spans="1:11" ht="75" customHeight="1" x14ac:dyDescent="0.2">
      <c r="A58" s="419" t="s">
        <v>511</v>
      </c>
      <c r="B58" s="422"/>
      <c r="C58" s="422"/>
      <c r="D58" s="422"/>
      <c r="E58" s="422"/>
      <c r="F58" s="422"/>
      <c r="G58" s="422"/>
      <c r="H58" s="422"/>
      <c r="I58" s="422"/>
      <c r="J58" s="422"/>
      <c r="K58" s="423"/>
    </row>
    <row r="59" spans="1:11" ht="65.45" customHeight="1" x14ac:dyDescent="0.2">
      <c r="A59" s="419" t="s">
        <v>333</v>
      </c>
      <c r="B59" s="422"/>
      <c r="C59" s="422"/>
      <c r="D59" s="422"/>
      <c r="E59" s="422"/>
      <c r="F59" s="422"/>
      <c r="G59" s="422"/>
      <c r="H59" s="422"/>
      <c r="I59" s="422"/>
      <c r="J59" s="422"/>
      <c r="K59" s="423"/>
    </row>
    <row r="60" spans="1:11" ht="69" customHeight="1" x14ac:dyDescent="0.2">
      <c r="A60" s="419" t="s">
        <v>544</v>
      </c>
      <c r="B60" s="420"/>
      <c r="C60" s="420"/>
      <c r="D60" s="420"/>
      <c r="E60" s="420"/>
      <c r="F60" s="420"/>
      <c r="G60" s="420"/>
      <c r="H60" s="420"/>
      <c r="I60" s="420"/>
      <c r="J60" s="420"/>
      <c r="K60" s="421"/>
    </row>
    <row r="61" spans="1:11" ht="45" customHeight="1" x14ac:dyDescent="0.2">
      <c r="A61" s="419" t="s">
        <v>512</v>
      </c>
      <c r="B61" s="420"/>
      <c r="C61" s="420"/>
      <c r="D61" s="420"/>
      <c r="E61" s="420"/>
      <c r="F61" s="420"/>
      <c r="G61" s="420"/>
      <c r="H61" s="420"/>
      <c r="I61" s="420"/>
      <c r="J61" s="420"/>
      <c r="K61" s="421"/>
    </row>
    <row r="62" spans="1:11" ht="46.35" customHeight="1" x14ac:dyDescent="0.2">
      <c r="A62" s="419" t="s">
        <v>513</v>
      </c>
      <c r="B62" s="420"/>
      <c r="C62" s="420"/>
      <c r="D62" s="420"/>
      <c r="E62" s="420"/>
      <c r="F62" s="420"/>
      <c r="G62" s="420"/>
      <c r="H62" s="420"/>
      <c r="I62" s="420"/>
      <c r="J62" s="420"/>
      <c r="K62" s="421"/>
    </row>
    <row r="63" spans="1:11" ht="43.35" customHeight="1" x14ac:dyDescent="0.2">
      <c r="A63" s="419" t="s">
        <v>439</v>
      </c>
      <c r="B63" s="420"/>
      <c r="C63" s="420"/>
      <c r="D63" s="420"/>
      <c r="E63" s="420"/>
      <c r="F63" s="420"/>
      <c r="G63" s="420"/>
      <c r="H63" s="420"/>
      <c r="I63" s="420"/>
      <c r="J63" s="420"/>
      <c r="K63" s="421"/>
    </row>
    <row r="64" spans="1:11" ht="45.6" customHeight="1" x14ac:dyDescent="0.2">
      <c r="A64" s="419" t="s">
        <v>440</v>
      </c>
      <c r="B64" s="420"/>
      <c r="C64" s="420"/>
      <c r="D64" s="420"/>
      <c r="E64" s="420"/>
      <c r="F64" s="420"/>
      <c r="G64" s="420"/>
      <c r="H64" s="420"/>
      <c r="I64" s="420"/>
      <c r="J64" s="420"/>
      <c r="K64" s="421"/>
    </row>
    <row r="65" spans="1:13" ht="86.1" customHeight="1" x14ac:dyDescent="0.2">
      <c r="A65" s="419" t="s">
        <v>514</v>
      </c>
      <c r="B65" s="422"/>
      <c r="C65" s="422"/>
      <c r="D65" s="422"/>
      <c r="E65" s="422"/>
      <c r="F65" s="422"/>
      <c r="G65" s="422"/>
      <c r="H65" s="422"/>
      <c r="I65" s="422"/>
      <c r="J65" s="422"/>
      <c r="K65" s="423"/>
    </row>
    <row r="66" spans="1:13" ht="103.7" customHeight="1" x14ac:dyDescent="0.2">
      <c r="A66" s="419" t="s">
        <v>515</v>
      </c>
      <c r="B66" s="422"/>
      <c r="C66" s="422"/>
      <c r="D66" s="422"/>
      <c r="E66" s="422"/>
      <c r="F66" s="422"/>
      <c r="G66" s="422"/>
      <c r="H66" s="422"/>
      <c r="I66" s="422"/>
      <c r="J66" s="422"/>
      <c r="K66" s="423"/>
      <c r="M66" s="86"/>
    </row>
    <row r="67" spans="1:13" ht="62.45" customHeight="1" x14ac:dyDescent="0.2">
      <c r="A67" s="419" t="s">
        <v>427</v>
      </c>
      <c r="B67" s="420"/>
      <c r="C67" s="420"/>
      <c r="D67" s="420"/>
      <c r="E67" s="420"/>
      <c r="F67" s="420"/>
      <c r="G67" s="420"/>
      <c r="H67" s="420"/>
      <c r="I67" s="420"/>
      <c r="J67" s="420"/>
      <c r="K67" s="421"/>
      <c r="M67" s="86"/>
    </row>
    <row r="68" spans="1:13" ht="82.35" customHeight="1" x14ac:dyDescent="0.2">
      <c r="A68" s="419" t="s">
        <v>441</v>
      </c>
      <c r="B68" s="420"/>
      <c r="C68" s="420"/>
      <c r="D68" s="420"/>
      <c r="E68" s="420"/>
      <c r="F68" s="420"/>
      <c r="G68" s="420"/>
      <c r="H68" s="420"/>
      <c r="I68" s="420"/>
      <c r="J68" s="420"/>
      <c r="K68" s="421"/>
      <c r="M68" s="86"/>
    </row>
    <row r="69" spans="1:13" ht="98.1" customHeight="1" x14ac:dyDescent="0.2">
      <c r="A69" s="419" t="s">
        <v>545</v>
      </c>
      <c r="B69" s="422"/>
      <c r="C69" s="422"/>
      <c r="D69" s="422"/>
      <c r="E69" s="422"/>
      <c r="F69" s="422"/>
      <c r="G69" s="422"/>
      <c r="H69" s="422"/>
      <c r="I69" s="422"/>
      <c r="J69" s="422"/>
      <c r="K69" s="423"/>
    </row>
    <row r="70" spans="1:13" ht="108" customHeight="1" x14ac:dyDescent="0.2">
      <c r="A70" s="419" t="s">
        <v>516</v>
      </c>
      <c r="B70" s="420"/>
      <c r="C70" s="420"/>
      <c r="D70" s="420"/>
      <c r="E70" s="420"/>
      <c r="F70" s="420"/>
      <c r="G70" s="420"/>
      <c r="H70" s="420"/>
      <c r="I70" s="420"/>
      <c r="J70" s="420"/>
      <c r="K70" s="421"/>
    </row>
    <row r="71" spans="1:13" ht="175.35" customHeight="1" x14ac:dyDescent="0.2">
      <c r="A71" s="419" t="s">
        <v>488</v>
      </c>
      <c r="B71" s="422"/>
      <c r="C71" s="422"/>
      <c r="D71" s="422"/>
      <c r="E71" s="422"/>
      <c r="F71" s="422"/>
      <c r="G71" s="422"/>
      <c r="H71" s="422"/>
      <c r="I71" s="422"/>
      <c r="J71" s="422"/>
      <c r="K71" s="423"/>
    </row>
    <row r="72" spans="1:13" ht="83.45" customHeight="1" x14ac:dyDescent="0.2">
      <c r="A72" s="419" t="s">
        <v>442</v>
      </c>
      <c r="B72" s="420"/>
      <c r="C72" s="420"/>
      <c r="D72" s="420"/>
      <c r="E72" s="420"/>
      <c r="F72" s="420"/>
      <c r="G72" s="420"/>
      <c r="H72" s="420"/>
      <c r="I72" s="420"/>
      <c r="J72" s="420"/>
      <c r="K72" s="421"/>
    </row>
    <row r="73" spans="1:13" ht="62.1" customHeight="1" x14ac:dyDescent="0.2">
      <c r="A73" s="419" t="s">
        <v>443</v>
      </c>
      <c r="B73" s="422"/>
      <c r="C73" s="422"/>
      <c r="D73" s="422"/>
      <c r="E73" s="422"/>
      <c r="F73" s="422"/>
      <c r="G73" s="422"/>
      <c r="H73" s="422"/>
      <c r="I73" s="422"/>
      <c r="J73" s="422"/>
      <c r="K73" s="423"/>
    </row>
    <row r="74" spans="1:13" ht="111.6" customHeight="1" x14ac:dyDescent="0.2">
      <c r="A74" s="419" t="s">
        <v>444</v>
      </c>
      <c r="B74" s="427"/>
      <c r="C74" s="427"/>
      <c r="D74" s="427"/>
      <c r="E74" s="427"/>
      <c r="F74" s="427"/>
      <c r="G74" s="427"/>
      <c r="H74" s="427"/>
      <c r="I74" s="427"/>
      <c r="J74" s="427"/>
      <c r="K74" s="423"/>
    </row>
    <row r="75" spans="1:13" ht="29.1" customHeight="1" x14ac:dyDescent="0.2">
      <c r="A75" s="429" t="s">
        <v>419</v>
      </c>
      <c r="B75" s="430"/>
      <c r="C75" s="430"/>
      <c r="D75" s="430"/>
      <c r="E75" s="430"/>
      <c r="F75" s="430"/>
      <c r="G75" s="430"/>
      <c r="H75" s="430"/>
      <c r="I75" s="430"/>
      <c r="J75" s="430"/>
      <c r="K75" s="431"/>
    </row>
    <row r="76" spans="1:13" ht="34.35" customHeight="1" x14ac:dyDescent="0.3">
      <c r="A76" s="424" t="s">
        <v>420</v>
      </c>
      <c r="B76" s="425"/>
      <c r="C76" s="425"/>
      <c r="D76" s="425"/>
      <c r="E76" s="425"/>
      <c r="F76" s="425"/>
      <c r="G76" s="425"/>
      <c r="H76" s="425"/>
      <c r="I76" s="425"/>
      <c r="J76" s="425"/>
      <c r="K76" s="426"/>
    </row>
    <row r="77" spans="1:13" ht="33.6" customHeight="1" x14ac:dyDescent="0.2">
      <c r="A77" s="419" t="s">
        <v>445</v>
      </c>
      <c r="B77" s="422"/>
      <c r="C77" s="422"/>
      <c r="D77" s="422"/>
      <c r="E77" s="422"/>
      <c r="F77" s="422"/>
      <c r="G77" s="422"/>
      <c r="H77" s="422"/>
      <c r="I77" s="422"/>
      <c r="J77" s="422"/>
      <c r="K77" s="423"/>
    </row>
    <row r="78" spans="1:13" ht="76.349999999999994" customHeight="1" x14ac:dyDescent="0.2">
      <c r="A78" s="419" t="s">
        <v>446</v>
      </c>
      <c r="B78" s="420"/>
      <c r="C78" s="420"/>
      <c r="D78" s="420"/>
      <c r="E78" s="420"/>
      <c r="F78" s="420"/>
      <c r="G78" s="420"/>
      <c r="H78" s="420"/>
      <c r="I78" s="420"/>
      <c r="J78" s="420"/>
      <c r="K78" s="421"/>
    </row>
    <row r="79" spans="1:13" ht="51" customHeight="1" x14ac:dyDescent="0.2">
      <c r="A79" s="419" t="s">
        <v>421</v>
      </c>
      <c r="B79" s="420"/>
      <c r="C79" s="420"/>
      <c r="D79" s="420"/>
      <c r="E79" s="420"/>
      <c r="F79" s="420"/>
      <c r="G79" s="420"/>
      <c r="H79" s="420"/>
      <c r="I79" s="420"/>
      <c r="J79" s="420"/>
      <c r="K79" s="421"/>
    </row>
    <row r="80" spans="1:13" ht="57" customHeight="1" x14ac:dyDescent="0.2">
      <c r="A80" s="419" t="s">
        <v>360</v>
      </c>
      <c r="B80" s="422"/>
      <c r="C80" s="422"/>
      <c r="D80" s="422"/>
      <c r="E80" s="422"/>
      <c r="F80" s="422"/>
      <c r="G80" s="422"/>
      <c r="H80" s="422"/>
      <c r="I80" s="422"/>
      <c r="J80" s="422"/>
      <c r="K80" s="423"/>
    </row>
    <row r="81" spans="1:11" ht="87.6" customHeight="1" x14ac:dyDescent="0.2">
      <c r="A81" s="419" t="s">
        <v>546</v>
      </c>
      <c r="B81" s="422"/>
      <c r="C81" s="422"/>
      <c r="D81" s="422"/>
      <c r="E81" s="422"/>
      <c r="F81" s="422"/>
      <c r="G81" s="422"/>
      <c r="H81" s="422"/>
      <c r="I81" s="422"/>
      <c r="J81" s="422"/>
      <c r="K81" s="423"/>
    </row>
    <row r="82" spans="1:11" ht="84.6" customHeight="1" x14ac:dyDescent="0.2">
      <c r="A82" s="419" t="s">
        <v>492</v>
      </c>
      <c r="B82" s="420"/>
      <c r="C82" s="420"/>
      <c r="D82" s="420"/>
      <c r="E82" s="420"/>
      <c r="F82" s="420"/>
      <c r="G82" s="420"/>
      <c r="H82" s="420"/>
      <c r="I82" s="420"/>
      <c r="J82" s="420"/>
      <c r="K82" s="421"/>
    </row>
    <row r="83" spans="1:11" ht="81" customHeight="1" x14ac:dyDescent="0.2">
      <c r="A83" s="472" t="s">
        <v>567</v>
      </c>
      <c r="B83" s="420"/>
      <c r="C83" s="420"/>
      <c r="D83" s="420"/>
      <c r="E83" s="420"/>
      <c r="F83" s="420"/>
      <c r="G83" s="420"/>
      <c r="H83" s="420"/>
      <c r="I83" s="420"/>
      <c r="J83" s="420"/>
      <c r="K83" s="421"/>
    </row>
    <row r="84" spans="1:11" ht="64.349999999999994" customHeight="1" x14ac:dyDescent="0.2">
      <c r="A84" s="419" t="s">
        <v>447</v>
      </c>
      <c r="B84" s="422"/>
      <c r="C84" s="422"/>
      <c r="D84" s="422"/>
      <c r="E84" s="422"/>
      <c r="F84" s="422"/>
      <c r="G84" s="422"/>
      <c r="H84" s="422"/>
      <c r="I84" s="422"/>
      <c r="J84" s="422"/>
      <c r="K84" s="423"/>
    </row>
    <row r="85" spans="1:11" ht="113.1" customHeight="1" x14ac:dyDescent="0.2">
      <c r="A85" s="419" t="s">
        <v>328</v>
      </c>
      <c r="B85" s="422"/>
      <c r="C85" s="422"/>
      <c r="D85" s="422"/>
      <c r="E85" s="422"/>
      <c r="F85" s="422"/>
      <c r="G85" s="422"/>
      <c r="H85" s="422"/>
      <c r="I85" s="422"/>
      <c r="J85" s="422"/>
      <c r="K85" s="423"/>
    </row>
    <row r="86" spans="1:11" ht="72" customHeight="1" x14ac:dyDescent="0.2">
      <c r="A86" s="419" t="s">
        <v>448</v>
      </c>
      <c r="B86" s="422"/>
      <c r="C86" s="422"/>
      <c r="D86" s="422"/>
      <c r="E86" s="422"/>
      <c r="F86" s="422"/>
      <c r="G86" s="422"/>
      <c r="H86" s="422"/>
      <c r="I86" s="422"/>
      <c r="J86" s="422"/>
      <c r="K86" s="423"/>
    </row>
    <row r="87" spans="1:11" ht="78.599999999999994" customHeight="1" x14ac:dyDescent="0.2">
      <c r="A87" s="419" t="s">
        <v>449</v>
      </c>
      <c r="B87" s="422"/>
      <c r="C87" s="422"/>
      <c r="D87" s="422"/>
      <c r="E87" s="422"/>
      <c r="F87" s="422"/>
      <c r="G87" s="422"/>
      <c r="H87" s="422"/>
      <c r="I87" s="422"/>
      <c r="J87" s="422"/>
      <c r="K87" s="423"/>
    </row>
    <row r="88" spans="1:11" ht="60" customHeight="1" x14ac:dyDescent="0.2">
      <c r="A88" s="419" t="s">
        <v>547</v>
      </c>
      <c r="B88" s="420"/>
      <c r="C88" s="420"/>
      <c r="D88" s="420"/>
      <c r="E88" s="420"/>
      <c r="F88" s="420"/>
      <c r="G88" s="420"/>
      <c r="H88" s="420"/>
      <c r="I88" s="420"/>
      <c r="J88" s="420"/>
      <c r="K88" s="421"/>
    </row>
    <row r="89" spans="1:11" ht="79.349999999999994" customHeight="1" x14ac:dyDescent="0.2">
      <c r="A89" s="419" t="s">
        <v>493</v>
      </c>
      <c r="B89" s="427"/>
      <c r="C89" s="427"/>
      <c r="D89" s="427"/>
      <c r="E89" s="427"/>
      <c r="F89" s="427"/>
      <c r="G89" s="427"/>
      <c r="H89" s="427"/>
      <c r="I89" s="427"/>
      <c r="J89" s="427"/>
      <c r="K89" s="423"/>
    </row>
    <row r="90" spans="1:11" ht="77.099999999999994" customHeight="1" x14ac:dyDescent="0.2">
      <c r="A90" s="419" t="s">
        <v>568</v>
      </c>
      <c r="B90" s="420"/>
      <c r="C90" s="420"/>
      <c r="D90" s="420"/>
      <c r="E90" s="420"/>
      <c r="F90" s="420"/>
      <c r="G90" s="420"/>
      <c r="H90" s="420"/>
      <c r="I90" s="420"/>
      <c r="J90" s="420"/>
      <c r="K90" s="421"/>
    </row>
    <row r="91" spans="1:11" ht="59.45" customHeight="1" x14ac:dyDescent="0.2">
      <c r="A91" s="419" t="s">
        <v>517</v>
      </c>
      <c r="B91" s="420"/>
      <c r="C91" s="420"/>
      <c r="D91" s="420"/>
      <c r="E91" s="420"/>
      <c r="F91" s="420"/>
      <c r="G91" s="420"/>
      <c r="H91" s="420"/>
      <c r="I91" s="420"/>
      <c r="J91" s="420"/>
      <c r="K91" s="421"/>
    </row>
    <row r="92" spans="1:11" ht="101.1" customHeight="1" x14ac:dyDescent="0.2">
      <c r="A92" s="419" t="s">
        <v>450</v>
      </c>
      <c r="B92" s="420"/>
      <c r="C92" s="420"/>
      <c r="D92" s="420"/>
      <c r="E92" s="420"/>
      <c r="F92" s="420"/>
      <c r="G92" s="420"/>
      <c r="H92" s="420"/>
      <c r="I92" s="420"/>
      <c r="J92" s="420"/>
      <c r="K92" s="421"/>
    </row>
    <row r="93" spans="1:11" ht="82.7" customHeight="1" x14ac:dyDescent="0.2">
      <c r="A93" s="419" t="s">
        <v>451</v>
      </c>
      <c r="B93" s="420"/>
      <c r="C93" s="420"/>
      <c r="D93" s="420"/>
      <c r="E93" s="420"/>
      <c r="F93" s="420"/>
      <c r="G93" s="420"/>
      <c r="H93" s="420"/>
      <c r="I93" s="420"/>
      <c r="J93" s="420"/>
      <c r="K93" s="421"/>
    </row>
    <row r="94" spans="1:11" ht="93" customHeight="1" x14ac:dyDescent="0.2">
      <c r="A94" s="419" t="s">
        <v>452</v>
      </c>
      <c r="B94" s="420"/>
      <c r="C94" s="420"/>
      <c r="D94" s="420"/>
      <c r="E94" s="420"/>
      <c r="F94" s="420"/>
      <c r="G94" s="420"/>
      <c r="H94" s="420"/>
      <c r="I94" s="420"/>
      <c r="J94" s="420"/>
      <c r="K94" s="421"/>
    </row>
    <row r="95" spans="1:11" ht="90" customHeight="1" x14ac:dyDescent="0.2">
      <c r="A95" s="419" t="s">
        <v>317</v>
      </c>
      <c r="B95" s="420"/>
      <c r="C95" s="420"/>
      <c r="D95" s="420"/>
      <c r="E95" s="420"/>
      <c r="F95" s="420"/>
      <c r="G95" s="420"/>
      <c r="H95" s="420"/>
      <c r="I95" s="420"/>
      <c r="J95" s="420"/>
      <c r="K95" s="421"/>
    </row>
    <row r="96" spans="1:11" ht="60" customHeight="1" x14ac:dyDescent="0.2">
      <c r="A96" s="419" t="s">
        <v>453</v>
      </c>
      <c r="B96" s="420"/>
      <c r="C96" s="420"/>
      <c r="D96" s="420"/>
      <c r="E96" s="420"/>
      <c r="F96" s="420"/>
      <c r="G96" s="420"/>
      <c r="H96" s="420"/>
      <c r="I96" s="420"/>
      <c r="J96" s="420"/>
      <c r="K96" s="421"/>
    </row>
    <row r="97" spans="1:11" ht="87.6" customHeight="1" x14ac:dyDescent="0.2">
      <c r="A97" s="419" t="s">
        <v>454</v>
      </c>
      <c r="B97" s="420"/>
      <c r="C97" s="420"/>
      <c r="D97" s="420"/>
      <c r="E97" s="420"/>
      <c r="F97" s="420"/>
      <c r="G97" s="420"/>
      <c r="H97" s="420"/>
      <c r="I97" s="420"/>
      <c r="J97" s="420"/>
      <c r="K97" s="421"/>
    </row>
    <row r="98" spans="1:11" ht="88.35" customHeight="1" x14ac:dyDescent="0.2">
      <c r="A98" s="419" t="s">
        <v>422</v>
      </c>
      <c r="B98" s="420"/>
      <c r="C98" s="420"/>
      <c r="D98" s="420"/>
      <c r="E98" s="420"/>
      <c r="F98" s="420"/>
      <c r="G98" s="420"/>
      <c r="H98" s="420"/>
      <c r="I98" s="420"/>
      <c r="J98" s="420"/>
      <c r="K98" s="421"/>
    </row>
    <row r="99" spans="1:11" ht="42" customHeight="1" x14ac:dyDescent="0.2">
      <c r="A99" s="419" t="s">
        <v>455</v>
      </c>
      <c r="B99" s="420"/>
      <c r="C99" s="420"/>
      <c r="D99" s="420"/>
      <c r="E99" s="420"/>
      <c r="F99" s="420"/>
      <c r="G99" s="420"/>
      <c r="H99" s="420"/>
      <c r="I99" s="420"/>
      <c r="J99" s="420"/>
      <c r="K99" s="421"/>
    </row>
    <row r="100" spans="1:11" ht="41.25" customHeight="1" x14ac:dyDescent="0.2">
      <c r="A100" s="429" t="s">
        <v>423</v>
      </c>
      <c r="B100" s="430"/>
      <c r="C100" s="430"/>
      <c r="D100" s="430"/>
      <c r="E100" s="430"/>
      <c r="F100" s="430"/>
      <c r="G100" s="430"/>
      <c r="H100" s="430"/>
      <c r="I100" s="430"/>
      <c r="J100" s="430"/>
      <c r="K100" s="431"/>
    </row>
    <row r="101" spans="1:11" ht="33" customHeight="1" x14ac:dyDescent="0.3">
      <c r="A101" s="424" t="s">
        <v>143</v>
      </c>
      <c r="B101" s="425"/>
      <c r="C101" s="425"/>
      <c r="D101" s="425"/>
      <c r="E101" s="425"/>
      <c r="F101" s="425"/>
      <c r="G101" s="425"/>
      <c r="H101" s="425"/>
      <c r="I101" s="425"/>
      <c r="J101" s="425"/>
      <c r="K101" s="426"/>
    </row>
    <row r="102" spans="1:11" ht="73.349999999999994" customHeight="1" x14ac:dyDescent="0.2">
      <c r="A102" s="419" t="s">
        <v>334</v>
      </c>
      <c r="B102" s="422"/>
      <c r="C102" s="422"/>
      <c r="D102" s="422"/>
      <c r="E102" s="422"/>
      <c r="F102" s="422"/>
      <c r="G102" s="422"/>
      <c r="H102" s="422"/>
      <c r="I102" s="422"/>
      <c r="J102" s="422"/>
      <c r="K102" s="423"/>
    </row>
    <row r="103" spans="1:11" ht="59.45" customHeight="1" x14ac:dyDescent="0.2">
      <c r="A103" s="419" t="s">
        <v>456</v>
      </c>
      <c r="B103" s="420"/>
      <c r="C103" s="420"/>
      <c r="D103" s="420"/>
      <c r="E103" s="420"/>
      <c r="F103" s="420"/>
      <c r="G103" s="420"/>
      <c r="H103" s="420"/>
      <c r="I103" s="420"/>
      <c r="J103" s="420"/>
      <c r="K103" s="421"/>
    </row>
    <row r="104" spans="1:11" ht="61.35" customHeight="1" x14ac:dyDescent="0.2">
      <c r="A104" s="419" t="s">
        <v>518</v>
      </c>
      <c r="B104" s="420"/>
      <c r="C104" s="420"/>
      <c r="D104" s="420"/>
      <c r="E104" s="420"/>
      <c r="F104" s="420"/>
      <c r="G104" s="420"/>
      <c r="H104" s="420"/>
      <c r="I104" s="420"/>
      <c r="J104" s="420"/>
      <c r="K104" s="421"/>
    </row>
    <row r="105" spans="1:11" ht="86.45" customHeight="1" x14ac:dyDescent="0.2">
      <c r="A105" s="419" t="s">
        <v>548</v>
      </c>
      <c r="B105" s="422"/>
      <c r="C105" s="422"/>
      <c r="D105" s="422"/>
      <c r="E105" s="422"/>
      <c r="F105" s="422"/>
      <c r="G105" s="422"/>
      <c r="H105" s="422"/>
      <c r="I105" s="422"/>
      <c r="J105" s="422"/>
      <c r="K105" s="423"/>
    </row>
    <row r="106" spans="1:11" ht="113.1" customHeight="1" x14ac:dyDescent="0.2">
      <c r="A106" s="419" t="s">
        <v>470</v>
      </c>
      <c r="B106" s="420"/>
      <c r="C106" s="420"/>
      <c r="D106" s="420"/>
      <c r="E106" s="420"/>
      <c r="F106" s="420"/>
      <c r="G106" s="420"/>
      <c r="H106" s="420"/>
      <c r="I106" s="420"/>
      <c r="J106" s="420"/>
      <c r="K106" s="421"/>
    </row>
    <row r="107" spans="1:11" ht="132" customHeight="1" x14ac:dyDescent="0.2">
      <c r="A107" s="419" t="s">
        <v>569</v>
      </c>
      <c r="B107" s="420"/>
      <c r="C107" s="420"/>
      <c r="D107" s="420"/>
      <c r="E107" s="420"/>
      <c r="F107" s="420"/>
      <c r="G107" s="420"/>
      <c r="H107" s="420"/>
      <c r="I107" s="420"/>
      <c r="J107" s="420"/>
      <c r="K107" s="421"/>
    </row>
    <row r="108" spans="1:11" ht="83.1" customHeight="1" x14ac:dyDescent="0.2">
      <c r="A108" s="419" t="s">
        <v>519</v>
      </c>
      <c r="B108" s="420"/>
      <c r="C108" s="420"/>
      <c r="D108" s="420"/>
      <c r="E108" s="420"/>
      <c r="F108" s="420"/>
      <c r="G108" s="420"/>
      <c r="H108" s="420"/>
      <c r="I108" s="420"/>
      <c r="J108" s="420"/>
      <c r="K108" s="421"/>
    </row>
    <row r="109" spans="1:11" ht="83.1" customHeight="1" x14ac:dyDescent="0.2">
      <c r="A109" s="419" t="s">
        <v>201</v>
      </c>
      <c r="B109" s="420"/>
      <c r="C109" s="420"/>
      <c r="D109" s="420"/>
      <c r="E109" s="420"/>
      <c r="F109" s="420"/>
      <c r="G109" s="420"/>
      <c r="H109" s="420"/>
      <c r="I109" s="420"/>
      <c r="J109" s="420"/>
      <c r="K109" s="421"/>
    </row>
    <row r="110" spans="1:11" ht="150.6" customHeight="1" x14ac:dyDescent="0.2">
      <c r="A110" s="419" t="s">
        <v>473</v>
      </c>
      <c r="B110" s="422"/>
      <c r="C110" s="422"/>
      <c r="D110" s="422"/>
      <c r="E110" s="422"/>
      <c r="F110" s="422"/>
      <c r="G110" s="422"/>
      <c r="H110" s="422"/>
      <c r="I110" s="422"/>
      <c r="J110" s="422"/>
      <c r="K110" s="423"/>
    </row>
    <row r="111" spans="1:11" ht="54.6" customHeight="1" x14ac:dyDescent="0.2">
      <c r="A111" s="419" t="s">
        <v>475</v>
      </c>
      <c r="B111" s="420"/>
      <c r="C111" s="420"/>
      <c r="D111" s="420"/>
      <c r="E111" s="420"/>
      <c r="F111" s="420"/>
      <c r="G111" s="420"/>
      <c r="H111" s="420"/>
      <c r="I111" s="420"/>
      <c r="J111" s="420"/>
      <c r="K111" s="421"/>
    </row>
    <row r="112" spans="1:11" ht="77.099999999999994" customHeight="1" x14ac:dyDescent="0.2">
      <c r="A112" s="419" t="s">
        <v>337</v>
      </c>
      <c r="B112" s="420"/>
      <c r="C112" s="420"/>
      <c r="D112" s="420"/>
      <c r="E112" s="420"/>
      <c r="F112" s="420"/>
      <c r="G112" s="420"/>
      <c r="H112" s="420"/>
      <c r="I112" s="420"/>
      <c r="J112" s="420"/>
      <c r="K112" s="421"/>
    </row>
    <row r="113" spans="1:11" ht="99" customHeight="1" x14ac:dyDescent="0.2">
      <c r="A113" s="419" t="s">
        <v>457</v>
      </c>
      <c r="B113" s="422"/>
      <c r="C113" s="422"/>
      <c r="D113" s="422"/>
      <c r="E113" s="422"/>
      <c r="F113" s="422"/>
      <c r="G113" s="422"/>
      <c r="H113" s="422"/>
      <c r="I113" s="422"/>
      <c r="J113" s="422"/>
      <c r="K113" s="423"/>
    </row>
    <row r="114" spans="1:11" ht="116.1" customHeight="1" x14ac:dyDescent="0.2">
      <c r="A114" s="419" t="s">
        <v>474</v>
      </c>
      <c r="B114" s="420"/>
      <c r="C114" s="420"/>
      <c r="D114" s="420"/>
      <c r="E114" s="420"/>
      <c r="F114" s="420"/>
      <c r="G114" s="420"/>
      <c r="H114" s="420"/>
      <c r="I114" s="420"/>
      <c r="J114" s="420"/>
      <c r="K114" s="421"/>
    </row>
    <row r="115" spans="1:11" ht="127.7" customHeight="1" x14ac:dyDescent="0.2">
      <c r="A115" s="419" t="s">
        <v>520</v>
      </c>
      <c r="B115" s="420"/>
      <c r="C115" s="420"/>
      <c r="D115" s="420"/>
      <c r="E115" s="420"/>
      <c r="F115" s="420"/>
      <c r="G115" s="420"/>
      <c r="H115" s="420"/>
      <c r="I115" s="420"/>
      <c r="J115" s="420"/>
      <c r="K115" s="421"/>
    </row>
    <row r="116" spans="1:11" ht="102" customHeight="1" x14ac:dyDescent="0.2">
      <c r="A116" s="419" t="s">
        <v>521</v>
      </c>
      <c r="B116" s="420"/>
      <c r="C116" s="420"/>
      <c r="D116" s="420"/>
      <c r="E116" s="420"/>
      <c r="F116" s="420"/>
      <c r="G116" s="420"/>
      <c r="H116" s="420"/>
      <c r="I116" s="420"/>
      <c r="J116" s="420"/>
      <c r="K116" s="421"/>
    </row>
    <row r="117" spans="1:11" ht="47.45" customHeight="1" x14ac:dyDescent="0.2">
      <c r="A117" s="419" t="s">
        <v>424</v>
      </c>
      <c r="B117" s="420"/>
      <c r="C117" s="420"/>
      <c r="D117" s="420"/>
      <c r="E117" s="420"/>
      <c r="F117" s="420"/>
      <c r="G117" s="420"/>
      <c r="H117" s="420"/>
      <c r="I117" s="420"/>
      <c r="J117" s="420"/>
      <c r="K117" s="421"/>
    </row>
    <row r="118" spans="1:11" ht="100.35" customHeight="1" x14ac:dyDescent="0.2">
      <c r="A118" s="419" t="s">
        <v>476</v>
      </c>
      <c r="B118" s="420"/>
      <c r="C118" s="420"/>
      <c r="D118" s="420"/>
      <c r="E118" s="420"/>
      <c r="F118" s="420"/>
      <c r="G118" s="420"/>
      <c r="H118" s="420"/>
      <c r="I118" s="420"/>
      <c r="J118" s="420"/>
      <c r="K118" s="421"/>
    </row>
    <row r="119" spans="1:11" ht="82.5" customHeight="1" x14ac:dyDescent="0.2">
      <c r="A119" s="419" t="s">
        <v>494</v>
      </c>
      <c r="B119" s="420"/>
      <c r="C119" s="420"/>
      <c r="D119" s="420"/>
      <c r="E119" s="420"/>
      <c r="F119" s="420"/>
      <c r="G119" s="420"/>
      <c r="H119" s="420"/>
      <c r="I119" s="420"/>
      <c r="J119" s="420"/>
      <c r="K119" s="421"/>
    </row>
    <row r="120" spans="1:11" ht="57.6" customHeight="1" x14ac:dyDescent="0.2">
      <c r="A120" s="419" t="s">
        <v>555</v>
      </c>
      <c r="B120" s="420"/>
      <c r="C120" s="420"/>
      <c r="D120" s="420"/>
      <c r="E120" s="420"/>
      <c r="F120" s="420"/>
      <c r="G120" s="420"/>
      <c r="H120" s="420"/>
      <c r="I120" s="420"/>
      <c r="J120" s="420"/>
      <c r="K120" s="421"/>
    </row>
    <row r="121" spans="1:11" ht="71.45" customHeight="1" x14ac:dyDescent="0.2">
      <c r="A121" s="419" t="s">
        <v>522</v>
      </c>
      <c r="B121" s="420"/>
      <c r="C121" s="420"/>
      <c r="D121" s="420"/>
      <c r="E121" s="420"/>
      <c r="F121" s="420"/>
      <c r="G121" s="420"/>
      <c r="H121" s="420"/>
      <c r="I121" s="420"/>
      <c r="J121" s="420"/>
      <c r="K121" s="421"/>
    </row>
    <row r="122" spans="1:11" ht="46.35" customHeight="1" x14ac:dyDescent="0.2">
      <c r="A122" s="419" t="s">
        <v>335</v>
      </c>
      <c r="B122" s="420"/>
      <c r="C122" s="420"/>
      <c r="D122" s="420"/>
      <c r="E122" s="420"/>
      <c r="F122" s="420"/>
      <c r="G122" s="420"/>
      <c r="H122" s="420"/>
      <c r="I122" s="420"/>
      <c r="J122" s="420"/>
      <c r="K122" s="421"/>
    </row>
    <row r="123" spans="1:11" ht="140.1" customHeight="1" x14ac:dyDescent="0.2">
      <c r="A123" s="419" t="s">
        <v>477</v>
      </c>
      <c r="B123" s="420"/>
      <c r="C123" s="420"/>
      <c r="D123" s="420"/>
      <c r="E123" s="420"/>
      <c r="F123" s="420"/>
      <c r="G123" s="420"/>
      <c r="H123" s="420"/>
      <c r="I123" s="420"/>
      <c r="J123" s="420"/>
      <c r="K123" s="421"/>
    </row>
    <row r="124" spans="1:11" ht="89.1" customHeight="1" x14ac:dyDescent="0.2">
      <c r="A124" s="419" t="s">
        <v>458</v>
      </c>
      <c r="B124" s="420"/>
      <c r="C124" s="420"/>
      <c r="D124" s="420"/>
      <c r="E124" s="420"/>
      <c r="F124" s="420"/>
      <c r="G124" s="420"/>
      <c r="H124" s="420"/>
      <c r="I124" s="420"/>
      <c r="J124" s="420"/>
      <c r="K124" s="421"/>
    </row>
    <row r="125" spans="1:11" ht="100.35" customHeight="1" x14ac:dyDescent="0.2">
      <c r="A125" s="419" t="s">
        <v>523</v>
      </c>
      <c r="B125" s="473"/>
      <c r="C125" s="473"/>
      <c r="D125" s="473"/>
      <c r="E125" s="473"/>
      <c r="F125" s="473"/>
      <c r="G125" s="473"/>
      <c r="H125" s="473"/>
      <c r="I125" s="473"/>
      <c r="J125" s="473"/>
      <c r="K125" s="474"/>
    </row>
    <row r="126" spans="1:11" ht="71.45" customHeight="1" x14ac:dyDescent="0.2">
      <c r="A126" s="467" t="s">
        <v>570</v>
      </c>
      <c r="B126" s="470"/>
      <c r="C126" s="470"/>
      <c r="D126" s="470"/>
      <c r="E126" s="470"/>
      <c r="F126" s="470"/>
      <c r="G126" s="470"/>
      <c r="H126" s="470"/>
      <c r="I126" s="470"/>
      <c r="J126" s="470"/>
      <c r="K126" s="471"/>
    </row>
    <row r="127" spans="1:11" ht="74.45" customHeight="1" x14ac:dyDescent="0.2">
      <c r="A127" s="419" t="s">
        <v>460</v>
      </c>
      <c r="B127" s="420"/>
      <c r="C127" s="420"/>
      <c r="D127" s="420"/>
      <c r="E127" s="420"/>
      <c r="F127" s="420"/>
      <c r="G127" s="420"/>
      <c r="H127" s="420"/>
      <c r="I127" s="420"/>
      <c r="J127" s="420"/>
      <c r="K127" s="421"/>
    </row>
    <row r="128" spans="1:11" ht="91.35" customHeight="1" x14ac:dyDescent="0.2">
      <c r="A128" s="419" t="s">
        <v>336</v>
      </c>
      <c r="B128" s="420"/>
      <c r="C128" s="420"/>
      <c r="D128" s="420"/>
      <c r="E128" s="420"/>
      <c r="F128" s="420"/>
      <c r="G128" s="420"/>
      <c r="H128" s="420"/>
      <c r="I128" s="420"/>
      <c r="J128" s="420"/>
      <c r="K128" s="421"/>
    </row>
    <row r="129" spans="1:11" ht="83.45" customHeight="1" x14ac:dyDescent="0.2">
      <c r="A129" s="419" t="s">
        <v>459</v>
      </c>
      <c r="B129" s="420"/>
      <c r="C129" s="420"/>
      <c r="D129" s="420"/>
      <c r="E129" s="420"/>
      <c r="F129" s="420"/>
      <c r="G129" s="420"/>
      <c r="H129" s="420"/>
      <c r="I129" s="420"/>
      <c r="J129" s="420"/>
      <c r="K129" s="421"/>
    </row>
    <row r="130" spans="1:11" ht="101.45" customHeight="1" x14ac:dyDescent="0.2">
      <c r="A130" s="419" t="s">
        <v>571</v>
      </c>
      <c r="B130" s="422"/>
      <c r="C130" s="422"/>
      <c r="D130" s="422"/>
      <c r="E130" s="422"/>
      <c r="F130" s="422"/>
      <c r="G130" s="422"/>
      <c r="H130" s="422"/>
      <c r="I130" s="422"/>
      <c r="J130" s="422"/>
      <c r="K130" s="423"/>
    </row>
    <row r="131" spans="1:11" ht="104.1" customHeight="1" x14ac:dyDescent="0.2">
      <c r="A131" s="419" t="s">
        <v>549</v>
      </c>
      <c r="B131" s="422"/>
      <c r="C131" s="422"/>
      <c r="D131" s="422"/>
      <c r="E131" s="422"/>
      <c r="F131" s="422"/>
      <c r="G131" s="422"/>
      <c r="H131" s="422"/>
      <c r="I131" s="422"/>
      <c r="J131" s="422"/>
      <c r="K131" s="423"/>
    </row>
    <row r="132" spans="1:11" ht="69.599999999999994" customHeight="1" x14ac:dyDescent="0.2">
      <c r="A132" s="419" t="s">
        <v>524</v>
      </c>
      <c r="B132" s="420"/>
      <c r="C132" s="420"/>
      <c r="D132" s="420"/>
      <c r="E132" s="420"/>
      <c r="F132" s="420"/>
      <c r="G132" s="420"/>
      <c r="H132" s="420"/>
      <c r="I132" s="420"/>
      <c r="J132" s="420"/>
      <c r="K132" s="421"/>
    </row>
    <row r="133" spans="1:11" ht="44.45" customHeight="1" x14ac:dyDescent="0.2">
      <c r="A133" s="419" t="s">
        <v>461</v>
      </c>
      <c r="B133" s="427"/>
      <c r="C133" s="427"/>
      <c r="D133" s="427"/>
      <c r="E133" s="427"/>
      <c r="F133" s="427"/>
      <c r="G133" s="427"/>
      <c r="H133" s="427"/>
      <c r="I133" s="427"/>
      <c r="J133" s="427"/>
      <c r="K133" s="423"/>
    </row>
    <row r="134" spans="1:11" ht="73.349999999999994" customHeight="1" x14ac:dyDescent="0.2">
      <c r="A134" s="419" t="s">
        <v>462</v>
      </c>
      <c r="B134" s="420"/>
      <c r="C134" s="420"/>
      <c r="D134" s="420"/>
      <c r="E134" s="420"/>
      <c r="F134" s="420"/>
      <c r="G134" s="420"/>
      <c r="H134" s="420"/>
      <c r="I134" s="420"/>
      <c r="J134" s="420"/>
      <c r="K134" s="421"/>
    </row>
    <row r="135" spans="1:11" ht="123.6" customHeight="1" x14ac:dyDescent="0.2">
      <c r="A135" s="419" t="s">
        <v>550</v>
      </c>
      <c r="B135" s="420"/>
      <c r="C135" s="420"/>
      <c r="D135" s="420"/>
      <c r="E135" s="420"/>
      <c r="F135" s="420"/>
      <c r="G135" s="420"/>
      <c r="H135" s="420"/>
      <c r="I135" s="420"/>
      <c r="J135" s="420"/>
      <c r="K135" s="421"/>
    </row>
    <row r="136" spans="1:11" ht="89.1" customHeight="1" x14ac:dyDescent="0.2">
      <c r="A136" s="467" t="s">
        <v>525</v>
      </c>
      <c r="B136" s="468"/>
      <c r="C136" s="468"/>
      <c r="D136" s="468"/>
      <c r="E136" s="468"/>
      <c r="F136" s="468"/>
      <c r="G136" s="468"/>
      <c r="H136" s="468"/>
      <c r="I136" s="468"/>
      <c r="J136" s="468"/>
      <c r="K136" s="469"/>
    </row>
    <row r="137" spans="1:11" ht="114" customHeight="1" x14ac:dyDescent="0.2">
      <c r="A137" s="419" t="s">
        <v>551</v>
      </c>
      <c r="B137" s="420"/>
      <c r="C137" s="420"/>
      <c r="D137" s="420"/>
      <c r="E137" s="420"/>
      <c r="F137" s="420"/>
      <c r="G137" s="420"/>
      <c r="H137" s="420"/>
      <c r="I137" s="420"/>
      <c r="J137" s="420"/>
      <c r="K137" s="421"/>
    </row>
    <row r="138" spans="1:11" ht="74.099999999999994" customHeight="1" x14ac:dyDescent="0.2">
      <c r="A138" s="419" t="s">
        <v>463</v>
      </c>
      <c r="B138" s="420"/>
      <c r="C138" s="420"/>
      <c r="D138" s="420"/>
      <c r="E138" s="420"/>
      <c r="F138" s="420"/>
      <c r="G138" s="420"/>
      <c r="H138" s="420"/>
      <c r="I138" s="420"/>
      <c r="J138" s="420"/>
      <c r="K138" s="421"/>
    </row>
    <row r="139" spans="1:11" ht="35.1" customHeight="1" x14ac:dyDescent="0.2">
      <c r="A139" s="419" t="s">
        <v>464</v>
      </c>
      <c r="B139" s="420"/>
      <c r="C139" s="420"/>
      <c r="D139" s="420"/>
      <c r="E139" s="420"/>
      <c r="F139" s="420"/>
      <c r="G139" s="420"/>
      <c r="H139" s="420"/>
      <c r="I139" s="420"/>
      <c r="J139" s="420"/>
      <c r="K139" s="421"/>
    </row>
    <row r="140" spans="1:11" ht="39" customHeight="1" x14ac:dyDescent="0.3">
      <c r="A140" s="445" t="s">
        <v>322</v>
      </c>
      <c r="B140" s="446"/>
      <c r="C140" s="446"/>
      <c r="D140" s="446"/>
      <c r="E140" s="446"/>
      <c r="F140" s="446"/>
      <c r="G140" s="446"/>
      <c r="H140" s="446"/>
      <c r="I140" s="446"/>
      <c r="J140" s="446"/>
      <c r="K140" s="447"/>
    </row>
    <row r="141" spans="1:11" ht="95.1" customHeight="1" x14ac:dyDescent="0.2">
      <c r="A141" s="419" t="s">
        <v>465</v>
      </c>
      <c r="B141" s="420"/>
      <c r="C141" s="420"/>
      <c r="D141" s="420"/>
      <c r="E141" s="420"/>
      <c r="F141" s="420"/>
      <c r="G141" s="420"/>
      <c r="H141" s="420"/>
      <c r="I141" s="420"/>
      <c r="J141" s="420"/>
      <c r="K141" s="421"/>
    </row>
    <row r="142" spans="1:11" ht="108.6" customHeight="1" x14ac:dyDescent="0.2">
      <c r="A142" s="419" t="s">
        <v>466</v>
      </c>
      <c r="B142" s="420"/>
      <c r="C142" s="420"/>
      <c r="D142" s="420"/>
      <c r="E142" s="420"/>
      <c r="F142" s="420"/>
      <c r="G142" s="420"/>
      <c r="H142" s="420"/>
      <c r="I142" s="420"/>
      <c r="J142" s="420"/>
      <c r="K142" s="421"/>
    </row>
    <row r="143" spans="1:11" ht="102" customHeight="1" x14ac:dyDescent="0.2">
      <c r="A143" s="419" t="s">
        <v>467</v>
      </c>
      <c r="B143" s="420"/>
      <c r="C143" s="420"/>
      <c r="D143" s="420"/>
      <c r="E143" s="420"/>
      <c r="F143" s="420"/>
      <c r="G143" s="420"/>
      <c r="H143" s="420"/>
      <c r="I143" s="420"/>
      <c r="J143" s="420"/>
      <c r="K143" s="421"/>
    </row>
    <row r="144" spans="1:11" ht="32.1" customHeight="1" x14ac:dyDescent="0.3">
      <c r="A144" s="424" t="s">
        <v>1</v>
      </c>
      <c r="B144" s="425"/>
      <c r="C144" s="425"/>
      <c r="D144" s="425"/>
      <c r="E144" s="425"/>
      <c r="F144" s="425"/>
      <c r="G144" s="425"/>
      <c r="H144" s="425"/>
      <c r="I144" s="425"/>
      <c r="J144" s="425"/>
      <c r="K144" s="426"/>
    </row>
    <row r="145" spans="1:11" ht="60" customHeight="1" x14ac:dyDescent="0.2">
      <c r="A145" s="419" t="s">
        <v>489</v>
      </c>
      <c r="B145" s="420"/>
      <c r="C145" s="420"/>
      <c r="D145" s="420"/>
      <c r="E145" s="420"/>
      <c r="F145" s="420"/>
      <c r="G145" s="420"/>
      <c r="H145" s="420"/>
      <c r="I145" s="420"/>
      <c r="J145" s="420"/>
      <c r="K145" s="421"/>
    </row>
    <row r="146" spans="1:11" ht="60" customHeight="1" x14ac:dyDescent="0.2">
      <c r="A146" s="419" t="s">
        <v>552</v>
      </c>
      <c r="B146" s="420"/>
      <c r="C146" s="420"/>
      <c r="D146" s="420"/>
      <c r="E146" s="420"/>
      <c r="F146" s="420"/>
      <c r="G146" s="420"/>
      <c r="H146" s="420"/>
      <c r="I146" s="420"/>
      <c r="J146" s="420"/>
      <c r="K146" s="421"/>
    </row>
    <row r="147" spans="1:11" ht="128.25" customHeight="1" x14ac:dyDescent="0.2">
      <c r="A147" s="419" t="s">
        <v>468</v>
      </c>
      <c r="B147" s="420"/>
      <c r="C147" s="420"/>
      <c r="D147" s="420"/>
      <c r="E147" s="420"/>
      <c r="F147" s="420"/>
      <c r="G147" s="420"/>
      <c r="H147" s="420"/>
      <c r="I147" s="420"/>
      <c r="J147" s="420"/>
      <c r="K147" s="421"/>
    </row>
    <row r="148" spans="1:11" ht="83.45" customHeight="1" x14ac:dyDescent="0.2">
      <c r="A148" s="419" t="s">
        <v>526</v>
      </c>
      <c r="B148" s="420"/>
      <c r="C148" s="420"/>
      <c r="D148" s="420"/>
      <c r="E148" s="420"/>
      <c r="F148" s="420"/>
      <c r="G148" s="420"/>
      <c r="H148" s="420"/>
      <c r="I148" s="420"/>
      <c r="J148" s="420"/>
      <c r="K148" s="421"/>
    </row>
    <row r="149" spans="1:11" ht="84.6" customHeight="1" x14ac:dyDescent="0.2">
      <c r="A149" s="419" t="s">
        <v>495</v>
      </c>
      <c r="B149" s="420"/>
      <c r="C149" s="420"/>
      <c r="D149" s="420"/>
      <c r="E149" s="420"/>
      <c r="F149" s="420"/>
      <c r="G149" s="420"/>
      <c r="H149" s="420"/>
      <c r="I149" s="420"/>
      <c r="J149" s="420"/>
      <c r="K149" s="421"/>
    </row>
    <row r="150" spans="1:11" ht="44.45" customHeight="1" x14ac:dyDescent="0.2">
      <c r="A150" s="419" t="s">
        <v>527</v>
      </c>
      <c r="B150" s="420"/>
      <c r="C150" s="420"/>
      <c r="D150" s="420"/>
      <c r="E150" s="420"/>
      <c r="F150" s="420"/>
      <c r="G150" s="420"/>
      <c r="H150" s="420"/>
      <c r="I150" s="420"/>
      <c r="J150" s="420"/>
      <c r="K150" s="421"/>
    </row>
    <row r="151" spans="1:11" ht="100.35" customHeight="1" x14ac:dyDescent="0.2">
      <c r="A151" s="429" t="s">
        <v>532</v>
      </c>
      <c r="B151" s="430"/>
      <c r="C151" s="430"/>
      <c r="D151" s="430"/>
      <c r="E151" s="430"/>
      <c r="F151" s="430"/>
      <c r="G151" s="430"/>
      <c r="H151" s="430"/>
      <c r="I151" s="430"/>
      <c r="J151" s="430"/>
      <c r="K151" s="431"/>
    </row>
    <row r="152" spans="1:11" ht="30.6" customHeight="1" x14ac:dyDescent="0.3">
      <c r="A152" s="424" t="s">
        <v>178</v>
      </c>
      <c r="B152" s="425"/>
      <c r="C152" s="425"/>
      <c r="D152" s="425"/>
      <c r="E152" s="425"/>
      <c r="F152" s="425"/>
      <c r="G152" s="425"/>
      <c r="H152" s="425"/>
      <c r="I152" s="425"/>
      <c r="J152" s="425"/>
      <c r="K152" s="426"/>
    </row>
    <row r="153" spans="1:11" ht="64.349999999999994" customHeight="1" x14ac:dyDescent="0.2">
      <c r="A153" s="429" t="s">
        <v>490</v>
      </c>
      <c r="B153" s="432"/>
      <c r="C153" s="432"/>
      <c r="D153" s="432"/>
      <c r="E153" s="432"/>
      <c r="F153" s="432"/>
      <c r="G153" s="432"/>
      <c r="H153" s="432"/>
      <c r="I153" s="432"/>
      <c r="J153" s="432"/>
      <c r="K153" s="433"/>
    </row>
    <row r="154" spans="1:11" s="47" customFormat="1" ht="38.450000000000003" customHeight="1" x14ac:dyDescent="0.3">
      <c r="A154" s="424" t="s">
        <v>179</v>
      </c>
      <c r="B154" s="425"/>
      <c r="C154" s="425"/>
      <c r="D154" s="425"/>
      <c r="E154" s="425"/>
      <c r="F154" s="425"/>
      <c r="G154" s="425"/>
      <c r="H154" s="425"/>
      <c r="I154" s="425"/>
      <c r="J154" s="425"/>
      <c r="K154" s="426"/>
    </row>
    <row r="155" spans="1:11" ht="110.1" customHeight="1" x14ac:dyDescent="0.2">
      <c r="A155" s="429" t="s">
        <v>560</v>
      </c>
      <c r="B155" s="432"/>
      <c r="C155" s="432"/>
      <c r="D155" s="432"/>
      <c r="E155" s="432"/>
      <c r="F155" s="432"/>
      <c r="G155" s="432"/>
      <c r="H155" s="432"/>
      <c r="I155" s="432"/>
      <c r="J155" s="432"/>
      <c r="K155" s="433"/>
    </row>
    <row r="156" spans="1:11" ht="18.600000000000001" customHeight="1" x14ac:dyDescent="0.2">
      <c r="A156" s="452" t="s">
        <v>11</v>
      </c>
      <c r="B156" s="453"/>
      <c r="C156" s="453"/>
      <c r="D156" s="453"/>
      <c r="E156" s="453"/>
      <c r="F156" s="453"/>
      <c r="G156" s="453"/>
      <c r="H156" s="453"/>
      <c r="I156" s="453"/>
      <c r="J156" s="453"/>
      <c r="K156" s="454"/>
    </row>
    <row r="157" spans="1:11" ht="36" customHeight="1" x14ac:dyDescent="0.3">
      <c r="A157" s="424" t="s">
        <v>183</v>
      </c>
      <c r="B157" s="425"/>
      <c r="C157" s="425"/>
      <c r="D157" s="425"/>
      <c r="E157" s="425"/>
      <c r="F157" s="425"/>
      <c r="G157" s="425"/>
      <c r="H157" s="425"/>
      <c r="I157" s="425"/>
      <c r="J157" s="425"/>
      <c r="K157" s="426"/>
    </row>
    <row r="158" spans="1:11" ht="139.69999999999999" customHeight="1" x14ac:dyDescent="0.2">
      <c r="A158" s="429" t="s">
        <v>528</v>
      </c>
      <c r="B158" s="432"/>
      <c r="C158" s="432"/>
      <c r="D158" s="432"/>
      <c r="E158" s="432"/>
      <c r="F158" s="432"/>
      <c r="G158" s="432"/>
      <c r="H158" s="432"/>
      <c r="I158" s="432"/>
      <c r="J158" s="432"/>
      <c r="K158" s="433"/>
    </row>
    <row r="159" spans="1:11" ht="28.35" customHeight="1" x14ac:dyDescent="0.2">
      <c r="A159" s="450" t="s">
        <v>558</v>
      </c>
      <c r="B159" s="450"/>
      <c r="C159" s="450"/>
      <c r="D159" s="450"/>
      <c r="E159" s="450"/>
      <c r="F159" s="450"/>
      <c r="G159" s="450"/>
      <c r="H159" s="450"/>
      <c r="I159" s="450"/>
      <c r="J159" s="450"/>
      <c r="K159" s="451"/>
    </row>
    <row r="160" spans="1:11" ht="97.5" customHeight="1" x14ac:dyDescent="0.25">
      <c r="A160" s="449" t="s">
        <v>142</v>
      </c>
      <c r="B160" s="438"/>
      <c r="C160" s="438"/>
      <c r="D160" s="438"/>
      <c r="E160" s="438"/>
      <c r="F160" s="438"/>
      <c r="G160" s="438"/>
      <c r="H160" s="438"/>
      <c r="I160" s="438"/>
      <c r="J160" s="438"/>
      <c r="K160" s="439"/>
    </row>
    <row r="161" spans="1:11" ht="14.45" customHeight="1" x14ac:dyDescent="0.2">
      <c r="A161" s="448" t="s">
        <v>559</v>
      </c>
      <c r="B161" s="448"/>
      <c r="D161" s="11"/>
      <c r="E161" s="11"/>
      <c r="F161" s="11"/>
      <c r="J161" s="455">
        <v>43988</v>
      </c>
      <c r="K161" s="455"/>
    </row>
    <row r="162" spans="1:11" ht="14.45" customHeight="1" x14ac:dyDescent="0.2">
      <c r="A162" s="11"/>
      <c r="B162" s="11"/>
      <c r="C162" s="11"/>
      <c r="D162" s="11"/>
      <c r="E162" s="11"/>
      <c r="F162" s="11"/>
    </row>
  </sheetData>
  <sheetProtection algorithmName="SHA-512" hashValue="c+P8QHQm+GIyyiIKwgikEt6aq37PcICSVKBjVtY/c1EqYxIyyw/QSt2akTZRVa546h8zl9h9z8EZQIPL2NyFoQ==" saltValue="MuQzsDqqGaFrIdZdz+ACjQ==" spinCount="100000" sheet="1" objects="1" scenarios="1"/>
  <mergeCells count="163">
    <mergeCell ref="A84:K84"/>
    <mergeCell ref="A125:K125"/>
    <mergeCell ref="A130:K130"/>
    <mergeCell ref="A124:K124"/>
    <mergeCell ref="A114:K114"/>
    <mergeCell ref="A96:K96"/>
    <mergeCell ref="A52:K52"/>
    <mergeCell ref="A61:K61"/>
    <mergeCell ref="A49:K49"/>
    <mergeCell ref="A98:K98"/>
    <mergeCell ref="A66:K66"/>
    <mergeCell ref="A136:K136"/>
    <mergeCell ref="A135:K135"/>
    <mergeCell ref="A77:K77"/>
    <mergeCell ref="A78:K78"/>
    <mergeCell ref="A79:K79"/>
    <mergeCell ref="A80:K80"/>
    <mergeCell ref="A81:K81"/>
    <mergeCell ref="A112:K112"/>
    <mergeCell ref="A97:K97"/>
    <mergeCell ref="A133:K133"/>
    <mergeCell ref="A87:K87"/>
    <mergeCell ref="A126:K126"/>
    <mergeCell ref="A88:K88"/>
    <mergeCell ref="A89:K89"/>
    <mergeCell ref="A90:K90"/>
    <mergeCell ref="A91:K91"/>
    <mergeCell ref="A92:K92"/>
    <mergeCell ref="A82:K82"/>
    <mergeCell ref="A132:K132"/>
    <mergeCell ref="A134:K134"/>
    <mergeCell ref="A100:K100"/>
    <mergeCell ref="A111:K111"/>
    <mergeCell ref="A117:K117"/>
    <mergeCell ref="A123:K123"/>
    <mergeCell ref="A110:K110"/>
    <mergeCell ref="A103:K103"/>
    <mergeCell ref="A104:K104"/>
    <mergeCell ref="A113:K113"/>
    <mergeCell ref="A129:K129"/>
    <mergeCell ref="A118:K118"/>
    <mergeCell ref="A119:K119"/>
    <mergeCell ref="A127:K127"/>
    <mergeCell ref="A121:K121"/>
    <mergeCell ref="A116:K116"/>
    <mergeCell ref="A1:B1"/>
    <mergeCell ref="C1:K1"/>
    <mergeCell ref="A9:K9"/>
    <mergeCell ref="A44:K44"/>
    <mergeCell ref="A53:K53"/>
    <mergeCell ref="A56:K56"/>
    <mergeCell ref="A54:K54"/>
    <mergeCell ref="A32:K32"/>
    <mergeCell ref="A43:K43"/>
    <mergeCell ref="A55:K55"/>
    <mergeCell ref="A42:K42"/>
    <mergeCell ref="A45:K45"/>
    <mergeCell ref="B20:K20"/>
    <mergeCell ref="A40:K40"/>
    <mergeCell ref="A34:K34"/>
    <mergeCell ref="A36:K36"/>
    <mergeCell ref="A26:K26"/>
    <mergeCell ref="A28:K28"/>
    <mergeCell ref="A48:K48"/>
    <mergeCell ref="A50:K50"/>
    <mergeCell ref="A47:K47"/>
    <mergeCell ref="A46:K46"/>
    <mergeCell ref="A41:K41"/>
    <mergeCell ref="A161:B161"/>
    <mergeCell ref="A160:K160"/>
    <mergeCell ref="A159:K159"/>
    <mergeCell ref="A154:K154"/>
    <mergeCell ref="A153:K153"/>
    <mergeCell ref="A147:K147"/>
    <mergeCell ref="A152:K152"/>
    <mergeCell ref="A139:K139"/>
    <mergeCell ref="A151:K151"/>
    <mergeCell ref="A148:K148"/>
    <mergeCell ref="A145:K145"/>
    <mergeCell ref="A144:K144"/>
    <mergeCell ref="A142:K142"/>
    <mergeCell ref="A150:K150"/>
    <mergeCell ref="A141:K141"/>
    <mergeCell ref="A158:K158"/>
    <mergeCell ref="A157:K157"/>
    <mergeCell ref="A156:K156"/>
    <mergeCell ref="A155:K155"/>
    <mergeCell ref="J161:K161"/>
    <mergeCell ref="A149:K149"/>
    <mergeCell ref="A143:K143"/>
    <mergeCell ref="A146:K146"/>
    <mergeCell ref="B15:K15"/>
    <mergeCell ref="A14:K14"/>
    <mergeCell ref="A10:K10"/>
    <mergeCell ref="A11:K11"/>
    <mergeCell ref="A138:K138"/>
    <mergeCell ref="A140:K140"/>
    <mergeCell ref="A128:K128"/>
    <mergeCell ref="A131:K131"/>
    <mergeCell ref="A122:K122"/>
    <mergeCell ref="A120:K120"/>
    <mergeCell ref="A109:K109"/>
    <mergeCell ref="B16:K16"/>
    <mergeCell ref="A22:K22"/>
    <mergeCell ref="A99:K99"/>
    <mergeCell ref="A76:K76"/>
    <mergeCell ref="A65:K65"/>
    <mergeCell ref="A69:K69"/>
    <mergeCell ref="A102:K102"/>
    <mergeCell ref="A101:K101"/>
    <mergeCell ref="A75:K75"/>
    <mergeCell ref="A67:K67"/>
    <mergeCell ref="A68:K68"/>
    <mergeCell ref="A70:K70"/>
    <mergeCell ref="A137:K137"/>
    <mergeCell ref="A115:K115"/>
    <mergeCell ref="A105:K105"/>
    <mergeCell ref="A107:K107"/>
    <mergeCell ref="A108:K108"/>
    <mergeCell ref="A106:K106"/>
    <mergeCell ref="A2:K2"/>
    <mergeCell ref="A7:K7"/>
    <mergeCell ref="A27:K27"/>
    <mergeCell ref="A25:K25"/>
    <mergeCell ref="A12:K12"/>
    <mergeCell ref="A5:K5"/>
    <mergeCell ref="A4:K4"/>
    <mergeCell ref="A8:K8"/>
    <mergeCell ref="A24:K24"/>
    <mergeCell ref="A23:K23"/>
    <mergeCell ref="A6:K6"/>
    <mergeCell ref="A13:K13"/>
    <mergeCell ref="B21:K21"/>
    <mergeCell ref="A3:K3"/>
    <mergeCell ref="B17:K17"/>
    <mergeCell ref="B18:K18"/>
    <mergeCell ref="A29:K29"/>
    <mergeCell ref="A30:K30"/>
    <mergeCell ref="B19:K19"/>
    <mergeCell ref="A93:K93"/>
    <mergeCell ref="A94:K94"/>
    <mergeCell ref="A95:K95"/>
    <mergeCell ref="A85:K85"/>
    <mergeCell ref="A86:K86"/>
    <mergeCell ref="A31:K31"/>
    <mergeCell ref="A35:K35"/>
    <mergeCell ref="A33:K33"/>
    <mergeCell ref="A38:K38"/>
    <mergeCell ref="A60:K60"/>
    <mergeCell ref="A73:K73"/>
    <mergeCell ref="A72:K72"/>
    <mergeCell ref="A74:K74"/>
    <mergeCell ref="A71:K71"/>
    <mergeCell ref="A57:K57"/>
    <mergeCell ref="A62:K62"/>
    <mergeCell ref="A64:K64"/>
    <mergeCell ref="A63:K63"/>
    <mergeCell ref="A58:K58"/>
    <mergeCell ref="A37:K37"/>
    <mergeCell ref="A51:K51"/>
    <mergeCell ref="A39:K39"/>
    <mergeCell ref="A59:K59"/>
    <mergeCell ref="A83:K83"/>
  </mergeCells>
  <phoneticPr fontId="0" type="noConversion"/>
  <hyperlinks>
    <hyperlink ref="A9" r:id="rId1" display="https://sites.google.com/site/brunwater/water-knowledge "/>
    <hyperlink ref="A159" r:id="rId2" display="https://sites.google.com/site/brunwater/"/>
    <hyperlink ref="A9:K9" r:id="rId3" display="Bru'n Water Knowledge"/>
    <hyperlink ref="A159:K159" r:id="rId4" display="https://www.brunwater.com/ "/>
  </hyperlinks>
  <printOptions horizontalCentered="1"/>
  <pageMargins left="0.7" right="0.7" top="0.75" bottom="0.75" header="0.3" footer="0.3"/>
  <pageSetup scale="59" fitToHeight="11" orientation="portrait" horizontalDpi="200" verticalDpi="200" r:id="rId5"/>
  <headerFooter>
    <oddHeader>&amp;C&amp;"Arial,Bold"&amp;12Bru'n Water</oddHeader>
    <oddFooter>&amp;Lv.1.24&amp;CPage &amp;P&amp;R8/17/18</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tabColor rgb="FF00FFFF"/>
    <pageSetUpPr fitToPage="1"/>
  </sheetPr>
  <dimension ref="A1:AH112"/>
  <sheetViews>
    <sheetView showGridLines="0" zoomScale="70" zoomScaleNormal="70" workbookViewId="0">
      <selection activeCell="B3" sqref="B3"/>
    </sheetView>
  </sheetViews>
  <sheetFormatPr defaultColWidth="8.85546875" defaultRowHeight="12.75" x14ac:dyDescent="0.2"/>
  <cols>
    <col min="1" max="1" width="37.5703125" style="29" customWidth="1"/>
    <col min="2" max="3" width="22.5703125" style="29" customWidth="1"/>
    <col min="4" max="4" width="37.5703125" style="29" customWidth="1"/>
    <col min="5" max="5" width="18.85546875" style="29" customWidth="1"/>
    <col min="6" max="6" width="10" style="84" customWidth="1"/>
    <col min="7" max="26" width="10" style="84" hidden="1" customWidth="1"/>
    <col min="27" max="27" width="10" style="84" customWidth="1"/>
    <col min="28" max="16384" width="8.85546875" style="29"/>
  </cols>
  <sheetData>
    <row r="1" spans="1:34" ht="34.35" customHeight="1" x14ac:dyDescent="0.2">
      <c r="A1" s="273" t="s">
        <v>19</v>
      </c>
      <c r="B1" s="479" t="s">
        <v>498</v>
      </c>
      <c r="C1" s="480"/>
      <c r="D1" s="480"/>
      <c r="AB1" s="84"/>
      <c r="AC1" s="84"/>
      <c r="AD1" s="84"/>
      <c r="AE1" s="84"/>
      <c r="AF1" s="84"/>
      <c r="AG1" s="84"/>
      <c r="AH1" s="84"/>
    </row>
    <row r="2" spans="1:34" ht="34.35" customHeight="1" thickBot="1" x14ac:dyDescent="0.25">
      <c r="A2" s="253" t="s">
        <v>499</v>
      </c>
      <c r="B2" s="245"/>
      <c r="C2" s="244"/>
      <c r="D2" s="244"/>
      <c r="G2" s="231"/>
      <c r="H2" s="231"/>
      <c r="I2" s="231"/>
      <c r="J2" s="231"/>
      <c r="K2" s="231"/>
      <c r="AB2" s="84"/>
      <c r="AC2" s="84"/>
      <c r="AD2" s="84"/>
      <c r="AE2" s="84"/>
      <c r="AF2" s="84"/>
      <c r="AG2" s="84"/>
      <c r="AH2" s="84"/>
    </row>
    <row r="3" spans="1:34" ht="34.35" customHeight="1" thickBot="1" x14ac:dyDescent="0.25">
      <c r="A3" s="226" t="s">
        <v>331</v>
      </c>
      <c r="B3" s="366" t="s">
        <v>282</v>
      </c>
      <c r="C3" s="227" t="s">
        <v>486</v>
      </c>
      <c r="D3" s="239"/>
      <c r="E3" s="150"/>
      <c r="G3" s="231"/>
      <c r="H3" s="231">
        <v>1</v>
      </c>
      <c r="I3" s="231" t="s">
        <v>282</v>
      </c>
      <c r="J3" s="231"/>
      <c r="K3" s="231"/>
      <c r="AB3" s="84"/>
      <c r="AC3" s="84"/>
      <c r="AD3" s="84"/>
      <c r="AE3" s="84"/>
      <c r="AF3" s="84"/>
      <c r="AG3" s="84"/>
      <c r="AH3" s="84"/>
    </row>
    <row r="4" spans="1:34" ht="30" customHeight="1" x14ac:dyDescent="0.2">
      <c r="A4" s="475" t="s">
        <v>200</v>
      </c>
      <c r="B4" s="475"/>
      <c r="C4" s="476" t="s">
        <v>497</v>
      </c>
      <c r="D4" s="475"/>
      <c r="G4" s="231"/>
      <c r="H4" s="231">
        <v>2</v>
      </c>
      <c r="I4" s="231" t="s">
        <v>202</v>
      </c>
      <c r="J4" s="231"/>
      <c r="K4" s="231"/>
      <c r="AB4" s="84"/>
      <c r="AC4" s="84"/>
      <c r="AD4" s="84"/>
      <c r="AE4" s="84"/>
      <c r="AF4" s="84"/>
      <c r="AG4" s="84"/>
      <c r="AH4" s="84"/>
    </row>
    <row r="5" spans="1:34" ht="29.45" customHeight="1" x14ac:dyDescent="0.2">
      <c r="A5" s="69" t="s">
        <v>124</v>
      </c>
      <c r="B5" s="477" t="s">
        <v>176</v>
      </c>
      <c r="C5" s="478"/>
      <c r="D5" s="69" t="s">
        <v>125</v>
      </c>
      <c r="G5" s="231"/>
      <c r="H5" s="231"/>
      <c r="I5" s="231"/>
      <c r="J5" s="231"/>
      <c r="K5" s="231"/>
      <c r="AB5" s="84"/>
      <c r="AC5" s="84"/>
      <c r="AD5" s="84"/>
      <c r="AE5" s="84"/>
      <c r="AF5" s="84"/>
      <c r="AG5" s="84"/>
      <c r="AH5" s="84"/>
    </row>
    <row r="6" spans="1:34" ht="15.95" customHeight="1" x14ac:dyDescent="0.2">
      <c r="A6" s="60" t="s">
        <v>68</v>
      </c>
      <c r="B6" s="145">
        <v>0</v>
      </c>
      <c r="C6" s="146">
        <v>0</v>
      </c>
      <c r="D6" s="60" t="s">
        <v>103</v>
      </c>
      <c r="E6" s="49"/>
      <c r="G6" s="231"/>
      <c r="H6" s="231"/>
      <c r="I6" s="231"/>
      <c r="J6" s="231"/>
      <c r="K6" s="231"/>
      <c r="AB6" s="84"/>
      <c r="AC6" s="84"/>
      <c r="AD6" s="84"/>
      <c r="AE6" s="84"/>
      <c r="AF6" s="84"/>
      <c r="AG6" s="84"/>
      <c r="AH6" s="84"/>
    </row>
    <row r="7" spans="1:34" ht="15.95" customHeight="1" x14ac:dyDescent="0.2">
      <c r="A7" s="51" t="s">
        <v>69</v>
      </c>
      <c r="B7" s="145">
        <v>0</v>
      </c>
      <c r="C7" s="146">
        <v>0</v>
      </c>
      <c r="D7" s="60" t="s">
        <v>102</v>
      </c>
      <c r="E7" s="49"/>
      <c r="G7" s="231"/>
      <c r="H7" s="231">
        <f>INDEX(H3:H6, MATCH(B3, I3:I6,0))</f>
        <v>1</v>
      </c>
      <c r="I7" s="231"/>
      <c r="J7" s="231"/>
      <c r="K7" s="231"/>
      <c r="AB7" s="84"/>
      <c r="AC7" s="84"/>
      <c r="AD7" s="84"/>
      <c r="AE7" s="84"/>
      <c r="AF7" s="84"/>
      <c r="AG7" s="84"/>
      <c r="AH7" s="84"/>
    </row>
    <row r="8" spans="1:34" ht="15.95" customHeight="1" x14ac:dyDescent="0.2">
      <c r="A8" s="61" t="s">
        <v>70</v>
      </c>
      <c r="B8" s="145">
        <v>0</v>
      </c>
      <c r="C8" s="146">
        <v>0</v>
      </c>
      <c r="D8" s="61" t="s">
        <v>101</v>
      </c>
      <c r="E8" s="30" t="s">
        <v>127</v>
      </c>
      <c r="G8" s="231"/>
      <c r="H8" s="231"/>
      <c r="I8" s="231"/>
      <c r="J8" s="231"/>
      <c r="K8" s="231"/>
      <c r="AB8" s="84"/>
      <c r="AC8" s="84"/>
      <c r="AD8" s="84"/>
      <c r="AE8" s="84"/>
      <c r="AF8" s="84"/>
      <c r="AG8" s="84"/>
      <c r="AH8" s="84"/>
    </row>
    <row r="9" spans="1:34" ht="15.95" customHeight="1" thickBot="1" x14ac:dyDescent="0.25">
      <c r="A9" s="289"/>
      <c r="B9" s="289"/>
      <c r="C9" s="290">
        <v>0</v>
      </c>
      <c r="D9" s="291" t="s">
        <v>72</v>
      </c>
      <c r="E9" s="31"/>
      <c r="G9" s="231"/>
      <c r="H9" s="231"/>
      <c r="I9" s="231"/>
      <c r="J9" s="231"/>
      <c r="K9" s="231"/>
      <c r="AB9" s="84"/>
      <c r="AC9" s="84"/>
      <c r="AD9" s="84"/>
      <c r="AE9" s="84"/>
      <c r="AF9" s="84"/>
      <c r="AG9" s="84"/>
      <c r="AH9" s="84"/>
    </row>
    <row r="10" spans="1:34" ht="15.95" customHeight="1" thickTop="1" x14ac:dyDescent="0.2">
      <c r="A10" s="484" t="s">
        <v>509</v>
      </c>
      <c r="B10" s="485"/>
      <c r="C10" s="287">
        <v>0</v>
      </c>
      <c r="D10" s="288" t="s">
        <v>100</v>
      </c>
      <c r="E10" s="30" t="s">
        <v>128</v>
      </c>
      <c r="G10" s="231"/>
      <c r="H10" s="231"/>
      <c r="I10" s="231"/>
      <c r="J10" s="231"/>
      <c r="K10" s="231"/>
      <c r="AB10" s="84"/>
      <c r="AC10" s="84"/>
      <c r="AD10" s="84"/>
      <c r="AE10" s="84"/>
      <c r="AF10" s="84"/>
      <c r="AG10" s="84"/>
      <c r="AH10" s="84"/>
    </row>
    <row r="11" spans="1:34" ht="15.95" customHeight="1" x14ac:dyDescent="0.2">
      <c r="A11" s="141" t="s">
        <v>71</v>
      </c>
      <c r="B11" s="145">
        <v>0</v>
      </c>
      <c r="C11" s="146">
        <v>0</v>
      </c>
      <c r="D11" s="141" t="s">
        <v>104</v>
      </c>
      <c r="G11" s="231"/>
      <c r="H11" s="231"/>
      <c r="I11" s="231"/>
      <c r="J11" s="231"/>
      <c r="K11" s="231"/>
      <c r="AB11" s="84"/>
      <c r="AC11" s="84"/>
      <c r="AD11" s="84"/>
      <c r="AE11" s="84"/>
      <c r="AF11" s="84"/>
      <c r="AG11" s="84"/>
      <c r="AH11" s="84"/>
    </row>
    <row r="12" spans="1:34" ht="15.95" customHeight="1" x14ac:dyDescent="0.2">
      <c r="A12" s="141" t="s">
        <v>105</v>
      </c>
      <c r="B12" s="145">
        <v>0</v>
      </c>
      <c r="C12" s="146">
        <v>0</v>
      </c>
      <c r="D12" s="141" t="s">
        <v>106</v>
      </c>
      <c r="G12" s="231"/>
      <c r="H12" s="231"/>
      <c r="I12" s="231"/>
      <c r="J12" s="231"/>
      <c r="K12" s="231"/>
      <c r="AB12" s="84"/>
      <c r="AC12" s="84"/>
      <c r="AD12" s="84"/>
      <c r="AE12" s="84"/>
      <c r="AF12" s="84"/>
      <c r="AG12" s="84"/>
      <c r="AH12" s="84"/>
    </row>
    <row r="13" spans="1:34" ht="18" customHeight="1" x14ac:dyDescent="0.2">
      <c r="A13" s="491" t="str">
        <f>IF((ABS(I14-I15)&gt;0.5), "Water Report is unbalanced. Check your inputs","")</f>
        <v/>
      </c>
      <c r="B13" s="491"/>
      <c r="C13" s="491"/>
      <c r="D13" s="491"/>
      <c r="G13" s="231"/>
      <c r="H13" s="231"/>
      <c r="I13" s="231"/>
      <c r="J13" s="231"/>
      <c r="K13" s="231"/>
      <c r="AB13" s="84"/>
      <c r="AC13" s="84"/>
      <c r="AD13" s="84"/>
      <c r="AE13" s="84"/>
      <c r="AF13" s="84"/>
      <c r="AG13" s="84"/>
      <c r="AH13" s="84"/>
    </row>
    <row r="14" spans="1:34" ht="15.95" customHeight="1" x14ac:dyDescent="0.2">
      <c r="A14" s="488" t="s">
        <v>502</v>
      </c>
      <c r="B14" s="489"/>
      <c r="C14" s="489"/>
      <c r="D14" s="490"/>
      <c r="G14" s="231"/>
      <c r="H14" s="231"/>
      <c r="I14" s="314">
        <f>(N(B6)/20.05)+(N(B7)/12.15)+(N(B8)/23)+(N(B11)/39.1)+(N(B12)/28)</f>
        <v>0</v>
      </c>
      <c r="J14" s="315">
        <f>ABS(I14-I15)</f>
        <v>0</v>
      </c>
      <c r="K14" s="231"/>
      <c r="AB14" s="84"/>
      <c r="AC14" s="84"/>
      <c r="AD14" s="84"/>
      <c r="AE14" s="84"/>
      <c r="AF14" s="84"/>
      <c r="AG14" s="84"/>
      <c r="AH14" s="84"/>
    </row>
    <row r="15" spans="1:34" ht="15.95" customHeight="1" x14ac:dyDescent="0.2">
      <c r="A15" s="32" t="s">
        <v>0</v>
      </c>
      <c r="B15" s="265">
        <f>50*((N(C6)/61)+(2*(N(C7)/60)))</f>
        <v>0</v>
      </c>
      <c r="C15" s="492" t="s">
        <v>503</v>
      </c>
      <c r="D15" s="493"/>
      <c r="E15" s="493"/>
      <c r="G15" s="231"/>
      <c r="H15" s="231"/>
      <c r="I15" s="314">
        <f>(N(C6)/61)+(N(C7)/30)+(N(C8)/48)+(N(C9)/35.45)+(N(C10)/62)+(N(C11)/46)+(N(C12)/19)</f>
        <v>0</v>
      </c>
      <c r="J15" s="316"/>
      <c r="K15" s="231"/>
      <c r="AB15" s="84"/>
      <c r="AC15" s="84"/>
      <c r="AD15" s="84"/>
      <c r="AE15" s="84"/>
      <c r="AF15" s="84"/>
      <c r="AG15" s="84"/>
      <c r="AH15" s="84"/>
    </row>
    <row r="16" spans="1:34" ht="37.5" customHeight="1" x14ac:dyDescent="0.2">
      <c r="A16" s="494" t="s">
        <v>507</v>
      </c>
      <c r="B16" s="494"/>
      <c r="C16" s="494"/>
      <c r="D16" s="494"/>
      <c r="G16" s="231"/>
      <c r="H16" s="231"/>
      <c r="I16" s="314"/>
      <c r="J16" s="316"/>
      <c r="K16" s="231"/>
      <c r="AB16" s="84"/>
      <c r="AC16" s="84"/>
      <c r="AD16" s="84"/>
      <c r="AE16" s="84"/>
      <c r="AF16" s="84"/>
      <c r="AG16" s="84"/>
      <c r="AH16" s="84"/>
    </row>
    <row r="17" spans="1:34" ht="21.75" customHeight="1" x14ac:dyDescent="0.3">
      <c r="A17" s="486" t="s">
        <v>504</v>
      </c>
      <c r="B17" s="486"/>
      <c r="C17" s="486"/>
      <c r="D17" s="486"/>
      <c r="AB17" s="84"/>
      <c r="AC17" s="84"/>
      <c r="AD17" s="84"/>
      <c r="AE17" s="84"/>
      <c r="AF17" s="84"/>
      <c r="AG17" s="84"/>
      <c r="AH17" s="84"/>
    </row>
    <row r="18" spans="1:34" ht="36" customHeight="1" x14ac:dyDescent="0.2">
      <c r="A18" s="481" t="s">
        <v>505</v>
      </c>
      <c r="B18" s="482"/>
      <c r="C18" s="482"/>
      <c r="D18" s="483"/>
      <c r="AB18" s="84"/>
      <c r="AC18" s="84"/>
      <c r="AD18" s="84"/>
      <c r="AE18" s="84"/>
      <c r="AF18" s="84"/>
      <c r="AG18" s="84"/>
      <c r="AH18" s="84"/>
    </row>
    <row r="19" spans="1:34" ht="33.75" customHeight="1" x14ac:dyDescent="0.2">
      <c r="A19" s="32" t="s">
        <v>329</v>
      </c>
      <c r="B19" s="32" t="s">
        <v>109</v>
      </c>
      <c r="C19" s="32" t="s">
        <v>79</v>
      </c>
      <c r="D19" s="32" t="s">
        <v>252</v>
      </c>
      <c r="AB19" s="84"/>
      <c r="AC19" s="84"/>
      <c r="AD19" s="84"/>
      <c r="AE19" s="84"/>
      <c r="AF19" s="84"/>
      <c r="AG19" s="84"/>
      <c r="AH19" s="84"/>
    </row>
    <row r="20" spans="1:34" ht="15.95" customHeight="1" x14ac:dyDescent="0.2">
      <c r="A20" s="147">
        <v>0</v>
      </c>
      <c r="B20" s="147">
        <v>7</v>
      </c>
      <c r="C20" s="109">
        <f>((N(A20)/50)/(1+(2*10^(N(B20)-10.33))))*61</f>
        <v>0</v>
      </c>
      <c r="D20" s="2">
        <f>((N(A20)/50)/(1+(2*(10^(N(B20)-10.33))))*(10^(N(B20)-10.33)))*60</f>
        <v>0</v>
      </c>
      <c r="AB20" s="84"/>
      <c r="AC20" s="84"/>
      <c r="AD20" s="84"/>
      <c r="AE20" s="84"/>
      <c r="AF20" s="84"/>
      <c r="AG20" s="84"/>
      <c r="AH20" s="84"/>
    </row>
    <row r="21" spans="1:34" ht="15.75" customHeight="1" x14ac:dyDescent="0.2">
      <c r="A21" s="236"/>
      <c r="B21" s="236"/>
      <c r="C21" s="237"/>
      <c r="D21" s="237"/>
      <c r="AB21" s="84"/>
      <c r="AC21" s="84"/>
      <c r="AD21" s="84"/>
      <c r="AE21" s="84"/>
      <c r="AF21" s="84"/>
      <c r="AG21" s="84"/>
      <c r="AH21" s="84"/>
    </row>
    <row r="22" spans="1:34" ht="23.25" customHeight="1" x14ac:dyDescent="0.3">
      <c r="A22" s="486" t="s">
        <v>193</v>
      </c>
      <c r="B22" s="486"/>
      <c r="C22" s="486"/>
      <c r="D22" s="486"/>
      <c r="AB22" s="84"/>
      <c r="AC22" s="84"/>
      <c r="AD22" s="84"/>
      <c r="AE22" s="84"/>
      <c r="AF22" s="84"/>
      <c r="AG22" s="84"/>
      <c r="AH22" s="84"/>
    </row>
    <row r="23" spans="1:34" ht="15.6" customHeight="1" x14ac:dyDescent="0.2">
      <c r="A23" s="69" t="s">
        <v>192</v>
      </c>
      <c r="B23" s="246" t="s">
        <v>189</v>
      </c>
      <c r="C23" s="68" t="s">
        <v>190</v>
      </c>
      <c r="D23" s="69" t="s">
        <v>191</v>
      </c>
      <c r="AB23" s="84"/>
      <c r="AC23" s="84"/>
      <c r="AD23" s="84"/>
      <c r="AE23" s="84"/>
      <c r="AF23" s="84"/>
      <c r="AG23" s="84"/>
      <c r="AH23" s="84"/>
    </row>
    <row r="24" spans="1:34" ht="15.75" customHeight="1" x14ac:dyDescent="0.2">
      <c r="A24" s="51" t="s">
        <v>194</v>
      </c>
      <c r="B24" s="145">
        <v>0</v>
      </c>
      <c r="C24" s="52">
        <f>0.401*B24</f>
        <v>0</v>
      </c>
      <c r="D24" s="51" t="s">
        <v>185</v>
      </c>
      <c r="AB24" s="84"/>
      <c r="AC24" s="84"/>
      <c r="AD24" s="84"/>
      <c r="AE24" s="84"/>
      <c r="AF24" s="84"/>
      <c r="AG24" s="84"/>
      <c r="AH24" s="84"/>
    </row>
    <row r="25" spans="1:34" ht="15.75" customHeight="1" x14ac:dyDescent="0.2">
      <c r="A25" s="51" t="s">
        <v>195</v>
      </c>
      <c r="B25" s="145">
        <v>0</v>
      </c>
      <c r="C25" s="52">
        <f>0.243*B25</f>
        <v>0</v>
      </c>
      <c r="D25" s="51" t="s">
        <v>73</v>
      </c>
      <c r="AB25" s="84"/>
      <c r="AC25" s="84"/>
      <c r="AD25" s="84"/>
      <c r="AE25" s="84"/>
      <c r="AF25" s="84"/>
      <c r="AG25" s="84"/>
      <c r="AH25" s="84"/>
    </row>
    <row r="26" spans="1:34" ht="15.75" customHeight="1" x14ac:dyDescent="0.2">
      <c r="A26" s="51" t="s">
        <v>196</v>
      </c>
      <c r="B26" s="145">
        <v>0</v>
      </c>
      <c r="C26" s="52">
        <f>1.22*B26</f>
        <v>0</v>
      </c>
      <c r="D26" s="51" t="s">
        <v>78</v>
      </c>
      <c r="AB26" s="84"/>
      <c r="AC26" s="84"/>
      <c r="AD26" s="84"/>
      <c r="AE26" s="84"/>
      <c r="AF26" s="84"/>
      <c r="AG26" s="84"/>
      <c r="AH26" s="84"/>
    </row>
    <row r="27" spans="1:34" ht="15.75" customHeight="1" x14ac:dyDescent="0.2">
      <c r="A27" s="51" t="s">
        <v>197</v>
      </c>
      <c r="B27" s="145">
        <v>0</v>
      </c>
      <c r="C27" s="52">
        <f>0.6*B27</f>
        <v>0</v>
      </c>
      <c r="D27" s="51" t="s">
        <v>186</v>
      </c>
      <c r="AB27" s="84"/>
      <c r="AC27" s="84"/>
      <c r="AD27" s="84"/>
      <c r="AE27" s="84"/>
      <c r="AF27" s="84"/>
      <c r="AG27" s="84"/>
      <c r="AH27" s="84"/>
    </row>
    <row r="28" spans="1:34" ht="15.75" customHeight="1" x14ac:dyDescent="0.2">
      <c r="A28" s="51" t="s">
        <v>198</v>
      </c>
      <c r="B28" s="145">
        <v>0</v>
      </c>
      <c r="C28" s="52">
        <f>3*B28</f>
        <v>0</v>
      </c>
      <c r="D28" s="51" t="s">
        <v>187</v>
      </c>
      <c r="AB28" s="84"/>
      <c r="AC28" s="84"/>
      <c r="AD28" s="84"/>
      <c r="AE28" s="84"/>
      <c r="AF28" s="84"/>
      <c r="AG28" s="84"/>
      <c r="AH28" s="84"/>
    </row>
    <row r="29" spans="1:34" ht="15.75" customHeight="1" x14ac:dyDescent="0.2">
      <c r="A29" s="51" t="s">
        <v>244</v>
      </c>
      <c r="B29" s="145">
        <v>0</v>
      </c>
      <c r="C29" s="52">
        <f>4.43*B29</f>
        <v>0</v>
      </c>
      <c r="D29" s="51" t="s">
        <v>188</v>
      </c>
      <c r="AB29" s="84"/>
      <c r="AC29" s="84"/>
      <c r="AD29" s="84"/>
      <c r="AE29" s="84"/>
      <c r="AF29" s="84"/>
      <c r="AG29" s="84"/>
      <c r="AH29" s="84"/>
    </row>
    <row r="30" spans="1:34" ht="15.75" customHeight="1" x14ac:dyDescent="0.2">
      <c r="A30" s="51" t="s">
        <v>362</v>
      </c>
      <c r="B30" s="145">
        <v>0</v>
      </c>
      <c r="C30" s="52">
        <f>6.86*B30</f>
        <v>0</v>
      </c>
      <c r="D30" s="51" t="s">
        <v>185</v>
      </c>
      <c r="AB30" s="84"/>
      <c r="AC30" s="84"/>
      <c r="AD30" s="84"/>
      <c r="AE30" s="84"/>
      <c r="AF30" s="84"/>
      <c r="AG30" s="84"/>
      <c r="AH30" s="84"/>
    </row>
    <row r="31" spans="1:34" ht="15.75" customHeight="1" x14ac:dyDescent="0.2">
      <c r="A31" s="51" t="s">
        <v>363</v>
      </c>
      <c r="B31" s="145">
        <v>0</v>
      </c>
      <c r="C31" s="52">
        <f>5.71*B31</f>
        <v>0</v>
      </c>
      <c r="D31" s="51" t="s">
        <v>185</v>
      </c>
      <c r="AB31" s="84"/>
      <c r="AC31" s="84"/>
      <c r="AD31" s="84"/>
      <c r="AE31" s="84"/>
      <c r="AF31" s="84"/>
      <c r="AG31" s="84"/>
      <c r="AH31" s="84"/>
    </row>
    <row r="32" spans="1:34" ht="15.75" customHeight="1" x14ac:dyDescent="0.2">
      <c r="A32" s="51" t="s">
        <v>2</v>
      </c>
      <c r="B32" s="145">
        <v>0</v>
      </c>
      <c r="C32" s="52">
        <f>7.14*B32</f>
        <v>0</v>
      </c>
      <c r="D32" s="51" t="s">
        <v>185</v>
      </c>
      <c r="AB32" s="84"/>
      <c r="AC32" s="84"/>
      <c r="AD32" s="84"/>
      <c r="AE32" s="84"/>
      <c r="AF32" s="84"/>
      <c r="AG32" s="84"/>
      <c r="AH32" s="84"/>
    </row>
    <row r="33" spans="1:34" ht="15.75" customHeight="1" x14ac:dyDescent="0.2">
      <c r="A33" s="51" t="s">
        <v>3</v>
      </c>
      <c r="B33" s="145">
        <v>0</v>
      </c>
      <c r="C33" s="52">
        <f>21.8*B33</f>
        <v>0</v>
      </c>
      <c r="D33" s="51" t="s">
        <v>78</v>
      </c>
      <c r="AB33" s="84"/>
      <c r="AC33" s="84"/>
      <c r="AD33" s="84"/>
      <c r="AE33" s="84"/>
      <c r="AF33" s="84"/>
      <c r="AG33" s="84"/>
      <c r="AH33" s="84"/>
    </row>
    <row r="34" spans="1:34" ht="15.75" customHeight="1" x14ac:dyDescent="0.2">
      <c r="A34" s="51" t="s">
        <v>272</v>
      </c>
      <c r="B34" s="145">
        <v>0</v>
      </c>
      <c r="C34" s="52">
        <f>20*B34</f>
        <v>0</v>
      </c>
      <c r="D34" s="51" t="s">
        <v>185</v>
      </c>
      <c r="AB34" s="84"/>
      <c r="AC34" s="84"/>
      <c r="AD34" s="84"/>
      <c r="AE34" s="84"/>
      <c r="AF34" s="84"/>
      <c r="AG34" s="84"/>
      <c r="AH34" s="84"/>
    </row>
    <row r="35" spans="1:34" ht="15.75" customHeight="1" x14ac:dyDescent="0.2">
      <c r="A35" s="51" t="s">
        <v>273</v>
      </c>
      <c r="B35" s="145">
        <v>0</v>
      </c>
      <c r="C35" s="52">
        <f>61*B35</f>
        <v>0</v>
      </c>
      <c r="D35" s="51" t="s">
        <v>78</v>
      </c>
      <c r="AB35" s="84"/>
      <c r="AC35" s="84"/>
      <c r="AD35" s="84"/>
      <c r="AE35" s="84"/>
      <c r="AF35" s="84"/>
      <c r="AG35" s="84"/>
      <c r="AH35" s="84"/>
    </row>
    <row r="36" spans="1:34" ht="15.75" customHeight="1" x14ac:dyDescent="0.2">
      <c r="A36" s="51" t="s">
        <v>267</v>
      </c>
      <c r="B36" s="148">
        <v>0</v>
      </c>
      <c r="C36" s="89">
        <f>B36/1000</f>
        <v>0</v>
      </c>
      <c r="D36" s="51" t="s">
        <v>251</v>
      </c>
      <c r="AB36" s="84"/>
      <c r="AC36" s="84"/>
      <c r="AD36" s="84"/>
      <c r="AE36" s="84"/>
      <c r="AF36" s="84"/>
      <c r="AG36" s="84"/>
      <c r="AH36" s="84"/>
    </row>
    <row r="37" spans="1:34" ht="60" customHeight="1" x14ac:dyDescent="0.25">
      <c r="A37" s="487" t="s">
        <v>572</v>
      </c>
      <c r="B37" s="487"/>
      <c r="C37" s="487"/>
      <c r="D37" s="487"/>
      <c r="AB37" s="84"/>
      <c r="AC37" s="84"/>
      <c r="AD37" s="84"/>
      <c r="AE37" s="84"/>
      <c r="AF37" s="84"/>
      <c r="AG37" s="84"/>
      <c r="AH37" s="84"/>
    </row>
    <row r="38" spans="1:34" ht="15.95" customHeight="1" x14ac:dyDescent="0.2">
      <c r="AB38" s="84"/>
      <c r="AC38" s="84"/>
      <c r="AD38" s="84"/>
      <c r="AE38" s="84"/>
      <c r="AF38" s="84"/>
      <c r="AG38" s="84"/>
      <c r="AH38" s="84"/>
    </row>
    <row r="39" spans="1:34" ht="15.95" customHeight="1" x14ac:dyDescent="0.2">
      <c r="A39" s="417" t="s">
        <v>559</v>
      </c>
      <c r="AB39" s="84"/>
      <c r="AC39" s="84"/>
      <c r="AD39" s="84"/>
      <c r="AE39" s="84"/>
      <c r="AF39" s="84"/>
      <c r="AG39" s="84"/>
      <c r="AH39" s="84"/>
    </row>
    <row r="40" spans="1:34" ht="23.25" customHeight="1" x14ac:dyDescent="0.2">
      <c r="A40" s="125" t="s">
        <v>325</v>
      </c>
      <c r="E40" s="106"/>
      <c r="F40" s="243"/>
      <c r="G40" s="243"/>
      <c r="H40" s="243"/>
      <c r="I40" s="243"/>
      <c r="AB40" s="84"/>
      <c r="AC40" s="84"/>
      <c r="AD40" s="84"/>
      <c r="AE40" s="84"/>
      <c r="AF40" s="84"/>
      <c r="AG40" s="84"/>
      <c r="AH40" s="84"/>
    </row>
    <row r="41" spans="1:34" x14ac:dyDescent="0.2">
      <c r="A41" s="84"/>
      <c r="B41" s="84"/>
      <c r="C41" s="84"/>
      <c r="D41" s="84"/>
      <c r="AB41" s="84"/>
      <c r="AC41" s="84"/>
      <c r="AD41" s="84"/>
      <c r="AE41" s="84"/>
      <c r="AF41" s="84"/>
      <c r="AG41" s="84"/>
      <c r="AH41" s="84"/>
    </row>
    <row r="42" spans="1:34" x14ac:dyDescent="0.2">
      <c r="A42" s="84"/>
      <c r="B42" s="84"/>
      <c r="C42" s="84"/>
      <c r="D42" s="84"/>
      <c r="AB42" s="84"/>
      <c r="AC42" s="84"/>
      <c r="AD42" s="84"/>
      <c r="AE42" s="84"/>
      <c r="AF42" s="84"/>
      <c r="AG42" s="84"/>
      <c r="AH42" s="84"/>
    </row>
    <row r="43" spans="1:34" x14ac:dyDescent="0.2">
      <c r="A43" s="84"/>
      <c r="B43" s="84"/>
      <c r="C43" s="84"/>
      <c r="D43" s="84"/>
      <c r="AB43" s="84"/>
      <c r="AC43" s="84"/>
      <c r="AD43" s="84"/>
      <c r="AE43" s="84"/>
      <c r="AF43" s="84"/>
      <c r="AG43" s="84"/>
      <c r="AH43" s="84"/>
    </row>
    <row r="44" spans="1:34" x14ac:dyDescent="0.2">
      <c r="A44" s="84"/>
      <c r="B44" s="84"/>
      <c r="C44" s="84"/>
      <c r="D44" s="84"/>
      <c r="E44" s="84"/>
      <c r="AB44" s="84"/>
      <c r="AC44" s="84"/>
      <c r="AD44" s="84"/>
      <c r="AE44" s="84"/>
      <c r="AF44" s="84"/>
      <c r="AG44" s="84"/>
      <c r="AH44" s="84"/>
    </row>
    <row r="45" spans="1:34" x14ac:dyDescent="0.2">
      <c r="A45" s="84"/>
      <c r="B45" s="84"/>
      <c r="C45" s="84"/>
      <c r="D45" s="84"/>
      <c r="E45" s="84"/>
      <c r="AB45" s="84"/>
      <c r="AC45" s="84"/>
      <c r="AD45" s="84"/>
      <c r="AE45" s="84"/>
      <c r="AF45" s="84"/>
      <c r="AG45" s="84"/>
      <c r="AH45" s="84"/>
    </row>
    <row r="46" spans="1:34" x14ac:dyDescent="0.2">
      <c r="A46" s="84"/>
      <c r="B46" s="84"/>
      <c r="C46" s="84"/>
      <c r="D46" s="84"/>
      <c r="E46" s="84"/>
      <c r="AB46" s="84"/>
      <c r="AC46" s="84"/>
      <c r="AD46" s="84"/>
      <c r="AE46" s="84"/>
      <c r="AF46" s="84"/>
      <c r="AG46" s="84"/>
      <c r="AH46" s="84"/>
    </row>
    <row r="47" spans="1:34" x14ac:dyDescent="0.2">
      <c r="A47" s="84"/>
      <c r="B47" s="84"/>
      <c r="C47" s="84"/>
      <c r="D47" s="84"/>
      <c r="E47" s="84"/>
      <c r="AB47" s="84"/>
      <c r="AC47" s="84"/>
      <c r="AD47" s="84"/>
      <c r="AE47" s="84"/>
      <c r="AF47" s="84"/>
      <c r="AG47" s="84"/>
      <c r="AH47" s="84"/>
    </row>
    <row r="48" spans="1:34" x14ac:dyDescent="0.2">
      <c r="A48" s="84"/>
      <c r="B48" s="84"/>
      <c r="C48" s="84"/>
      <c r="D48" s="84"/>
      <c r="E48" s="84"/>
      <c r="AB48" s="84"/>
      <c r="AC48" s="84"/>
      <c r="AD48" s="84"/>
      <c r="AE48" s="84"/>
      <c r="AF48" s="84"/>
      <c r="AG48" s="84"/>
      <c r="AH48" s="84"/>
    </row>
    <row r="49" spans="1:34" x14ac:dyDescent="0.2">
      <c r="A49" s="84"/>
      <c r="B49" s="84"/>
      <c r="C49" s="84"/>
      <c r="D49" s="84"/>
      <c r="E49" s="84"/>
      <c r="AB49" s="84"/>
      <c r="AC49" s="84"/>
      <c r="AD49" s="84"/>
      <c r="AE49" s="84"/>
      <c r="AF49" s="84"/>
      <c r="AG49" s="84"/>
      <c r="AH49" s="84"/>
    </row>
    <row r="50" spans="1:34" x14ac:dyDescent="0.2">
      <c r="A50" s="84"/>
      <c r="B50" s="84"/>
      <c r="C50" s="84"/>
      <c r="D50" s="84"/>
      <c r="E50" s="84"/>
      <c r="AB50" s="84"/>
      <c r="AC50" s="84"/>
      <c r="AD50" s="84"/>
      <c r="AE50" s="84"/>
      <c r="AF50" s="84"/>
      <c r="AG50" s="84"/>
      <c r="AH50" s="84"/>
    </row>
    <row r="51" spans="1:34" x14ac:dyDescent="0.2">
      <c r="A51" s="84"/>
      <c r="B51" s="84"/>
      <c r="C51" s="84"/>
      <c r="D51" s="84"/>
      <c r="E51" s="84"/>
      <c r="AB51" s="84"/>
      <c r="AC51" s="84"/>
      <c r="AD51" s="84"/>
      <c r="AE51" s="84"/>
      <c r="AF51" s="84"/>
      <c r="AG51" s="84"/>
      <c r="AH51" s="84"/>
    </row>
    <row r="52" spans="1:34" x14ac:dyDescent="0.2">
      <c r="A52" s="84"/>
      <c r="B52" s="84"/>
      <c r="C52" s="84"/>
      <c r="D52" s="84"/>
      <c r="E52" s="84"/>
      <c r="AB52" s="84"/>
      <c r="AC52" s="84"/>
      <c r="AD52" s="84"/>
      <c r="AE52" s="84"/>
      <c r="AF52" s="84"/>
      <c r="AG52" s="84"/>
      <c r="AH52" s="84"/>
    </row>
    <row r="53" spans="1:34" x14ac:dyDescent="0.2">
      <c r="A53" s="84"/>
      <c r="B53" s="84"/>
      <c r="C53" s="84"/>
      <c r="D53" s="84"/>
      <c r="E53" s="84"/>
      <c r="AB53" s="84"/>
      <c r="AC53" s="84"/>
      <c r="AD53" s="84"/>
      <c r="AE53" s="84"/>
      <c r="AF53" s="84"/>
      <c r="AG53" s="84"/>
      <c r="AH53" s="84"/>
    </row>
    <row r="54" spans="1:34" x14ac:dyDescent="0.2">
      <c r="A54" s="84"/>
      <c r="B54" s="84"/>
      <c r="C54" s="84"/>
      <c r="D54" s="84"/>
      <c r="E54" s="84"/>
      <c r="AB54" s="84"/>
      <c r="AC54" s="84"/>
      <c r="AD54" s="84"/>
      <c r="AE54" s="84"/>
      <c r="AF54" s="84"/>
      <c r="AG54" s="84"/>
      <c r="AH54" s="84"/>
    </row>
    <row r="55" spans="1:34" x14ac:dyDescent="0.2">
      <c r="A55" s="84"/>
      <c r="B55" s="84"/>
      <c r="C55" s="84"/>
      <c r="D55" s="84"/>
      <c r="E55" s="84"/>
      <c r="AB55" s="84"/>
      <c r="AC55" s="84"/>
      <c r="AD55" s="84"/>
      <c r="AE55" s="84"/>
      <c r="AF55" s="84"/>
      <c r="AG55" s="84"/>
      <c r="AH55" s="84"/>
    </row>
    <row r="56" spans="1:34" x14ac:dyDescent="0.2">
      <c r="A56" s="84"/>
      <c r="B56" s="84"/>
      <c r="C56" s="84"/>
      <c r="D56" s="84"/>
      <c r="E56" s="84"/>
      <c r="AB56" s="84"/>
      <c r="AC56" s="84"/>
      <c r="AD56" s="84"/>
      <c r="AE56" s="84"/>
      <c r="AF56" s="84"/>
      <c r="AG56" s="84"/>
      <c r="AH56" s="84"/>
    </row>
    <row r="57" spans="1:34" x14ac:dyDescent="0.2">
      <c r="A57" s="84"/>
      <c r="B57" s="84"/>
      <c r="C57" s="84"/>
      <c r="D57" s="84"/>
      <c r="E57" s="84"/>
      <c r="AB57" s="84"/>
      <c r="AC57" s="84"/>
      <c r="AD57" s="84"/>
      <c r="AE57" s="84"/>
      <c r="AF57" s="84"/>
      <c r="AG57" s="84"/>
      <c r="AH57" s="84"/>
    </row>
    <row r="58" spans="1:34" x14ac:dyDescent="0.2">
      <c r="A58" s="84"/>
      <c r="B58" s="84"/>
      <c r="C58" s="84"/>
      <c r="D58" s="84"/>
      <c r="E58" s="84"/>
      <c r="AB58" s="84"/>
      <c r="AC58" s="84"/>
      <c r="AD58" s="84"/>
      <c r="AE58" s="84"/>
      <c r="AF58" s="84"/>
      <c r="AG58" s="84"/>
      <c r="AH58" s="84"/>
    </row>
    <row r="59" spans="1:34" x14ac:dyDescent="0.2">
      <c r="A59" s="84"/>
      <c r="B59" s="84"/>
      <c r="C59" s="84"/>
      <c r="D59" s="84"/>
      <c r="E59" s="84"/>
      <c r="AB59" s="84"/>
      <c r="AC59" s="84"/>
      <c r="AD59" s="84"/>
      <c r="AE59" s="84"/>
      <c r="AF59" s="84"/>
      <c r="AG59" s="84"/>
      <c r="AH59" s="84"/>
    </row>
    <row r="60" spans="1:34" x14ac:dyDescent="0.2">
      <c r="A60" s="84"/>
      <c r="B60" s="84"/>
      <c r="C60" s="84"/>
      <c r="D60" s="84"/>
      <c r="E60" s="84"/>
      <c r="AB60" s="84"/>
      <c r="AC60" s="84"/>
      <c r="AD60" s="84"/>
      <c r="AE60" s="84"/>
      <c r="AF60" s="84"/>
      <c r="AG60" s="84"/>
      <c r="AH60" s="84"/>
    </row>
    <row r="61" spans="1:34" x14ac:dyDescent="0.2">
      <c r="A61" s="84"/>
      <c r="B61" s="84"/>
      <c r="C61" s="84"/>
      <c r="D61" s="84"/>
      <c r="E61" s="84"/>
    </row>
    <row r="62" spans="1:34" x14ac:dyDescent="0.2">
      <c r="A62" s="84"/>
      <c r="B62" s="84"/>
      <c r="C62" s="84"/>
      <c r="D62" s="84"/>
      <c r="E62" s="84"/>
    </row>
    <row r="63" spans="1:34" x14ac:dyDescent="0.2">
      <c r="A63" s="84"/>
      <c r="B63" s="84"/>
      <c r="C63" s="84"/>
      <c r="D63" s="84"/>
      <c r="E63" s="84"/>
    </row>
    <row r="64" spans="1:34" x14ac:dyDescent="0.2">
      <c r="A64" s="84"/>
      <c r="B64" s="84"/>
      <c r="C64" s="84"/>
      <c r="D64" s="84"/>
      <c r="E64" s="84"/>
    </row>
    <row r="65" spans="1:5" x14ac:dyDescent="0.2">
      <c r="A65" s="84"/>
      <c r="B65" s="84"/>
      <c r="C65" s="84"/>
      <c r="D65" s="84"/>
      <c r="E65" s="84"/>
    </row>
    <row r="66" spans="1:5" x14ac:dyDescent="0.2">
      <c r="A66" s="84"/>
      <c r="B66" s="84"/>
      <c r="C66" s="84"/>
      <c r="D66" s="84"/>
      <c r="E66" s="84"/>
    </row>
    <row r="67" spans="1:5" x14ac:dyDescent="0.2">
      <c r="A67" s="84"/>
      <c r="B67" s="84"/>
      <c r="C67" s="84"/>
      <c r="D67" s="84"/>
      <c r="E67" s="84"/>
    </row>
    <row r="68" spans="1:5" x14ac:dyDescent="0.2">
      <c r="A68" s="84"/>
      <c r="B68" s="84"/>
      <c r="C68" s="84"/>
      <c r="D68" s="84"/>
      <c r="E68" s="84"/>
    </row>
    <row r="69" spans="1:5" x14ac:dyDescent="0.2">
      <c r="A69" s="84"/>
      <c r="B69" s="84"/>
      <c r="C69" s="84"/>
      <c r="D69" s="84"/>
      <c r="E69" s="84"/>
    </row>
    <row r="70" spans="1:5" x14ac:dyDescent="0.2">
      <c r="A70" s="84"/>
      <c r="B70" s="84"/>
      <c r="C70" s="84"/>
      <c r="D70" s="84"/>
      <c r="E70" s="84"/>
    </row>
    <row r="71" spans="1:5" x14ac:dyDescent="0.2">
      <c r="A71" s="84"/>
      <c r="B71" s="84"/>
      <c r="C71" s="84"/>
      <c r="D71" s="84"/>
      <c r="E71" s="84"/>
    </row>
    <row r="72" spans="1:5" x14ac:dyDescent="0.2">
      <c r="A72" s="84"/>
      <c r="B72" s="84"/>
      <c r="C72" s="84"/>
      <c r="D72" s="84"/>
      <c r="E72" s="84"/>
    </row>
    <row r="73" spans="1:5" x14ac:dyDescent="0.2">
      <c r="A73" s="84"/>
      <c r="B73" s="84"/>
      <c r="C73" s="84"/>
      <c r="D73" s="84"/>
      <c r="E73" s="84"/>
    </row>
    <row r="74" spans="1:5" x14ac:dyDescent="0.2">
      <c r="A74" s="84"/>
      <c r="B74" s="84"/>
      <c r="C74" s="84"/>
      <c r="D74" s="84"/>
      <c r="E74" s="84"/>
    </row>
    <row r="75" spans="1:5" x14ac:dyDescent="0.2">
      <c r="A75" s="84"/>
      <c r="B75" s="84"/>
      <c r="C75" s="84"/>
      <c r="D75" s="84"/>
      <c r="E75" s="84"/>
    </row>
    <row r="76" spans="1:5" x14ac:dyDescent="0.2">
      <c r="A76" s="84"/>
      <c r="B76" s="84"/>
      <c r="C76" s="84"/>
      <c r="D76" s="84"/>
      <c r="E76" s="84"/>
    </row>
    <row r="77" spans="1:5" x14ac:dyDescent="0.2">
      <c r="A77" s="84"/>
      <c r="B77" s="84"/>
      <c r="C77" s="84"/>
      <c r="D77" s="84"/>
      <c r="E77" s="84"/>
    </row>
    <row r="78" spans="1:5" x14ac:dyDescent="0.2">
      <c r="A78" s="84"/>
      <c r="B78" s="84"/>
      <c r="C78" s="84"/>
      <c r="D78" s="84"/>
      <c r="E78" s="84"/>
    </row>
    <row r="79" spans="1:5" x14ac:dyDescent="0.2">
      <c r="A79" s="84"/>
      <c r="B79" s="84"/>
      <c r="C79" s="84"/>
      <c r="D79" s="84"/>
      <c r="E79" s="84"/>
    </row>
    <row r="80" spans="1:5" x14ac:dyDescent="0.2">
      <c r="A80" s="84"/>
      <c r="B80" s="84"/>
      <c r="C80" s="84"/>
      <c r="D80" s="84"/>
      <c r="E80" s="84"/>
    </row>
    <row r="81" spans="1:5" x14ac:dyDescent="0.2">
      <c r="A81" s="84"/>
      <c r="B81" s="84"/>
      <c r="C81" s="84"/>
      <c r="D81" s="84"/>
      <c r="E81" s="84"/>
    </row>
    <row r="82" spans="1:5" x14ac:dyDescent="0.2">
      <c r="A82" s="84"/>
      <c r="B82" s="84"/>
      <c r="C82" s="84"/>
      <c r="D82" s="84"/>
      <c r="E82" s="84"/>
    </row>
    <row r="83" spans="1:5" x14ac:dyDescent="0.2">
      <c r="A83" s="84"/>
      <c r="B83" s="84"/>
      <c r="C83" s="84"/>
      <c r="D83" s="84"/>
      <c r="E83" s="84"/>
    </row>
    <row r="84" spans="1:5" x14ac:dyDescent="0.2">
      <c r="A84" s="84"/>
      <c r="B84" s="84"/>
      <c r="C84" s="84"/>
      <c r="D84" s="84"/>
      <c r="E84" s="84"/>
    </row>
    <row r="85" spans="1:5" x14ac:dyDescent="0.2">
      <c r="A85" s="84"/>
      <c r="B85" s="84"/>
      <c r="C85" s="84"/>
      <c r="D85" s="84"/>
      <c r="E85" s="84"/>
    </row>
    <row r="86" spans="1:5" x14ac:dyDescent="0.2">
      <c r="A86" s="84"/>
      <c r="B86" s="84"/>
      <c r="C86" s="84"/>
      <c r="D86" s="84"/>
      <c r="E86" s="84"/>
    </row>
    <row r="87" spans="1:5" x14ac:dyDescent="0.2">
      <c r="A87" s="84"/>
      <c r="B87" s="84"/>
      <c r="C87" s="84"/>
      <c r="D87" s="84"/>
      <c r="E87" s="84"/>
    </row>
    <row r="88" spans="1:5" x14ac:dyDescent="0.2">
      <c r="A88" s="84"/>
      <c r="B88" s="84"/>
      <c r="C88" s="84"/>
      <c r="D88" s="84"/>
      <c r="E88" s="84"/>
    </row>
    <row r="89" spans="1:5" x14ac:dyDescent="0.2">
      <c r="A89" s="84"/>
      <c r="B89" s="84"/>
      <c r="C89" s="84"/>
      <c r="D89" s="84"/>
      <c r="E89" s="84"/>
    </row>
    <row r="90" spans="1:5" x14ac:dyDescent="0.2">
      <c r="A90" s="84"/>
      <c r="B90" s="84"/>
      <c r="C90" s="84"/>
      <c r="D90" s="84"/>
      <c r="E90" s="84"/>
    </row>
    <row r="91" spans="1:5" x14ac:dyDescent="0.2">
      <c r="A91" s="84"/>
      <c r="B91" s="84"/>
      <c r="C91" s="84"/>
      <c r="D91" s="84"/>
      <c r="E91" s="84"/>
    </row>
    <row r="92" spans="1:5" x14ac:dyDescent="0.2">
      <c r="A92" s="84"/>
      <c r="B92" s="84"/>
      <c r="C92" s="84"/>
      <c r="D92" s="84"/>
      <c r="E92" s="84"/>
    </row>
    <row r="93" spans="1:5" x14ac:dyDescent="0.2">
      <c r="A93" s="84"/>
      <c r="B93" s="84"/>
      <c r="C93" s="84"/>
      <c r="D93" s="84"/>
      <c r="E93" s="84"/>
    </row>
    <row r="94" spans="1:5" x14ac:dyDescent="0.2">
      <c r="A94" s="84"/>
      <c r="B94" s="84"/>
      <c r="C94" s="84"/>
      <c r="D94" s="84"/>
      <c r="E94" s="84"/>
    </row>
    <row r="95" spans="1:5" x14ac:dyDescent="0.2">
      <c r="A95" s="84"/>
      <c r="B95" s="84"/>
      <c r="C95" s="84"/>
      <c r="D95" s="84"/>
      <c r="E95" s="84"/>
    </row>
    <row r="96" spans="1:5" x14ac:dyDescent="0.2">
      <c r="A96" s="84"/>
      <c r="B96" s="84"/>
      <c r="C96" s="84"/>
      <c r="D96" s="84"/>
      <c r="E96" s="84"/>
    </row>
    <row r="97" spans="1:5" x14ac:dyDescent="0.2">
      <c r="A97" s="84"/>
      <c r="B97" s="84"/>
      <c r="C97" s="84"/>
      <c r="D97" s="84"/>
      <c r="E97" s="84"/>
    </row>
    <row r="98" spans="1:5" x14ac:dyDescent="0.2">
      <c r="A98" s="84"/>
      <c r="B98" s="84"/>
      <c r="C98" s="84"/>
      <c r="D98" s="84"/>
      <c r="E98" s="84"/>
    </row>
    <row r="99" spans="1:5" x14ac:dyDescent="0.2">
      <c r="A99" s="84"/>
      <c r="B99" s="84"/>
      <c r="C99" s="84"/>
      <c r="D99" s="84"/>
      <c r="E99" s="84"/>
    </row>
    <row r="100" spans="1:5" x14ac:dyDescent="0.2">
      <c r="A100" s="84"/>
      <c r="B100" s="84"/>
      <c r="C100" s="84"/>
      <c r="D100" s="84"/>
      <c r="E100" s="84"/>
    </row>
    <row r="101" spans="1:5" x14ac:dyDescent="0.2">
      <c r="A101" s="84"/>
      <c r="B101" s="84"/>
      <c r="C101" s="84"/>
      <c r="D101" s="84"/>
      <c r="E101" s="84"/>
    </row>
    <row r="102" spans="1:5" x14ac:dyDescent="0.2">
      <c r="A102" s="84"/>
      <c r="B102" s="84"/>
      <c r="C102" s="84"/>
      <c r="D102" s="84"/>
      <c r="E102" s="84"/>
    </row>
    <row r="103" spans="1:5" x14ac:dyDescent="0.2">
      <c r="A103" s="84"/>
      <c r="B103" s="84"/>
      <c r="C103" s="84"/>
      <c r="D103" s="84"/>
      <c r="E103" s="84"/>
    </row>
    <row r="104" spans="1:5" x14ac:dyDescent="0.2">
      <c r="A104" s="84"/>
      <c r="B104" s="84"/>
      <c r="C104" s="84"/>
      <c r="D104" s="84"/>
      <c r="E104" s="84"/>
    </row>
    <row r="105" spans="1:5" x14ac:dyDescent="0.2">
      <c r="A105" s="84"/>
      <c r="B105" s="84"/>
      <c r="C105" s="84"/>
      <c r="D105" s="84"/>
      <c r="E105" s="84"/>
    </row>
    <row r="106" spans="1:5" x14ac:dyDescent="0.2">
      <c r="A106" s="84"/>
      <c r="B106" s="84"/>
      <c r="C106" s="84"/>
      <c r="D106" s="84"/>
      <c r="E106" s="84"/>
    </row>
    <row r="107" spans="1:5" x14ac:dyDescent="0.2">
      <c r="A107" s="84"/>
      <c r="B107" s="84"/>
      <c r="C107" s="84"/>
      <c r="D107" s="84"/>
      <c r="E107" s="84"/>
    </row>
    <row r="108" spans="1:5" x14ac:dyDescent="0.2">
      <c r="A108" s="84"/>
      <c r="B108" s="84"/>
      <c r="C108" s="84"/>
      <c r="D108" s="84"/>
      <c r="E108" s="84"/>
    </row>
    <row r="109" spans="1:5" x14ac:dyDescent="0.2">
      <c r="A109" s="84"/>
      <c r="B109" s="84"/>
      <c r="C109" s="84"/>
      <c r="D109" s="84"/>
      <c r="E109" s="84"/>
    </row>
    <row r="110" spans="1:5" x14ac:dyDescent="0.2">
      <c r="E110" s="84"/>
    </row>
    <row r="111" spans="1:5" x14ac:dyDescent="0.2">
      <c r="E111" s="84"/>
    </row>
    <row r="112" spans="1:5" x14ac:dyDescent="0.2">
      <c r="E112" s="84"/>
    </row>
  </sheetData>
  <sheetProtection algorithmName="SHA-512" hashValue="wCEZfttSB1F+Yt9JyDxKp6JOr+sn2HFUUH9mvW+05Km75bWoKGPUg59eosO+4vX9VzuyLEwOj65JTtjP+ZICgg==" saltValue="BGOJN63gEbl/TNYIWWz9SA==" spinCount="100000" sheet="1" objects="1" scenarios="1" formatColumns="0" formatRows="0" selectLockedCells="1"/>
  <mergeCells count="13">
    <mergeCell ref="A22:D22"/>
    <mergeCell ref="A37:D37"/>
    <mergeCell ref="A14:D14"/>
    <mergeCell ref="A13:D13"/>
    <mergeCell ref="A17:D17"/>
    <mergeCell ref="C15:E15"/>
    <mergeCell ref="A16:D16"/>
    <mergeCell ref="A4:B4"/>
    <mergeCell ref="C4:D4"/>
    <mergeCell ref="B5:C5"/>
    <mergeCell ref="B1:D1"/>
    <mergeCell ref="A18:D18"/>
    <mergeCell ref="A10:B10"/>
  </mergeCells>
  <phoneticPr fontId="7" type="noConversion"/>
  <conditionalFormatting sqref="B12">
    <cfRule type="expression" dxfId="29" priority="11">
      <formula>B12&gt;0.3</formula>
    </cfRule>
    <cfRule type="expression" dxfId="28" priority="17">
      <formula>B12&lt;0</formula>
    </cfRule>
  </conditionalFormatting>
  <conditionalFormatting sqref="C10">
    <cfRule type="expression" dxfId="27" priority="15">
      <formula>C10&gt;44</formula>
    </cfRule>
    <cfRule type="expression" dxfId="26" priority="16">
      <formula>C10&lt;0</formula>
    </cfRule>
  </conditionalFormatting>
  <conditionalFormatting sqref="C6:C9 B6:B8 B11 C11:C12">
    <cfRule type="expression" dxfId="25" priority="1">
      <formula>B6&lt;0</formula>
    </cfRule>
  </conditionalFormatting>
  <dataValidations count="1">
    <dataValidation type="list" allowBlank="1" showInputMessage="1" showErrorMessage="1" sqref="B3">
      <formula1>$I$3:$I$4</formula1>
    </dataValidation>
  </dataValidations>
  <hyperlinks>
    <hyperlink ref="B1" r:id="rId1" display="Check for Bru'n Water Updates"/>
    <hyperlink ref="B1:D1" r:id="rId2" display="Link to Bru'n Water website for updates and to donate"/>
  </hyperlinks>
  <printOptions horizontalCentered="1"/>
  <pageMargins left="0.75" right="0.75" top="0.73" bottom="0.79" header="0.5" footer="0.5"/>
  <pageSetup scale="64" orientation="landscape" r:id="rId3"/>
  <headerFooter alignWithMargins="0">
    <oddFooter xml:space="preserve">&amp;LBru'n Water
V.1.24&amp;R9/17/18
</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rgb="FFFF9900"/>
    <pageSetUpPr fitToPage="1"/>
  </sheetPr>
  <dimension ref="A1:AN105"/>
  <sheetViews>
    <sheetView showGridLines="0" zoomScale="70" zoomScaleNormal="70" workbookViewId="0">
      <selection activeCell="B5" sqref="B5"/>
    </sheetView>
  </sheetViews>
  <sheetFormatPr defaultRowHeight="12.75" x14ac:dyDescent="0.2"/>
  <cols>
    <col min="1" max="1" width="27.42578125" style="1" customWidth="1"/>
    <col min="2" max="2" width="18.140625" style="1" customWidth="1"/>
    <col min="3" max="3" width="13.5703125" style="1" customWidth="1"/>
    <col min="4" max="4" width="14.85546875" style="1" customWidth="1"/>
    <col min="5" max="5" width="10.42578125" style="83" customWidth="1"/>
    <col min="6" max="26" width="10.42578125" style="83" hidden="1" customWidth="1"/>
    <col min="27" max="27" width="10.42578125" style="83" customWidth="1"/>
    <col min="28" max="45" width="8.5703125" style="1" customWidth="1"/>
    <col min="46" max="16384" width="9.140625" style="1"/>
  </cols>
  <sheetData>
    <row r="1" spans="1:31" ht="26.25" x14ac:dyDescent="0.2">
      <c r="A1" s="271" t="s">
        <v>19</v>
      </c>
      <c r="B1" s="496" t="s">
        <v>498</v>
      </c>
      <c r="C1" s="496"/>
      <c r="D1" s="496"/>
      <c r="E1" s="496"/>
      <c r="AB1" s="83"/>
      <c r="AC1" s="83"/>
      <c r="AD1" s="83"/>
      <c r="AE1" s="83"/>
    </row>
    <row r="2" spans="1:31" ht="24" customHeight="1" x14ac:dyDescent="0.2">
      <c r="A2" s="504" t="s">
        <v>405</v>
      </c>
      <c r="B2" s="504"/>
      <c r="C2" s="504"/>
      <c r="D2" s="504"/>
      <c r="AB2" s="83"/>
      <c r="AC2" s="83"/>
      <c r="AD2" s="83"/>
      <c r="AE2" s="83"/>
    </row>
    <row r="3" spans="1:31" ht="17.100000000000001" customHeight="1" x14ac:dyDescent="0.2">
      <c r="A3" s="501" t="s">
        <v>160</v>
      </c>
      <c r="B3" s="502"/>
      <c r="C3" s="502"/>
      <c r="D3" s="503"/>
      <c r="E3" s="149"/>
      <c r="AB3" s="83"/>
      <c r="AC3" s="83"/>
      <c r="AD3" s="83"/>
      <c r="AE3" s="83"/>
    </row>
    <row r="4" spans="1:31" ht="17.100000000000001" customHeight="1" x14ac:dyDescent="0.2">
      <c r="A4" s="19" t="s">
        <v>262</v>
      </c>
      <c r="B4" s="176">
        <f>'1. Water Report Input'!$B$15</f>
        <v>0</v>
      </c>
      <c r="C4" s="505" t="s">
        <v>156</v>
      </c>
      <c r="D4" s="506"/>
      <c r="E4" s="149"/>
      <c r="AB4" s="83"/>
      <c r="AC4" s="83"/>
      <c r="AD4" s="83"/>
      <c r="AE4" s="83"/>
    </row>
    <row r="5" spans="1:31" ht="17.100000000000001" customHeight="1" x14ac:dyDescent="0.2">
      <c r="A5" s="21" t="s">
        <v>108</v>
      </c>
      <c r="B5" s="177">
        <v>7</v>
      </c>
      <c r="C5" s="507" t="s">
        <v>66</v>
      </c>
      <c r="D5" s="508"/>
      <c r="E5" s="149"/>
      <c r="AB5" s="83"/>
      <c r="AC5" s="83"/>
      <c r="AD5" s="83"/>
      <c r="AE5" s="83"/>
    </row>
    <row r="6" spans="1:31" ht="17.100000000000001" customHeight="1" x14ac:dyDescent="0.2">
      <c r="A6" s="21" t="s">
        <v>425</v>
      </c>
      <c r="B6" s="177">
        <v>5.6</v>
      </c>
      <c r="C6" s="507" t="s">
        <v>66</v>
      </c>
      <c r="D6" s="508"/>
      <c r="E6" s="149"/>
      <c r="AB6" s="83"/>
      <c r="AC6" s="83"/>
      <c r="AD6" s="83"/>
      <c r="AE6" s="83"/>
    </row>
    <row r="7" spans="1:31" ht="17.100000000000001" customHeight="1" x14ac:dyDescent="0.2">
      <c r="A7" s="21" t="s">
        <v>426</v>
      </c>
      <c r="B7" s="299">
        <v>1</v>
      </c>
      <c r="C7" s="22" t="str">
        <f>I57</f>
        <v>Gallons</v>
      </c>
      <c r="D7" s="162" t="s">
        <v>407</v>
      </c>
      <c r="E7" s="149"/>
      <c r="F7" s="232"/>
      <c r="G7" s="232"/>
      <c r="H7" s="232"/>
      <c r="I7" s="232"/>
      <c r="J7" s="232"/>
      <c r="K7" s="232"/>
      <c r="L7" s="232"/>
      <c r="M7" s="232"/>
      <c r="N7" s="232"/>
      <c r="O7" s="232"/>
      <c r="AB7" s="83"/>
      <c r="AC7" s="83"/>
      <c r="AD7" s="83"/>
      <c r="AE7" s="83"/>
    </row>
    <row r="8" spans="1:31" ht="17.100000000000001" customHeight="1" x14ac:dyDescent="0.2">
      <c r="A8" s="21" t="s">
        <v>506</v>
      </c>
      <c r="B8" s="268" t="s">
        <v>51</v>
      </c>
      <c r="C8" s="175" t="s">
        <v>408</v>
      </c>
      <c r="D8" s="130"/>
      <c r="E8" s="149"/>
      <c r="F8" s="232"/>
      <c r="G8" s="232"/>
      <c r="H8" s="232"/>
      <c r="I8" s="232"/>
      <c r="J8" s="232"/>
      <c r="K8" s="232"/>
      <c r="L8" s="232"/>
      <c r="M8" s="232"/>
      <c r="N8" s="232"/>
      <c r="O8" s="232"/>
      <c r="AB8" s="83"/>
      <c r="AC8" s="83"/>
      <c r="AD8" s="83"/>
      <c r="AE8" s="83"/>
    </row>
    <row r="9" spans="1:31" ht="17.100000000000001" customHeight="1" x14ac:dyDescent="0.2">
      <c r="A9" s="21" t="s">
        <v>508</v>
      </c>
      <c r="B9" s="178">
        <v>1</v>
      </c>
      <c r="C9" s="268" t="s">
        <v>148</v>
      </c>
      <c r="D9" s="229" t="s">
        <v>486</v>
      </c>
      <c r="E9" s="149"/>
      <c r="F9" s="232"/>
      <c r="G9" s="232"/>
      <c r="H9" s="232"/>
      <c r="I9" s="232"/>
      <c r="J9" s="232"/>
      <c r="K9" s="232"/>
      <c r="L9" s="232"/>
      <c r="M9" s="232"/>
      <c r="N9" s="232"/>
      <c r="O9" s="232"/>
      <c r="AB9" s="83"/>
      <c r="AC9" s="83"/>
      <c r="AD9" s="83"/>
      <c r="AE9" s="83"/>
    </row>
    <row r="10" spans="1:31" ht="17.100000000000001" customHeight="1" x14ac:dyDescent="0.2">
      <c r="A10" s="498" t="s">
        <v>161</v>
      </c>
      <c r="B10" s="499"/>
      <c r="C10" s="499"/>
      <c r="D10" s="500"/>
      <c r="E10" s="149"/>
      <c r="F10" s="340">
        <f>IF(N(B9)=0,1,N(B9))</f>
        <v>1</v>
      </c>
      <c r="G10" s="232"/>
      <c r="H10" s="232"/>
      <c r="I10" s="232"/>
      <c r="J10" s="232"/>
      <c r="K10" s="232"/>
      <c r="L10" s="232"/>
      <c r="M10" s="232"/>
      <c r="N10" s="232"/>
      <c r="O10" s="232"/>
      <c r="AB10" s="83"/>
      <c r="AC10" s="83"/>
      <c r="AD10" s="83"/>
      <c r="AE10" s="83"/>
    </row>
    <row r="11" spans="1:31" ht="17.100000000000001" customHeight="1" x14ac:dyDescent="0.2">
      <c r="A11" s="33" t="s">
        <v>18</v>
      </c>
      <c r="B11" s="176">
        <f>B4-(((Acid_Required+Acid_Required2))*50)</f>
        <v>-0.50012059432157541</v>
      </c>
      <c r="C11" s="20" t="s">
        <v>156</v>
      </c>
      <c r="D11" s="23"/>
      <c r="E11" s="149"/>
      <c r="F11" s="340"/>
      <c r="G11" s="232"/>
      <c r="H11" s="232"/>
      <c r="I11" s="232"/>
      <c r="J11" s="232"/>
      <c r="K11" s="232"/>
      <c r="L11" s="232"/>
      <c r="M11" s="232"/>
      <c r="N11" s="232"/>
      <c r="O11" s="232"/>
      <c r="AB11" s="83"/>
      <c r="AC11" s="83"/>
      <c r="AD11" s="83"/>
      <c r="AE11" s="83"/>
    </row>
    <row r="12" spans="1:31" ht="17.100000000000001" customHeight="1" x14ac:dyDescent="0.2">
      <c r="A12" s="151" t="str">
        <f>VLOOKUP($A$40,table,11,FALSE)</f>
        <v>Phosphoric Acid Required =</v>
      </c>
      <c r="B12" s="48">
        <f>VLOOKUP($A$40,table,13,FALSE)</f>
        <v>0.36107295073610901</v>
      </c>
      <c r="C12" s="94" t="str">
        <f>VLOOKUP($A$40,table,8,FALSE)</f>
        <v>(ml)</v>
      </c>
      <c r="D12" s="173">
        <f>VLOOKUP($A$40,table,14,FALSE)</f>
        <v>7.3261701704356516E-2</v>
      </c>
      <c r="E12" s="20" t="str">
        <f>VLOOKUP($A$40,table,9,FALSE)</f>
        <v>(tsp)</v>
      </c>
      <c r="F12" s="340"/>
      <c r="G12" s="232"/>
      <c r="H12" s="232"/>
      <c r="I12" s="232"/>
      <c r="J12" s="232"/>
      <c r="K12" s="232"/>
      <c r="L12" s="232"/>
      <c r="M12" s="232"/>
      <c r="N12" s="232"/>
      <c r="O12" s="232"/>
      <c r="AB12" s="83"/>
      <c r="AC12" s="83"/>
      <c r="AD12" s="83"/>
      <c r="AE12" s="83"/>
    </row>
    <row r="13" spans="1:31" ht="17.100000000000001" customHeight="1" x14ac:dyDescent="0.2">
      <c r="A13" s="35" t="s">
        <v>396</v>
      </c>
      <c r="B13" s="179">
        <f>IF(A40=5,VLOOKUP(A52,strtable,4,FALSE),0)</f>
        <v>0</v>
      </c>
      <c r="C13" s="34" t="s">
        <v>155</v>
      </c>
      <c r="D13" s="23"/>
      <c r="E13" s="87"/>
      <c r="F13" s="231"/>
      <c r="G13" s="232"/>
      <c r="H13" s="232"/>
      <c r="I13" s="232"/>
      <c r="J13" s="232"/>
      <c r="K13" s="232"/>
      <c r="L13" s="232"/>
      <c r="M13" s="232"/>
      <c r="N13" s="232"/>
      <c r="O13" s="232"/>
      <c r="AB13" s="83"/>
      <c r="AC13" s="83"/>
      <c r="AD13" s="83"/>
      <c r="AE13" s="83"/>
    </row>
    <row r="14" spans="1:31" ht="17.100000000000001" customHeight="1" x14ac:dyDescent="0.2">
      <c r="A14" s="35" t="s">
        <v>397</v>
      </c>
      <c r="B14" s="176">
        <f>IF(A40=2,VLOOKUP(A52,strtable,5,FALSE),0)</f>
        <v>0</v>
      </c>
      <c r="C14" s="34" t="s">
        <v>155</v>
      </c>
      <c r="D14" s="23"/>
      <c r="E14" s="87"/>
      <c r="F14" s="231"/>
      <c r="G14" s="232"/>
      <c r="H14" s="232"/>
      <c r="I14" s="232"/>
      <c r="J14" s="232"/>
      <c r="K14" s="232"/>
      <c r="L14" s="232"/>
      <c r="M14" s="232"/>
      <c r="N14" s="232"/>
      <c r="O14" s="232"/>
      <c r="AB14" s="83"/>
      <c r="AC14" s="83"/>
      <c r="AD14" s="83"/>
      <c r="AE14" s="83"/>
    </row>
    <row r="15" spans="1:31" ht="17.100000000000001" customHeight="1" x14ac:dyDescent="0.2">
      <c r="A15" s="270" t="s">
        <v>409</v>
      </c>
      <c r="B15" s="241"/>
      <c r="C15" s="241"/>
      <c r="D15" s="241"/>
      <c r="E15" s="87"/>
      <c r="F15" s="341"/>
      <c r="G15" s="232"/>
      <c r="H15" s="232"/>
      <c r="I15" s="232"/>
      <c r="J15" s="232"/>
      <c r="K15" s="232"/>
      <c r="L15" s="232"/>
      <c r="M15" s="232"/>
      <c r="N15" s="232"/>
      <c r="O15" s="232"/>
      <c r="AB15" s="83"/>
      <c r="AC15" s="83"/>
      <c r="AD15" s="83"/>
      <c r="AE15" s="83"/>
    </row>
    <row r="16" spans="1:31" ht="117" customHeight="1" x14ac:dyDescent="0.2">
      <c r="A16" s="509" t="s">
        <v>406</v>
      </c>
      <c r="B16" s="509"/>
      <c r="C16" s="509"/>
      <c r="D16" s="509"/>
      <c r="E16" s="87"/>
      <c r="F16" s="341">
        <f>IF(A40=9,(C53*64)/(J57*B7),IF(A40=2,VLOOKUP(A52,strtable,5,FALSE),0))</f>
        <v>0</v>
      </c>
      <c r="G16" s="342">
        <f>IF(A67=9,(C80*88.57)/(J57*B7),IF(A67=5,VLOOKUP(A79,strtable2,4,FALSE),0))</f>
        <v>0</v>
      </c>
      <c r="H16" s="232"/>
      <c r="I16" s="232"/>
      <c r="J16" s="232"/>
      <c r="K16" s="232"/>
      <c r="L16" s="232"/>
      <c r="M16" s="232"/>
      <c r="N16" s="232"/>
      <c r="O16" s="232"/>
      <c r="AB16" s="83"/>
      <c r="AC16" s="83"/>
      <c r="AD16" s="83"/>
      <c r="AE16" s="83"/>
    </row>
    <row r="17" spans="1:40" ht="101.25" customHeight="1" x14ac:dyDescent="0.25">
      <c r="A17" s="510" t="s">
        <v>572</v>
      </c>
      <c r="B17" s="510"/>
      <c r="C17" s="510"/>
      <c r="D17" s="510"/>
      <c r="E17" s="87"/>
      <c r="F17" s="231"/>
      <c r="G17" s="342">
        <f>IF(A67=9,(C80*64)/(J57*B7),IF(A67=2,VLOOKUP(A79,strtable2,5,FALSE),0))</f>
        <v>0</v>
      </c>
      <c r="H17" s="232"/>
      <c r="I17" s="232"/>
      <c r="J17" s="232"/>
      <c r="K17" s="232"/>
      <c r="L17" s="232"/>
      <c r="M17" s="232"/>
      <c r="N17" s="232"/>
      <c r="O17" s="232"/>
      <c r="AB17" s="83"/>
      <c r="AC17" s="83"/>
      <c r="AD17" s="83"/>
      <c r="AE17" s="83"/>
    </row>
    <row r="18" spans="1:40" ht="15.75" customHeight="1" x14ac:dyDescent="0.25">
      <c r="A18" s="497" t="s">
        <v>559</v>
      </c>
      <c r="B18" s="497"/>
      <c r="C18" s="497"/>
      <c r="D18" s="497"/>
      <c r="E18" s="87"/>
      <c r="F18" s="231"/>
      <c r="G18" s="232"/>
      <c r="H18" s="232"/>
      <c r="I18" s="232"/>
      <c r="J18" s="232"/>
      <c r="K18" s="232"/>
      <c r="L18" s="232"/>
      <c r="M18" s="232"/>
      <c r="N18" s="232"/>
      <c r="O18" s="232"/>
      <c r="AB18" s="83"/>
      <c r="AC18" s="83"/>
      <c r="AD18" s="83"/>
      <c r="AE18" s="83"/>
    </row>
    <row r="19" spans="1:40" ht="34.5" customHeight="1" x14ac:dyDescent="0.2">
      <c r="A19" s="495" t="s">
        <v>325</v>
      </c>
      <c r="B19" s="495"/>
      <c r="C19" s="495"/>
      <c r="D19" s="495"/>
      <c r="E19" s="241"/>
      <c r="F19" s="231"/>
      <c r="G19" s="232"/>
      <c r="H19" s="232"/>
      <c r="I19" s="232"/>
      <c r="J19" s="232"/>
      <c r="K19" s="232"/>
      <c r="L19" s="232"/>
      <c r="M19" s="232"/>
      <c r="N19" s="232"/>
      <c r="O19" s="232"/>
      <c r="AB19" s="83"/>
      <c r="AC19" s="83"/>
      <c r="AD19" s="83"/>
      <c r="AE19" s="83"/>
    </row>
    <row r="20" spans="1:40" ht="17.100000000000001" customHeight="1" x14ac:dyDescent="0.2">
      <c r="A20" s="232"/>
      <c r="B20" s="232"/>
      <c r="C20" s="232"/>
      <c r="D20" s="231"/>
      <c r="E20" s="242"/>
      <c r="F20" s="231"/>
      <c r="G20" s="231"/>
      <c r="H20" s="231"/>
      <c r="I20" s="231"/>
      <c r="J20" s="231"/>
      <c r="K20" s="231"/>
      <c r="L20" s="231"/>
      <c r="M20" s="231"/>
      <c r="N20" s="231"/>
      <c r="O20" s="231"/>
      <c r="P20" s="84"/>
      <c r="Q20" s="84"/>
      <c r="R20" s="84"/>
      <c r="S20" s="84"/>
      <c r="T20" s="84"/>
      <c r="AB20" s="232"/>
      <c r="AC20" s="232"/>
      <c r="AD20" s="232"/>
      <c r="AE20" s="83"/>
    </row>
    <row r="21" spans="1:40" ht="105" customHeight="1" x14ac:dyDescent="0.25">
      <c r="A21" s="232"/>
      <c r="B21" s="232"/>
      <c r="C21" s="232"/>
      <c r="D21" s="231"/>
      <c r="E21" s="317"/>
      <c r="F21" s="85"/>
      <c r="G21" s="231"/>
      <c r="H21" s="231"/>
      <c r="I21" s="231"/>
      <c r="J21" s="231"/>
      <c r="K21" s="231"/>
      <c r="L21" s="231"/>
      <c r="M21" s="231"/>
      <c r="N21" s="231"/>
      <c r="O21" s="231"/>
      <c r="P21" s="231"/>
      <c r="Q21" s="231"/>
      <c r="R21" s="231"/>
      <c r="S21" s="231"/>
      <c r="T21" s="231"/>
      <c r="U21" s="232"/>
      <c r="V21" s="232"/>
      <c r="AB21" s="232"/>
      <c r="AC21" s="232"/>
      <c r="AD21" s="232"/>
      <c r="AE21" s="83"/>
      <c r="AF21" s="83"/>
      <c r="AG21" s="83"/>
      <c r="AH21" s="83"/>
      <c r="AI21" s="83"/>
      <c r="AJ21" s="83"/>
      <c r="AK21" s="83"/>
      <c r="AL21" s="83"/>
      <c r="AM21" s="83"/>
      <c r="AN21" s="83"/>
    </row>
    <row r="22" spans="1:40" ht="68.099999999999994" customHeight="1" x14ac:dyDescent="0.25">
      <c r="A22" s="232"/>
      <c r="B22" s="232"/>
      <c r="C22" s="232"/>
      <c r="D22" s="231"/>
      <c r="E22" s="318"/>
      <c r="F22" s="318"/>
      <c r="G22" s="85"/>
      <c r="H22" s="85"/>
      <c r="I22" s="85"/>
      <c r="J22" s="85"/>
      <c r="K22" s="85"/>
      <c r="L22" s="85"/>
      <c r="M22" s="85"/>
      <c r="N22" s="85"/>
      <c r="O22" s="85"/>
      <c r="P22" s="85"/>
      <c r="Q22" s="231"/>
      <c r="R22" s="231"/>
      <c r="S22" s="319" t="s">
        <v>21</v>
      </c>
      <c r="T22" s="320">
        <f>10^(N(B5)-6.38)</f>
        <v>4.1686938347033555</v>
      </c>
      <c r="U22" s="85"/>
      <c r="V22" s="232"/>
      <c r="AB22" s="232"/>
      <c r="AC22" s="232"/>
      <c r="AD22" s="232"/>
      <c r="AE22" s="83"/>
      <c r="AF22" s="83"/>
      <c r="AG22" s="83"/>
      <c r="AH22" s="83"/>
      <c r="AI22" s="83"/>
      <c r="AJ22" s="83"/>
      <c r="AK22" s="83"/>
      <c r="AL22" s="83"/>
      <c r="AM22" s="83"/>
      <c r="AN22" s="83"/>
    </row>
    <row r="23" spans="1:40" ht="15.6" customHeight="1" x14ac:dyDescent="0.25">
      <c r="A23" s="232"/>
      <c r="B23" s="232"/>
      <c r="C23" s="232"/>
      <c r="D23" s="231"/>
      <c r="E23" s="85"/>
      <c r="F23" s="85"/>
      <c r="G23" s="318"/>
      <c r="H23" s="318"/>
      <c r="I23" s="85"/>
      <c r="J23" s="85"/>
      <c r="K23" s="85"/>
      <c r="L23" s="85"/>
      <c r="M23" s="85"/>
      <c r="N23" s="85"/>
      <c r="O23" s="85"/>
      <c r="P23" s="85"/>
      <c r="Q23" s="231"/>
      <c r="R23" s="231"/>
      <c r="S23" s="319" t="s">
        <v>22</v>
      </c>
      <c r="T23" s="320">
        <f>10^(N(B5)-10.33)</f>
        <v>4.677351412871977E-4</v>
      </c>
      <c r="U23" s="85"/>
      <c r="V23" s="232"/>
      <c r="AB23" s="232"/>
      <c r="AC23" s="232"/>
      <c r="AD23" s="232"/>
      <c r="AE23" s="83"/>
      <c r="AF23" s="83"/>
      <c r="AG23" s="83"/>
      <c r="AH23" s="83"/>
      <c r="AI23" s="83"/>
      <c r="AJ23" s="83"/>
      <c r="AK23" s="83"/>
      <c r="AL23" s="83"/>
      <c r="AM23" s="83"/>
      <c r="AN23" s="83"/>
    </row>
    <row r="24" spans="1:40" ht="18.600000000000001" customHeight="1" x14ac:dyDescent="0.2">
      <c r="A24" s="232"/>
      <c r="B24" s="232"/>
      <c r="C24" s="232"/>
      <c r="D24" s="231"/>
      <c r="E24" s="85"/>
      <c r="F24" s="85"/>
      <c r="G24" s="85"/>
      <c r="H24" s="85"/>
      <c r="I24" s="85"/>
      <c r="J24" s="85"/>
      <c r="K24" s="85"/>
      <c r="L24" s="85"/>
      <c r="M24" s="85"/>
      <c r="N24" s="85"/>
      <c r="O24" s="85"/>
      <c r="P24" s="85"/>
      <c r="Q24" s="231"/>
      <c r="R24" s="231"/>
      <c r="S24" s="319" t="s">
        <v>23</v>
      </c>
      <c r="T24" s="320">
        <f>1+T22+(T22*T23)</f>
        <v>5.1706436793031134</v>
      </c>
      <c r="U24" s="85"/>
      <c r="V24" s="232"/>
      <c r="AB24" s="232"/>
      <c r="AC24" s="232"/>
      <c r="AD24" s="232"/>
      <c r="AE24" s="83"/>
      <c r="AF24" s="83"/>
      <c r="AG24" s="83"/>
      <c r="AH24" s="83"/>
      <c r="AI24" s="83"/>
      <c r="AJ24" s="83"/>
      <c r="AK24" s="83"/>
      <c r="AL24" s="83"/>
      <c r="AM24" s="83"/>
      <c r="AN24" s="83"/>
    </row>
    <row r="25" spans="1:40" s="232" customFormat="1" ht="12" customHeight="1" x14ac:dyDescent="0.2">
      <c r="D25" s="231"/>
      <c r="E25" s="85"/>
      <c r="F25" s="85"/>
      <c r="G25" s="85"/>
      <c r="H25" s="85"/>
      <c r="I25" s="85"/>
      <c r="J25" s="85"/>
      <c r="K25" s="85"/>
      <c r="L25" s="85"/>
      <c r="M25" s="85"/>
      <c r="N25" s="85"/>
      <c r="O25" s="85"/>
      <c r="P25" s="85"/>
      <c r="Q25" s="231"/>
      <c r="R25" s="231"/>
      <c r="S25" s="319" t="s">
        <v>24</v>
      </c>
      <c r="T25" s="320">
        <f>1/T24</f>
        <v>0.193399518903762</v>
      </c>
      <c r="U25" s="85"/>
      <c r="W25" s="83"/>
      <c r="X25" s="83"/>
      <c r="Y25" s="83"/>
      <c r="Z25" s="83"/>
      <c r="AA25" s="83"/>
    </row>
    <row r="26" spans="1:40" s="232" customFormat="1" ht="12" customHeight="1" x14ac:dyDescent="0.2">
      <c r="D26" s="231"/>
      <c r="E26" s="85"/>
      <c r="F26" s="85"/>
      <c r="G26" s="85"/>
      <c r="H26" s="85"/>
      <c r="I26" s="85"/>
      <c r="J26" s="85"/>
      <c r="K26" s="85"/>
      <c r="L26" s="85"/>
      <c r="M26" s="85"/>
      <c r="N26" s="85"/>
      <c r="O26" s="85"/>
      <c r="P26" s="85"/>
      <c r="Q26" s="231"/>
      <c r="R26" s="231"/>
      <c r="S26" s="319" t="s">
        <v>25</v>
      </c>
      <c r="T26" s="320">
        <f>T22/T24</f>
        <v>0.8062233820887077</v>
      </c>
      <c r="U26" s="85"/>
      <c r="W26" s="83"/>
      <c r="X26" s="83"/>
      <c r="Y26" s="83"/>
      <c r="Z26" s="83"/>
      <c r="AA26" s="83"/>
    </row>
    <row r="27" spans="1:40" s="232" customFormat="1" ht="12" customHeight="1" x14ac:dyDescent="0.2">
      <c r="E27" s="85"/>
      <c r="F27" s="85"/>
      <c r="G27" s="85"/>
      <c r="H27" s="85"/>
      <c r="I27" s="85"/>
      <c r="J27" s="85"/>
      <c r="K27" s="85"/>
      <c r="L27" s="85"/>
      <c r="M27" s="85"/>
      <c r="N27" s="85"/>
      <c r="O27" s="85"/>
      <c r="P27" s="85"/>
      <c r="Q27" s="231"/>
      <c r="R27" s="231"/>
      <c r="S27" s="319" t="s">
        <v>26</v>
      </c>
      <c r="T27" s="320">
        <f>(T22*T23)/T24</f>
        <v>3.7709900753030411E-4</v>
      </c>
      <c r="U27" s="85"/>
      <c r="W27" s="83"/>
      <c r="X27" s="83"/>
      <c r="Y27" s="83"/>
      <c r="Z27" s="83"/>
      <c r="AA27" s="83"/>
    </row>
    <row r="28" spans="1:40" s="232" customFormat="1" ht="12" customHeight="1" x14ac:dyDescent="0.2">
      <c r="E28" s="85"/>
      <c r="F28" s="85"/>
      <c r="G28" s="85"/>
      <c r="H28" s="85"/>
      <c r="I28" s="85"/>
      <c r="J28" s="85"/>
      <c r="K28" s="85"/>
      <c r="L28" s="85"/>
      <c r="M28" s="85"/>
      <c r="N28" s="85"/>
      <c r="O28" s="85"/>
      <c r="P28" s="85"/>
      <c r="Q28" s="231"/>
      <c r="R28" s="231"/>
      <c r="S28" s="319"/>
      <c r="T28" s="85"/>
      <c r="U28" s="85"/>
      <c r="W28" s="83"/>
      <c r="X28" s="83"/>
      <c r="Y28" s="83"/>
      <c r="Z28" s="83"/>
      <c r="AA28" s="83"/>
    </row>
    <row r="29" spans="1:40" s="232" customFormat="1" ht="12" customHeight="1" x14ac:dyDescent="0.2">
      <c r="E29" s="85"/>
      <c r="F29" s="85"/>
      <c r="G29" s="85"/>
      <c r="H29" s="85"/>
      <c r="I29" s="85"/>
      <c r="J29" s="85"/>
      <c r="K29" s="85"/>
      <c r="L29" s="85"/>
      <c r="M29" s="85"/>
      <c r="N29" s="85"/>
      <c r="O29" s="85"/>
      <c r="P29" s="85"/>
      <c r="Q29" s="231"/>
      <c r="R29" s="231"/>
      <c r="S29" s="319" t="s">
        <v>27</v>
      </c>
      <c r="T29" s="85">
        <v>4.3</v>
      </c>
      <c r="U29" s="85" t="s">
        <v>65</v>
      </c>
      <c r="W29" s="83"/>
      <c r="X29" s="83"/>
      <c r="Y29" s="83"/>
      <c r="Z29" s="83"/>
      <c r="AA29" s="83"/>
    </row>
    <row r="30" spans="1:40" s="232" customFormat="1" ht="12" customHeight="1" x14ac:dyDescent="0.2">
      <c r="E30" s="85"/>
      <c r="F30" s="85"/>
      <c r="G30" s="85"/>
      <c r="H30" s="85"/>
      <c r="I30" s="85"/>
      <c r="J30" s="85"/>
      <c r="K30" s="85"/>
      <c r="L30" s="85"/>
      <c r="M30" s="85"/>
      <c r="N30" s="85"/>
      <c r="O30" s="85"/>
      <c r="P30" s="85"/>
      <c r="Q30" s="231"/>
      <c r="R30" s="231"/>
      <c r="S30" s="319" t="s">
        <v>28</v>
      </c>
      <c r="T30" s="321">
        <f>10^(T29-6.38)</f>
        <v>8.3176377110267055E-3</v>
      </c>
      <c r="U30" s="85"/>
      <c r="W30" s="83"/>
      <c r="X30" s="83"/>
      <c r="Y30" s="83"/>
      <c r="Z30" s="83"/>
      <c r="AA30" s="83"/>
    </row>
    <row r="31" spans="1:40" s="232" customFormat="1" ht="12" customHeight="1" x14ac:dyDescent="0.2">
      <c r="G31" s="85"/>
      <c r="H31" s="85"/>
      <c r="I31" s="85"/>
      <c r="J31" s="85"/>
      <c r="K31" s="85"/>
      <c r="L31" s="85"/>
      <c r="M31" s="85"/>
      <c r="N31" s="85"/>
      <c r="O31" s="85"/>
      <c r="P31" s="85"/>
      <c r="Q31" s="231"/>
      <c r="R31" s="231"/>
      <c r="S31" s="319" t="s">
        <v>29</v>
      </c>
      <c r="T31" s="321">
        <f>10^(T29-10.33)</f>
        <v>9.3325430079699009E-7</v>
      </c>
      <c r="U31" s="85"/>
      <c r="W31" s="83"/>
      <c r="X31" s="83"/>
      <c r="Y31" s="83"/>
      <c r="Z31" s="83"/>
      <c r="AA31" s="83"/>
    </row>
    <row r="32" spans="1:40" s="232" customFormat="1" ht="12" customHeight="1" x14ac:dyDescent="0.2">
      <c r="D32" s="231"/>
      <c r="E32" s="85"/>
      <c r="F32" s="85"/>
      <c r="O32" s="85"/>
      <c r="P32" s="85"/>
      <c r="Q32" s="231"/>
      <c r="R32" s="231"/>
      <c r="S32" s="319" t="s">
        <v>30</v>
      </c>
      <c r="T32" s="321">
        <f>1+T30+(T30*T31)</f>
        <v>1.0083176454734979</v>
      </c>
      <c r="U32" s="85"/>
      <c r="W32" s="83"/>
      <c r="X32" s="83"/>
      <c r="Y32" s="83"/>
      <c r="Z32" s="83"/>
      <c r="AA32" s="83"/>
    </row>
    <row r="33" spans="1:27" s="232" customFormat="1" ht="12" customHeight="1" x14ac:dyDescent="0.2">
      <c r="D33" s="231"/>
      <c r="E33" s="85"/>
      <c r="F33" s="85"/>
      <c r="G33" s="85"/>
      <c r="H33" s="85"/>
      <c r="I33" s="85"/>
      <c r="J33" s="85"/>
      <c r="K33" s="85"/>
      <c r="L33" s="85"/>
      <c r="M33" s="85"/>
      <c r="N33" s="85"/>
      <c r="O33" s="85"/>
      <c r="P33" s="85"/>
      <c r="Q33" s="231"/>
      <c r="R33" s="231"/>
      <c r="S33" s="319" t="s">
        <v>31</v>
      </c>
      <c r="T33" s="321">
        <f>1/T32</f>
        <v>0.9917509670580128</v>
      </c>
      <c r="U33" s="85"/>
      <c r="W33" s="83"/>
      <c r="X33" s="83"/>
      <c r="Y33" s="83"/>
      <c r="Z33" s="83"/>
      <c r="AA33" s="83"/>
    </row>
    <row r="34" spans="1:27" s="232" customFormat="1" ht="12" customHeight="1" x14ac:dyDescent="0.2">
      <c r="D34" s="231"/>
      <c r="E34" s="85"/>
      <c r="F34" s="85"/>
      <c r="G34" s="85"/>
      <c r="H34" s="85"/>
      <c r="I34" s="85"/>
      <c r="J34" s="85"/>
      <c r="K34" s="85"/>
      <c r="L34" s="85"/>
      <c r="M34" s="85"/>
      <c r="N34" s="85"/>
      <c r="O34" s="85"/>
      <c r="P34" s="85"/>
      <c r="Q34" s="231"/>
      <c r="R34" s="231"/>
      <c r="S34" s="319" t="s">
        <v>32</v>
      </c>
      <c r="T34" s="321">
        <f>T30/T32</f>
        <v>8.2490252435489311E-3</v>
      </c>
      <c r="U34" s="85"/>
      <c r="W34" s="83"/>
      <c r="X34" s="83"/>
      <c r="Y34" s="83"/>
      <c r="Z34" s="83"/>
      <c r="AA34" s="83"/>
    </row>
    <row r="35" spans="1:27" s="232" customFormat="1" ht="12" customHeight="1" x14ac:dyDescent="0.2">
      <c r="D35" s="231"/>
      <c r="E35" s="85"/>
      <c r="F35" s="85"/>
      <c r="G35" s="85"/>
      <c r="H35" s="85"/>
      <c r="I35" s="85"/>
      <c r="J35" s="85"/>
      <c r="K35" s="85"/>
      <c r="L35" s="85"/>
      <c r="M35" s="85"/>
      <c r="N35" s="85"/>
      <c r="O35" s="85"/>
      <c r="P35" s="85"/>
      <c r="Q35" s="231"/>
      <c r="R35" s="231"/>
      <c r="S35" s="319" t="s">
        <v>33</v>
      </c>
      <c r="T35" s="321">
        <f>(T30*T31)/T32</f>
        <v>7.6984382859249789E-9</v>
      </c>
      <c r="U35" s="85"/>
      <c r="W35" s="83"/>
      <c r="X35" s="83"/>
      <c r="Y35" s="83"/>
      <c r="Z35" s="83"/>
      <c r="AA35" s="83"/>
    </row>
    <row r="36" spans="1:27" s="232" customFormat="1" ht="12" customHeight="1" x14ac:dyDescent="0.2">
      <c r="D36" s="231"/>
      <c r="E36" s="322"/>
      <c r="F36" s="322"/>
      <c r="G36" s="85"/>
      <c r="H36" s="85"/>
      <c r="I36" s="85"/>
      <c r="J36" s="85"/>
      <c r="K36" s="85"/>
      <c r="L36" s="85"/>
      <c r="M36" s="85"/>
      <c r="N36" s="85"/>
      <c r="O36" s="85"/>
      <c r="P36" s="85"/>
      <c r="Q36" s="231"/>
      <c r="R36" s="231"/>
      <c r="S36" s="319"/>
      <c r="T36" s="85"/>
      <c r="U36" s="85"/>
      <c r="W36" s="83"/>
      <c r="X36" s="83"/>
      <c r="Y36" s="83"/>
      <c r="Z36" s="83"/>
      <c r="AA36" s="83"/>
    </row>
    <row r="37" spans="1:27" s="232" customFormat="1" ht="12" customHeight="1" x14ac:dyDescent="0.2">
      <c r="D37" s="231"/>
      <c r="E37" s="322"/>
      <c r="F37" s="322"/>
      <c r="G37" s="322"/>
      <c r="H37" s="322"/>
      <c r="I37" s="322"/>
      <c r="J37" s="322"/>
      <c r="K37" s="322"/>
      <c r="L37" s="322"/>
      <c r="M37" s="322"/>
      <c r="N37" s="322"/>
      <c r="O37" s="322"/>
      <c r="P37" s="322"/>
      <c r="Q37" s="123"/>
      <c r="R37" s="231"/>
      <c r="S37" s="319" t="s">
        <v>34</v>
      </c>
      <c r="T37" s="85">
        <f>(N(B4)/50)/((T33-T25)+(T27-T35))</f>
        <v>0</v>
      </c>
      <c r="U37" s="85"/>
      <c r="W37" s="83"/>
      <c r="X37" s="83"/>
      <c r="Y37" s="83"/>
      <c r="Z37" s="83"/>
      <c r="AA37" s="83"/>
    </row>
    <row r="38" spans="1:27" s="232" customFormat="1" ht="12" customHeight="1" x14ac:dyDescent="0.2">
      <c r="D38" s="231"/>
      <c r="E38" s="322"/>
      <c r="F38" s="322"/>
      <c r="G38" s="322"/>
      <c r="H38" s="322"/>
      <c r="I38" s="322"/>
      <c r="J38" s="322"/>
      <c r="K38" s="322"/>
      <c r="L38" s="322"/>
      <c r="M38" s="322"/>
      <c r="N38" s="322"/>
      <c r="O38" s="322"/>
      <c r="P38" s="322"/>
      <c r="Q38" s="123"/>
      <c r="R38" s="231"/>
      <c r="S38" s="319"/>
      <c r="T38" s="85"/>
      <c r="U38" s="85"/>
      <c r="W38" s="83"/>
      <c r="X38" s="83"/>
      <c r="Y38" s="83"/>
      <c r="Z38" s="83"/>
      <c r="AA38" s="83"/>
    </row>
    <row r="39" spans="1:27" s="232" customFormat="1" ht="12" customHeight="1" x14ac:dyDescent="0.2">
      <c r="D39" s="231"/>
      <c r="E39" s="322"/>
      <c r="F39" s="322"/>
      <c r="G39" s="322"/>
      <c r="H39" s="322"/>
      <c r="I39" s="322"/>
      <c r="J39" s="322"/>
      <c r="K39" s="322"/>
      <c r="L39" s="322"/>
      <c r="M39" s="322"/>
      <c r="N39" s="322"/>
      <c r="O39" s="322"/>
      <c r="P39" s="322"/>
      <c r="Q39" s="123"/>
      <c r="R39" s="231"/>
      <c r="S39" s="85"/>
      <c r="T39" s="85"/>
      <c r="U39" s="85"/>
      <c r="W39" s="83"/>
      <c r="X39" s="83"/>
      <c r="Y39" s="83"/>
      <c r="Z39" s="83"/>
      <c r="AA39" s="83"/>
    </row>
    <row r="40" spans="1:27" s="232" customFormat="1" ht="12" customHeight="1" x14ac:dyDescent="0.2">
      <c r="A40" s="323">
        <f>INDEX($A$41:$A$49, MATCH($B$8,$B$41:$B$49,0))</f>
        <v>4</v>
      </c>
      <c r="B40" s="324" t="s">
        <v>42</v>
      </c>
      <c r="C40" s="324" t="s">
        <v>43</v>
      </c>
      <c r="D40" s="324" t="s">
        <v>44</v>
      </c>
      <c r="E40" s="324" t="s">
        <v>45</v>
      </c>
      <c r="F40" s="324" t="s">
        <v>46</v>
      </c>
      <c r="G40" s="325" t="s">
        <v>64</v>
      </c>
      <c r="H40" s="324" t="s">
        <v>253</v>
      </c>
      <c r="I40" s="324" t="s">
        <v>254</v>
      </c>
      <c r="J40" s="324" t="s">
        <v>255</v>
      </c>
      <c r="K40" s="326"/>
      <c r="L40" s="326"/>
      <c r="M40" s="326"/>
      <c r="N40" s="326"/>
      <c r="O40" s="326"/>
      <c r="P40" s="326"/>
      <c r="Q40" s="316"/>
      <c r="R40" s="327"/>
      <c r="S40" s="328" t="s">
        <v>36</v>
      </c>
      <c r="T40" s="329">
        <f>10^(N(B6)-6.38)</f>
        <v>0.16595869074375594</v>
      </c>
      <c r="U40" s="330"/>
      <c r="V40" s="326"/>
      <c r="W40" s="247"/>
      <c r="X40" s="247"/>
      <c r="Y40" s="247"/>
      <c r="Z40" s="247"/>
      <c r="AA40" s="247"/>
    </row>
    <row r="41" spans="1:27" s="232" customFormat="1" ht="12" customHeight="1" x14ac:dyDescent="0.2">
      <c r="A41" s="323">
        <v>1</v>
      </c>
      <c r="B41" s="324" t="s">
        <v>47</v>
      </c>
      <c r="C41" s="331">
        <v>4.75</v>
      </c>
      <c r="D41" s="331">
        <v>20</v>
      </c>
      <c r="E41" s="331">
        <v>20</v>
      </c>
      <c r="F41" s="331">
        <v>60.05</v>
      </c>
      <c r="G41" s="332">
        <f>1000*((-7.575*10^(-10)*(F10^4))+(7.01*10^(-8)*(F10^3))+(-9.254*10^(-6)*(F10^2))+(1.575*10^(-3)*F10)+0.9979)</f>
        <v>999.46581534250004</v>
      </c>
      <c r="H41" s="331" t="s">
        <v>256</v>
      </c>
      <c r="I41" s="331" t="s">
        <v>309</v>
      </c>
      <c r="J41" s="331" t="s">
        <v>259</v>
      </c>
      <c r="K41" s="331" t="s">
        <v>369</v>
      </c>
      <c r="L41" s="331" t="s">
        <v>257</v>
      </c>
      <c r="M41" s="233">
        <f>VLOOKUP(A52,strtable,3,FALSE)</f>
        <v>0.36107295073610901</v>
      </c>
      <c r="N41" s="233">
        <f>$B$12*0.2029</f>
        <v>7.3261701704356516E-2</v>
      </c>
      <c r="O41" s="220" t="s">
        <v>377</v>
      </c>
      <c r="P41" s="331">
        <v>59</v>
      </c>
      <c r="Q41" s="220" t="s">
        <v>413</v>
      </c>
      <c r="R41" s="220"/>
      <c r="S41" s="328" t="s">
        <v>37</v>
      </c>
      <c r="T41" s="329">
        <f>10^(N(B6)-10.33)</f>
        <v>1.8620871366628623E-5</v>
      </c>
      <c r="U41" s="330"/>
      <c r="V41" s="326"/>
      <c r="W41" s="247"/>
      <c r="X41" s="247"/>
      <c r="Y41" s="247"/>
      <c r="Z41" s="247"/>
      <c r="AA41" s="247"/>
    </row>
    <row r="42" spans="1:27" s="232" customFormat="1" ht="12" customHeight="1" x14ac:dyDescent="0.2">
      <c r="A42" s="323">
        <v>2</v>
      </c>
      <c r="B42" s="333" t="s">
        <v>49</v>
      </c>
      <c r="C42" s="332">
        <v>-7</v>
      </c>
      <c r="D42" s="332">
        <v>20</v>
      </c>
      <c r="E42" s="332">
        <v>20</v>
      </c>
      <c r="F42" s="332">
        <v>36.46</v>
      </c>
      <c r="G42" s="332">
        <f>1000*((-3.1666*10^(-7)*($F$10^3))+(1.8499*10^(-5)*($F$10^2))+(4.7666*10^(-3)*$F$10)+0.998)</f>
        <v>1002.78478234</v>
      </c>
      <c r="H42" s="331" t="s">
        <v>256</v>
      </c>
      <c r="I42" s="331" t="s">
        <v>309</v>
      </c>
      <c r="J42" s="331" t="s">
        <v>259</v>
      </c>
      <c r="K42" s="331" t="s">
        <v>370</v>
      </c>
      <c r="L42" s="331" t="s">
        <v>257</v>
      </c>
      <c r="M42" s="233">
        <f>VLOOKUP(A52,strtable,3,FALSE)</f>
        <v>0.36107295073610901</v>
      </c>
      <c r="N42" s="233">
        <f>$B$12*0.2029</f>
        <v>7.3261701704356516E-2</v>
      </c>
      <c r="O42" s="220" t="s">
        <v>471</v>
      </c>
      <c r="P42" s="331"/>
      <c r="Q42" s="220" t="s">
        <v>471</v>
      </c>
      <c r="R42" s="220"/>
      <c r="S42" s="328" t="s">
        <v>38</v>
      </c>
      <c r="T42" s="329">
        <f>1+T40+(T40*T41)</f>
        <v>1.1659617810391885</v>
      </c>
      <c r="U42" s="330"/>
      <c r="V42" s="326"/>
      <c r="W42" s="247"/>
      <c r="X42" s="247"/>
      <c r="Y42" s="247"/>
      <c r="Z42" s="247"/>
      <c r="AA42" s="247"/>
    </row>
    <row r="43" spans="1:27" s="232" customFormat="1" ht="12" customHeight="1" x14ac:dyDescent="0.2">
      <c r="A43" s="330">
        <v>3</v>
      </c>
      <c r="B43" s="333" t="s">
        <v>50</v>
      </c>
      <c r="C43" s="332">
        <v>3.86</v>
      </c>
      <c r="D43" s="332">
        <v>20</v>
      </c>
      <c r="E43" s="332">
        <v>20</v>
      </c>
      <c r="F43" s="332">
        <v>90.08</v>
      </c>
      <c r="G43" s="332">
        <f>1000*((-5.6193*10^(-10)*($F$10^4))+(5.115*10^(-8)*($F$10^3))+(-1.1408*10^(-6)*($F$10^2))+(2.4529*10^(-3)*$F$10)+0.998)</f>
        <v>1000.4518097880699</v>
      </c>
      <c r="H43" s="331" t="s">
        <v>256</v>
      </c>
      <c r="I43" s="331" t="s">
        <v>309</v>
      </c>
      <c r="J43" s="331" t="s">
        <v>259</v>
      </c>
      <c r="K43" s="331" t="s">
        <v>371</v>
      </c>
      <c r="L43" s="331" t="s">
        <v>257</v>
      </c>
      <c r="M43" s="233">
        <f>VLOOKUP(A52,strtable,3,FALSE)</f>
        <v>0.36107295073610901</v>
      </c>
      <c r="N43" s="233">
        <f>$B$12*0.2029</f>
        <v>7.3261701704356516E-2</v>
      </c>
      <c r="O43" s="220" t="s">
        <v>378</v>
      </c>
      <c r="P43" s="331">
        <v>89</v>
      </c>
      <c r="Q43" s="220" t="s">
        <v>414</v>
      </c>
      <c r="R43" s="220"/>
      <c r="S43" s="328" t="s">
        <v>39</v>
      </c>
      <c r="T43" s="329">
        <f>1/T42</f>
        <v>0.85766104538068866</v>
      </c>
      <c r="U43" s="330"/>
      <c r="V43" s="326"/>
      <c r="W43" s="247"/>
      <c r="X43" s="247"/>
      <c r="Y43" s="247"/>
      <c r="Z43" s="247"/>
      <c r="AA43" s="247"/>
    </row>
    <row r="44" spans="1:27" s="232" customFormat="1" ht="12" customHeight="1" x14ac:dyDescent="0.2">
      <c r="A44" s="330">
        <v>4</v>
      </c>
      <c r="B44" s="333" t="s">
        <v>51</v>
      </c>
      <c r="C44" s="332">
        <v>2.12</v>
      </c>
      <c r="D44" s="332">
        <v>7.2</v>
      </c>
      <c r="E44" s="332">
        <v>12.44</v>
      </c>
      <c r="F44" s="332">
        <v>98</v>
      </c>
      <c r="G44" s="332">
        <f>1000*((-3.9523*10^(-9)*($F$10^4))+(6.8571*10^(-7)*($F$10^3))+(5.4475*10^(-7)*($F$10^2))+(5.51368*10^(-3)*$F$10)+0.99778)</f>
        <v>1003.2949065076999</v>
      </c>
      <c r="H44" s="331" t="s">
        <v>256</v>
      </c>
      <c r="I44" s="331" t="s">
        <v>309</v>
      </c>
      <c r="J44" s="331" t="s">
        <v>259</v>
      </c>
      <c r="K44" s="331" t="s">
        <v>372</v>
      </c>
      <c r="L44" s="331" t="s">
        <v>257</v>
      </c>
      <c r="M44" s="233">
        <f>VLOOKUP(A52,strtable,3,FALSE)</f>
        <v>0.36107295073610901</v>
      </c>
      <c r="N44" s="233">
        <f>$B$12*0.2029</f>
        <v>7.3261701704356516E-2</v>
      </c>
      <c r="O44" s="220" t="s">
        <v>379</v>
      </c>
      <c r="P44" s="331">
        <v>95</v>
      </c>
      <c r="Q44" s="220" t="s">
        <v>415</v>
      </c>
      <c r="R44" s="220"/>
      <c r="S44" s="328" t="s">
        <v>40</v>
      </c>
      <c r="T44" s="329">
        <f>T40/T42</f>
        <v>0.14233630419330015</v>
      </c>
      <c r="U44" s="330"/>
      <c r="V44" s="326"/>
      <c r="W44" s="247"/>
      <c r="X44" s="247"/>
      <c r="Y44" s="247"/>
      <c r="Z44" s="247"/>
      <c r="AA44" s="247"/>
    </row>
    <row r="45" spans="1:27" s="232" customFormat="1" ht="12" customHeight="1" x14ac:dyDescent="0.2">
      <c r="A45" s="330">
        <v>5</v>
      </c>
      <c r="B45" s="333" t="s">
        <v>52</v>
      </c>
      <c r="C45" s="332">
        <v>-1</v>
      </c>
      <c r="D45" s="332">
        <v>1.92</v>
      </c>
      <c r="E45" s="332">
        <v>20</v>
      </c>
      <c r="F45" s="332">
        <v>98.07</v>
      </c>
      <c r="G45" s="332">
        <f>1000*((-2.0911*10^(-8)*($F$10^4))+(3.4312*10^(-6)*($F$10^3))+(-1.3954*10^(-4)*($F$10^2))+(9.0885*10^(-3)*$F$10)+0.9947)</f>
        <v>1003.6523702890001</v>
      </c>
      <c r="H45" s="331" t="s">
        <v>256</v>
      </c>
      <c r="I45" s="331" t="s">
        <v>309</v>
      </c>
      <c r="J45" s="331" t="s">
        <v>259</v>
      </c>
      <c r="K45" s="331" t="s">
        <v>373</v>
      </c>
      <c r="L45" s="331" t="s">
        <v>257</v>
      </c>
      <c r="M45" s="233">
        <f>VLOOKUP(A52,strtable,3,FALSE)</f>
        <v>0.36107295073610901</v>
      </c>
      <c r="N45" s="233">
        <f>$B$12*0.2029</f>
        <v>7.3261701704356516E-2</v>
      </c>
      <c r="O45" s="220" t="s">
        <v>471</v>
      </c>
      <c r="P45" s="331"/>
      <c r="Q45" s="220" t="s">
        <v>471</v>
      </c>
      <c r="R45" s="220"/>
      <c r="S45" s="328" t="s">
        <v>41</v>
      </c>
      <c r="T45" s="329">
        <f>(T40*T41)/T42</f>
        <v>2.6504260111847642E-6</v>
      </c>
      <c r="U45" s="330"/>
      <c r="V45" s="326"/>
      <c r="W45" s="247"/>
      <c r="X45" s="247"/>
      <c r="Y45" s="247"/>
      <c r="Z45" s="247"/>
      <c r="AA45" s="247"/>
    </row>
    <row r="46" spans="1:27" s="232" customFormat="1" ht="12" customHeight="1" x14ac:dyDescent="0.2">
      <c r="A46" s="330">
        <v>6</v>
      </c>
      <c r="B46" s="324" t="s">
        <v>48</v>
      </c>
      <c r="C46" s="331">
        <v>3.14</v>
      </c>
      <c r="D46" s="331">
        <v>4.7699999999999996</v>
      </c>
      <c r="E46" s="331">
        <v>6.39</v>
      </c>
      <c r="F46" s="331">
        <v>192.13</v>
      </c>
      <c r="G46" s="331">
        <v>1480</v>
      </c>
      <c r="H46" s="331" t="s">
        <v>216</v>
      </c>
      <c r="I46" s="331" t="s">
        <v>310</v>
      </c>
      <c r="J46" s="331" t="s">
        <v>261</v>
      </c>
      <c r="K46" s="331" t="s">
        <v>374</v>
      </c>
      <c r="L46" s="331" t="s">
        <v>258</v>
      </c>
      <c r="M46" s="233">
        <f>(mM_required*F50*N(B7)*J57)/1000</f>
        <v>3.6226265235124386E-3</v>
      </c>
      <c r="N46" s="233">
        <f>$B$12/1000</f>
        <v>3.6107295073610902E-4</v>
      </c>
      <c r="O46" s="220" t="s">
        <v>380</v>
      </c>
      <c r="P46" s="331">
        <v>189</v>
      </c>
      <c r="Q46" s="220" t="s">
        <v>416</v>
      </c>
      <c r="R46" s="220"/>
      <c r="S46" s="328"/>
      <c r="T46" s="330"/>
      <c r="U46" s="330"/>
      <c r="V46" s="326"/>
      <c r="W46" s="247"/>
      <c r="X46" s="247"/>
      <c r="Y46" s="247"/>
      <c r="Z46" s="247"/>
      <c r="AA46" s="247"/>
    </row>
    <row r="47" spans="1:27" s="232" customFormat="1" ht="12" customHeight="1" x14ac:dyDescent="0.2">
      <c r="A47" s="330">
        <v>7</v>
      </c>
      <c r="B47" s="333" t="s">
        <v>53</v>
      </c>
      <c r="C47" s="332">
        <v>2.98</v>
      </c>
      <c r="D47" s="332">
        <v>4.34</v>
      </c>
      <c r="E47" s="332">
        <v>20</v>
      </c>
      <c r="F47" s="332">
        <v>150.09</v>
      </c>
      <c r="G47" s="332">
        <v>1000</v>
      </c>
      <c r="H47" s="331" t="s">
        <v>216</v>
      </c>
      <c r="I47" s="331" t="s">
        <v>310</v>
      </c>
      <c r="J47" s="331" t="s">
        <v>261</v>
      </c>
      <c r="K47" s="331" t="s">
        <v>375</v>
      </c>
      <c r="L47" s="331" t="s">
        <v>258</v>
      </c>
      <c r="M47" s="233">
        <f>(mM_required*F50*N(B7)*J57)/1000</f>
        <v>3.6226265235124386E-3</v>
      </c>
      <c r="N47" s="233">
        <f>$B$12/1000</f>
        <v>3.6107295073610902E-4</v>
      </c>
      <c r="O47" s="220" t="s">
        <v>381</v>
      </c>
      <c r="P47" s="331">
        <v>148</v>
      </c>
      <c r="Q47" s="220" t="s">
        <v>417</v>
      </c>
      <c r="R47" s="220"/>
      <c r="S47" s="328" t="s">
        <v>35</v>
      </c>
      <c r="T47" s="330">
        <f>T37*((T43-T25)+(T27-T45))+10^(-N(B6))-10^(-N(B5))+0.01</f>
        <v>1.0002411886431509E-2</v>
      </c>
      <c r="U47" s="330"/>
      <c r="V47" s="326"/>
      <c r="W47" s="247"/>
      <c r="X47" s="247"/>
      <c r="Y47" s="247"/>
      <c r="Z47" s="247"/>
      <c r="AA47" s="247"/>
    </row>
    <row r="48" spans="1:27" s="232" customFormat="1" ht="12" customHeight="1" x14ac:dyDescent="0.2">
      <c r="A48" s="330">
        <v>8</v>
      </c>
      <c r="B48" s="333" t="s">
        <v>17</v>
      </c>
      <c r="C48" s="332">
        <v>3.4</v>
      </c>
      <c r="D48" s="332">
        <v>5.2</v>
      </c>
      <c r="E48" s="332">
        <v>20</v>
      </c>
      <c r="F48" s="332">
        <v>134.09</v>
      </c>
      <c r="G48" s="332">
        <v>1609</v>
      </c>
      <c r="H48" s="331" t="s">
        <v>216</v>
      </c>
      <c r="I48" s="331" t="s">
        <v>310</v>
      </c>
      <c r="J48" s="331" t="s">
        <v>261</v>
      </c>
      <c r="K48" s="331" t="s">
        <v>376</v>
      </c>
      <c r="L48" s="331" t="s">
        <v>258</v>
      </c>
      <c r="M48" s="233">
        <f>(mM_required*F50*N(B7)*J57)/1000</f>
        <v>3.6226265235124386E-3</v>
      </c>
      <c r="N48" s="233">
        <f>$B$12/1000</f>
        <v>3.6107295073610902E-4</v>
      </c>
      <c r="O48" s="220" t="s">
        <v>382</v>
      </c>
      <c r="P48" s="331">
        <v>132</v>
      </c>
      <c r="Q48" s="220" t="s">
        <v>418</v>
      </c>
      <c r="R48" s="220"/>
      <c r="S48" s="328"/>
      <c r="T48" s="330"/>
      <c r="U48" s="330"/>
      <c r="V48" s="326"/>
      <c r="W48" s="247"/>
      <c r="X48" s="247"/>
      <c r="Y48" s="247"/>
      <c r="Z48" s="247"/>
      <c r="AA48" s="247"/>
    </row>
    <row r="49" spans="1:27" s="232" customFormat="1" ht="12" customHeight="1" x14ac:dyDescent="0.2">
      <c r="A49" s="330"/>
      <c r="B49" s="333"/>
      <c r="C49" s="332"/>
      <c r="D49" s="332"/>
      <c r="E49" s="332"/>
      <c r="F49" s="332"/>
      <c r="G49" s="332"/>
      <c r="H49" s="331"/>
      <c r="I49" s="331"/>
      <c r="J49" s="331"/>
      <c r="K49" s="331"/>
      <c r="L49" s="331"/>
      <c r="M49" s="233"/>
      <c r="N49" s="233"/>
      <c r="O49" s="220"/>
      <c r="P49" s="331"/>
      <c r="Q49" s="331"/>
      <c r="R49" s="220"/>
      <c r="S49" s="328"/>
      <c r="T49" s="330"/>
      <c r="U49" s="330"/>
      <c r="V49" s="326"/>
      <c r="W49" s="247"/>
      <c r="X49" s="247"/>
      <c r="Y49" s="247"/>
      <c r="Z49" s="247"/>
      <c r="AA49" s="247"/>
    </row>
    <row r="50" spans="1:27" s="232" customFormat="1" ht="12" customHeight="1" x14ac:dyDescent="0.2">
      <c r="A50" s="330"/>
      <c r="B50" s="332" t="str">
        <f>VLOOKUP($A$40,table,2,FALSE)</f>
        <v>Phosphoric</v>
      </c>
      <c r="C50" s="332">
        <f>VLOOKUP($A$40,table,3,FALSE)</f>
        <v>2.12</v>
      </c>
      <c r="D50" s="332">
        <f>VLOOKUP($A$40,table,4,FALSE)</f>
        <v>7.2</v>
      </c>
      <c r="E50" s="332">
        <f>VLOOKUP($A$40,table,5,FALSE)</f>
        <v>12.44</v>
      </c>
      <c r="F50" s="332">
        <f>VLOOKUP($A$40,table,6,FALSE)</f>
        <v>98</v>
      </c>
      <c r="G50" s="332">
        <f>VLOOKUP($A$40,table,7,FALSE)</f>
        <v>1003.2949065076999</v>
      </c>
      <c r="H50" s="332" t="str">
        <f>VLOOKUP($A$40,table,8,FALSE)</f>
        <v>(ml)</v>
      </c>
      <c r="I50" s="332" t="str">
        <f>VLOOKUP($A$40,table,9,FALSE)</f>
        <v>(tsp)</v>
      </c>
      <c r="J50" s="332" t="str">
        <f>VLOOKUP($A$40,table,10,FALSE)</f>
        <v>Addition        (mL/gal)</v>
      </c>
      <c r="K50" s="332" t="str">
        <f>VLOOKUP($A$40,table,11,FALSE)</f>
        <v>Phosphoric Acid Required =</v>
      </c>
      <c r="L50" s="332" t="str">
        <f>VLOOKUP($A$40,table,12,FALSE)</f>
        <v>Total Acid Addition (ml)</v>
      </c>
      <c r="M50" s="332">
        <f>VLOOKUP($A$40,table,13,FALSE)</f>
        <v>0.36107295073610901</v>
      </c>
      <c r="N50" s="332">
        <f>VLOOKUP($A$40,table,14,FALSE)</f>
        <v>7.3261701704356516E-2</v>
      </c>
      <c r="O50" s="332" t="str">
        <f>VLOOKUP($A$40,table,15,FALSE)</f>
        <v>Phosphate Added to Water =</v>
      </c>
      <c r="P50" s="332">
        <f>VLOOKUP($A$40,table,16,FALSE)</f>
        <v>95</v>
      </c>
      <c r="Q50" s="332" t="str">
        <f>VLOOKUP($A$40,table,17,FALSE)</f>
        <v>(ppm) Phosphate added to water</v>
      </c>
      <c r="R50" s="220"/>
      <c r="S50" s="330"/>
      <c r="T50" s="330"/>
      <c r="U50" s="330"/>
      <c r="V50" s="326"/>
      <c r="W50" s="247"/>
      <c r="X50" s="247"/>
      <c r="Y50" s="247"/>
      <c r="Z50" s="247"/>
      <c r="AA50" s="247"/>
    </row>
    <row r="51" spans="1:27" s="232" customFormat="1" ht="12" customHeight="1" x14ac:dyDescent="0.2">
      <c r="A51" s="330"/>
      <c r="B51" s="330"/>
      <c r="C51" s="330"/>
      <c r="D51" s="330"/>
      <c r="E51" s="330"/>
      <c r="F51" s="330"/>
      <c r="G51" s="330"/>
      <c r="H51" s="326"/>
      <c r="I51" s="326"/>
      <c r="J51" s="326"/>
      <c r="K51" s="326"/>
      <c r="L51" s="326"/>
      <c r="M51" s="326"/>
      <c r="N51" s="326"/>
      <c r="O51" s="220">
        <f>mM_required*$F$50*N($B$7)*J57</f>
        <v>3.6226265235124386</v>
      </c>
      <c r="P51" s="332" t="s">
        <v>314</v>
      </c>
      <c r="Q51" s="327"/>
      <c r="R51" s="327"/>
      <c r="S51" s="330"/>
      <c r="T51" s="330"/>
      <c r="U51" s="330"/>
      <c r="V51" s="326"/>
      <c r="W51" s="247"/>
      <c r="X51" s="247"/>
      <c r="Y51" s="247"/>
      <c r="Z51" s="247"/>
      <c r="AA51" s="247"/>
    </row>
    <row r="52" spans="1:27" s="232" customFormat="1" ht="12" customHeight="1" x14ac:dyDescent="0.2">
      <c r="A52" s="330">
        <f>INDEX($A$53:$A$56, MATCH(C9,$B$53:$B$56,0))</f>
        <v>1</v>
      </c>
      <c r="B52" s="330"/>
      <c r="C52" s="330"/>
      <c r="D52" s="328" t="s">
        <v>311</v>
      </c>
      <c r="E52" s="328" t="s">
        <v>312</v>
      </c>
      <c r="F52" s="330"/>
      <c r="G52" s="330"/>
      <c r="H52" s="326"/>
      <c r="I52" s="326"/>
      <c r="J52" s="326"/>
      <c r="K52" s="326"/>
      <c r="L52" s="326"/>
      <c r="M52" s="326"/>
      <c r="N52" s="326"/>
      <c r="O52" s="326"/>
      <c r="P52" s="326"/>
      <c r="Q52" s="327"/>
      <c r="R52" s="327"/>
      <c r="S52" s="328"/>
      <c r="T52" s="330"/>
      <c r="U52" s="330"/>
      <c r="V52" s="326"/>
      <c r="W52" s="247"/>
      <c r="X52" s="247"/>
      <c r="Y52" s="247"/>
      <c r="Z52" s="247"/>
      <c r="AA52" s="247"/>
    </row>
    <row r="53" spans="1:27" s="232" customFormat="1" ht="12" customHeight="1" x14ac:dyDescent="0.2">
      <c r="A53" s="330">
        <v>1</v>
      </c>
      <c r="B53" s="333" t="s">
        <v>148</v>
      </c>
      <c r="C53" s="334">
        <f>IF($A$40=9,(Acid_Required/3.657)*J57*N(B7),(((O51)/((N(F10)/100)*((VLOOKUP($A$40,table,7,FALSE)))))))</f>
        <v>0.36107295073610901</v>
      </c>
      <c r="D53" s="335">
        <f>IF($A$40=9,(C53*88.57)/($J$57*$B$7),mM_required*96)</f>
        <v>0.93756812945082391</v>
      </c>
      <c r="E53" s="335">
        <f>IF($A$40=9,(C53*64)/($J$57*$B$7),mM_required*35.5)</f>
        <v>0.34670488120316928</v>
      </c>
      <c r="F53" s="330"/>
      <c r="G53" s="330"/>
      <c r="H53" s="336">
        <v>1</v>
      </c>
      <c r="I53" s="336" t="s">
        <v>282</v>
      </c>
      <c r="J53" s="336">
        <v>3.7850000000000001</v>
      </c>
      <c r="K53" s="326"/>
      <c r="L53" s="336"/>
      <c r="M53" s="336"/>
      <c r="N53" s="326"/>
      <c r="O53" s="326"/>
      <c r="P53" s="326"/>
      <c r="Q53" s="327"/>
      <c r="R53" s="327"/>
      <c r="S53" s="328" t="s">
        <v>54</v>
      </c>
      <c r="T53" s="329">
        <f>10^(N(B6)-C50)</f>
        <v>3019.9517204020176</v>
      </c>
      <c r="U53" s="330"/>
      <c r="V53" s="326"/>
      <c r="W53" s="247"/>
      <c r="X53" s="247"/>
      <c r="Y53" s="247"/>
      <c r="Z53" s="247"/>
      <c r="AA53" s="247"/>
    </row>
    <row r="54" spans="1:27" s="232" customFormat="1" ht="12" customHeight="1" x14ac:dyDescent="0.2">
      <c r="A54" s="330">
        <v>2</v>
      </c>
      <c r="B54" s="333" t="s">
        <v>67</v>
      </c>
      <c r="C54" s="337">
        <f>IF($A$40=9,(Acid_Required/3.657)*J57*N(B7),(Acid_Required/F10)*(N(B7)*J57))</f>
        <v>3.7859128990143265E-2</v>
      </c>
      <c r="D54" s="335">
        <f>IF($A$40=9,(C54*88.57)/($J$57*$B$7),mM_required*96)</f>
        <v>0.93756812945082391</v>
      </c>
      <c r="E54" s="335">
        <f>IF($A$40=9,(C54*64)/($J$57*$B$7),mM_required*35.5)</f>
        <v>0.34670488120316928</v>
      </c>
      <c r="F54" s="330"/>
      <c r="G54" s="330"/>
      <c r="H54" s="336">
        <v>2</v>
      </c>
      <c r="I54" s="336" t="s">
        <v>202</v>
      </c>
      <c r="J54" s="336">
        <v>1</v>
      </c>
      <c r="K54" s="326"/>
      <c r="L54" s="336"/>
      <c r="M54" s="336"/>
      <c r="N54" s="326"/>
      <c r="O54" s="326"/>
      <c r="P54" s="326"/>
      <c r="Q54" s="327"/>
      <c r="R54" s="327"/>
      <c r="S54" s="328" t="s">
        <v>55</v>
      </c>
      <c r="T54" s="329">
        <f>10^(N(B6)-D50)</f>
        <v>2.511886431509576E-2</v>
      </c>
      <c r="U54" s="330"/>
      <c r="V54" s="326"/>
      <c r="W54" s="247"/>
      <c r="X54" s="247"/>
      <c r="Y54" s="247"/>
      <c r="Z54" s="247"/>
      <c r="AA54" s="247"/>
    </row>
    <row r="55" spans="1:27" s="232" customFormat="1" ht="12" customHeight="1" x14ac:dyDescent="0.2">
      <c r="A55" s="330">
        <v>3</v>
      </c>
      <c r="B55" s="333" t="s">
        <v>149</v>
      </c>
      <c r="C55" s="337">
        <f>IF($A$40=9,(Acid_Required/3.657)*J57*N(B7),(Acid_Required/F10)*(N(B7)*J57)/frac)</f>
        <v>3.6965576770535087E-2</v>
      </c>
      <c r="D55" s="335">
        <f>IF($A$40=9,(C55*88.57)/($J$57*$B$7),mM_required*96)</f>
        <v>0.93756812945082391</v>
      </c>
      <c r="E55" s="335">
        <f>IF($A$40=9,(C55*64)/($J$57*$B$7),mM_required*35.5)</f>
        <v>0.34670488120316928</v>
      </c>
      <c r="F55" s="330"/>
      <c r="G55" s="330"/>
      <c r="H55" s="336"/>
      <c r="I55" s="336"/>
      <c r="J55" s="336"/>
      <c r="K55" s="326"/>
      <c r="L55" s="336"/>
      <c r="M55" s="336"/>
      <c r="N55" s="326"/>
      <c r="O55" s="326"/>
      <c r="P55" s="326"/>
      <c r="Q55" s="327"/>
      <c r="R55" s="327"/>
      <c r="S55" s="328" t="s">
        <v>56</v>
      </c>
      <c r="T55" s="329">
        <f>10^(N(B6)-E50)</f>
        <v>1.4454397707459271E-7</v>
      </c>
      <c r="U55" s="330"/>
      <c r="V55" s="326"/>
      <c r="W55" s="247"/>
      <c r="X55" s="247"/>
      <c r="Y55" s="247"/>
      <c r="Z55" s="247"/>
      <c r="AA55" s="247"/>
    </row>
    <row r="56" spans="1:27" s="232" customFormat="1" ht="12" customHeight="1" x14ac:dyDescent="0.2">
      <c r="A56" s="336">
        <v>4</v>
      </c>
      <c r="B56" s="333" t="s">
        <v>260</v>
      </c>
      <c r="C56" s="326"/>
      <c r="D56" s="327"/>
      <c r="E56" s="330"/>
      <c r="F56" s="330"/>
      <c r="G56" s="330"/>
      <c r="H56" s="330"/>
      <c r="I56" s="330"/>
      <c r="J56" s="330"/>
      <c r="K56" s="330"/>
      <c r="L56" s="336"/>
      <c r="M56" s="336"/>
      <c r="N56" s="330"/>
      <c r="O56" s="330"/>
      <c r="P56" s="330"/>
      <c r="Q56" s="327"/>
      <c r="R56" s="327"/>
      <c r="S56" s="328" t="s">
        <v>57</v>
      </c>
      <c r="T56" s="329">
        <f>1/(1+T53+(T53*T54)+(T53*T54*T55))</f>
        <v>3.2291298628285418E-4</v>
      </c>
      <c r="U56" s="330"/>
      <c r="V56" s="326"/>
      <c r="W56" s="247"/>
      <c r="X56" s="247"/>
      <c r="Y56" s="247"/>
      <c r="Z56" s="247"/>
      <c r="AA56" s="247"/>
    </row>
    <row r="57" spans="1:27" s="232" customFormat="1" ht="12" customHeight="1" x14ac:dyDescent="0.2">
      <c r="A57" s="336"/>
      <c r="B57" s="332" t="str">
        <f>VLOOKUP($A$52,strtable,2,FALSE)</f>
        <v>%</v>
      </c>
      <c r="C57" s="326"/>
      <c r="D57" s="327"/>
      <c r="E57" s="330"/>
      <c r="F57" s="330"/>
      <c r="G57" s="330"/>
      <c r="H57" s="338">
        <f>VLOOKUP('1. Water Report Input'!$H$7,sprgvaritable,1,FALSE)</f>
        <v>1</v>
      </c>
      <c r="I57" s="339" t="str">
        <f>VLOOKUP('1. Water Report Input'!$H$7,sprgvaritable,2,FALSE)</f>
        <v>Gallons</v>
      </c>
      <c r="J57" s="338">
        <f>VLOOKUP('1. Water Report Input'!$H$7,sprgvaritable,3,FALSE)</f>
        <v>3.7850000000000001</v>
      </c>
      <c r="K57" s="330"/>
      <c r="L57" s="336"/>
      <c r="M57" s="336"/>
      <c r="N57" s="330"/>
      <c r="O57" s="330"/>
      <c r="P57" s="330"/>
      <c r="Q57" s="327"/>
      <c r="R57" s="327"/>
      <c r="S57" s="328" t="s">
        <v>58</v>
      </c>
      <c r="T57" s="329">
        <f>T56</f>
        <v>3.2291298628285418E-4</v>
      </c>
      <c r="U57" s="330"/>
      <c r="V57" s="326"/>
      <c r="W57" s="247"/>
      <c r="X57" s="247"/>
      <c r="Y57" s="247"/>
      <c r="Z57" s="247"/>
      <c r="AA57" s="247"/>
    </row>
    <row r="58" spans="1:27" s="232" customFormat="1" ht="12" customHeight="1" x14ac:dyDescent="0.2">
      <c r="A58" s="336"/>
      <c r="B58" s="336"/>
      <c r="C58" s="326"/>
      <c r="D58" s="327"/>
      <c r="E58" s="330"/>
      <c r="F58" s="330"/>
      <c r="G58" s="330"/>
      <c r="H58" s="330"/>
      <c r="I58" s="330"/>
      <c r="J58" s="330"/>
      <c r="K58" s="330"/>
      <c r="L58" s="336"/>
      <c r="M58" s="336"/>
      <c r="N58" s="330"/>
      <c r="O58" s="330"/>
      <c r="P58" s="330"/>
      <c r="Q58" s="327"/>
      <c r="R58" s="327"/>
      <c r="S58" s="328" t="s">
        <v>59</v>
      </c>
      <c r="T58" s="329">
        <f>T56*T53</f>
        <v>0.97518162846505863</v>
      </c>
      <c r="U58" s="330"/>
      <c r="V58" s="326"/>
      <c r="W58" s="247"/>
      <c r="X58" s="247"/>
      <c r="Y58" s="247"/>
      <c r="Z58" s="247"/>
      <c r="AA58" s="247"/>
    </row>
    <row r="59" spans="1:27" s="232" customFormat="1" ht="12" customHeight="1" x14ac:dyDescent="0.2">
      <c r="A59" s="336"/>
      <c r="B59" s="336"/>
      <c r="C59" s="326"/>
      <c r="D59" s="327"/>
      <c r="E59" s="330"/>
      <c r="F59" s="330"/>
      <c r="G59" s="330"/>
      <c r="H59" s="330"/>
      <c r="I59" s="330"/>
      <c r="J59" s="330"/>
      <c r="K59" s="330"/>
      <c r="L59" s="336"/>
      <c r="M59" s="336"/>
      <c r="N59" s="330"/>
      <c r="O59" s="330"/>
      <c r="P59" s="330"/>
      <c r="Q59" s="327"/>
      <c r="R59" s="327"/>
      <c r="S59" s="328" t="s">
        <v>60</v>
      </c>
      <c r="T59" s="329">
        <f>T53*T54*T56</f>
        <v>2.4495455007987933E-2</v>
      </c>
      <c r="U59" s="330"/>
      <c r="V59" s="326"/>
      <c r="W59" s="247"/>
      <c r="X59" s="247"/>
      <c r="Y59" s="247"/>
      <c r="Z59" s="247"/>
      <c r="AA59" s="247"/>
    </row>
    <row r="60" spans="1:27" s="232" customFormat="1" ht="12" customHeight="1" x14ac:dyDescent="0.2">
      <c r="A60" s="336"/>
      <c r="B60" s="336"/>
      <c r="C60" s="326"/>
      <c r="D60" s="327"/>
      <c r="E60" s="330"/>
      <c r="F60" s="330"/>
      <c r="G60" s="330"/>
      <c r="H60" s="330"/>
      <c r="I60" s="330"/>
      <c r="J60" s="330"/>
      <c r="K60" s="330"/>
      <c r="L60" s="330"/>
      <c r="M60" s="330"/>
      <c r="N60" s="330"/>
      <c r="O60" s="330"/>
      <c r="P60" s="330"/>
      <c r="Q60" s="327"/>
      <c r="R60" s="327"/>
      <c r="S60" s="328" t="s">
        <v>61</v>
      </c>
      <c r="T60" s="329">
        <f>T53*T54*T55*T56</f>
        <v>3.5406704871063252E-9</v>
      </c>
      <c r="U60" s="330"/>
      <c r="V60" s="326"/>
      <c r="W60" s="247"/>
      <c r="X60" s="247"/>
      <c r="Y60" s="247"/>
      <c r="Z60" s="247"/>
      <c r="AA60" s="247"/>
    </row>
    <row r="61" spans="1:27" s="232" customFormat="1" ht="12" customHeight="1" x14ac:dyDescent="0.2">
      <c r="A61" s="336"/>
      <c r="B61" s="336"/>
      <c r="C61" s="326"/>
      <c r="D61" s="327"/>
      <c r="E61" s="330"/>
      <c r="F61" s="330"/>
      <c r="G61" s="330"/>
      <c r="H61" s="330"/>
      <c r="I61" s="330"/>
      <c r="J61" s="330"/>
      <c r="K61" s="330"/>
      <c r="L61" s="330"/>
      <c r="M61" s="330"/>
      <c r="N61" s="330"/>
      <c r="O61" s="330"/>
      <c r="P61" s="330"/>
      <c r="Q61" s="327"/>
      <c r="R61" s="327"/>
      <c r="S61" s="328" t="s">
        <v>62</v>
      </c>
      <c r="T61" s="329">
        <f>T58+(2*T59)+(3*T60)</f>
        <v>1.024172549103046</v>
      </c>
      <c r="U61" s="330" t="s">
        <v>315</v>
      </c>
      <c r="V61" s="326"/>
      <c r="W61" s="247"/>
      <c r="X61" s="247"/>
      <c r="Y61" s="247"/>
      <c r="Z61" s="247"/>
      <c r="AA61" s="247"/>
    </row>
    <row r="62" spans="1:27" s="232" customFormat="1" ht="12" customHeight="1" x14ac:dyDescent="0.2">
      <c r="A62" s="336"/>
      <c r="B62" s="336"/>
      <c r="C62" s="326"/>
      <c r="D62" s="327"/>
      <c r="E62" s="330"/>
      <c r="F62" s="330"/>
      <c r="G62" s="330"/>
      <c r="H62" s="330"/>
      <c r="I62" s="330"/>
      <c r="J62" s="330"/>
      <c r="K62" s="330"/>
      <c r="L62" s="330"/>
      <c r="M62" s="330"/>
      <c r="N62" s="330"/>
      <c r="O62" s="330"/>
      <c r="P62" s="330"/>
      <c r="Q62" s="327"/>
      <c r="R62" s="327"/>
      <c r="S62" s="330"/>
      <c r="T62" s="330"/>
      <c r="U62" s="330"/>
      <c r="V62" s="326"/>
      <c r="W62" s="247"/>
      <c r="X62" s="247"/>
      <c r="Y62" s="247"/>
      <c r="Z62" s="247"/>
      <c r="AA62" s="247"/>
    </row>
    <row r="63" spans="1:27" s="232" customFormat="1" ht="12" customHeight="1" x14ac:dyDescent="0.2">
      <c r="A63" s="336"/>
      <c r="B63" s="336"/>
      <c r="C63" s="326"/>
      <c r="D63" s="327"/>
      <c r="E63" s="330"/>
      <c r="F63" s="330"/>
      <c r="G63" s="330"/>
      <c r="H63" s="330"/>
      <c r="I63" s="330"/>
      <c r="J63" s="330"/>
      <c r="K63" s="330"/>
      <c r="L63" s="330"/>
      <c r="M63" s="330"/>
      <c r="N63" s="330"/>
      <c r="O63" s="330"/>
      <c r="P63" s="330"/>
      <c r="Q63" s="327"/>
      <c r="R63" s="327"/>
      <c r="S63" s="328" t="s">
        <v>63</v>
      </c>
      <c r="T63" s="334">
        <f>Acid_Required/frac</f>
        <v>9.7663346817794157E-3</v>
      </c>
      <c r="U63" s="330" t="s">
        <v>313</v>
      </c>
      <c r="V63" s="326"/>
      <c r="W63" s="247"/>
      <c r="X63" s="247"/>
      <c r="Y63" s="247"/>
      <c r="Z63" s="247"/>
      <c r="AA63" s="247"/>
    </row>
    <row r="64" spans="1:27" s="232" customFormat="1" ht="12" customHeight="1" x14ac:dyDescent="0.2">
      <c r="A64" s="336"/>
      <c r="B64" s="336"/>
      <c r="C64" s="326"/>
      <c r="D64" s="327"/>
      <c r="E64" s="330"/>
      <c r="F64" s="330"/>
      <c r="G64" s="330"/>
      <c r="H64" s="330"/>
      <c r="I64" s="330"/>
      <c r="J64" s="330"/>
      <c r="K64" s="330"/>
      <c r="L64" s="330"/>
      <c r="M64" s="330"/>
      <c r="N64" s="330"/>
      <c r="O64" s="330"/>
      <c r="P64" s="330"/>
      <c r="Q64" s="327"/>
      <c r="R64" s="327"/>
      <c r="S64" s="330"/>
      <c r="T64" s="330"/>
      <c r="U64" s="330"/>
      <c r="V64" s="326"/>
      <c r="W64" s="247"/>
      <c r="X64" s="247"/>
      <c r="Y64" s="247"/>
      <c r="Z64" s="247"/>
      <c r="AA64" s="247"/>
    </row>
    <row r="65" spans="1:27" s="232" customFormat="1" x14ac:dyDescent="0.2">
      <c r="A65" s="326"/>
      <c r="B65" s="330"/>
      <c r="C65" s="330"/>
      <c r="D65" s="330"/>
      <c r="E65" s="330"/>
      <c r="F65" s="330"/>
      <c r="G65" s="330"/>
      <c r="H65" s="330"/>
      <c r="I65" s="330"/>
      <c r="J65" s="330"/>
      <c r="K65" s="330"/>
      <c r="L65" s="330"/>
      <c r="M65" s="330"/>
      <c r="N65" s="330"/>
      <c r="O65" s="330"/>
      <c r="P65" s="330"/>
      <c r="Q65" s="327"/>
      <c r="R65" s="327"/>
      <c r="S65" s="327"/>
      <c r="T65" s="327"/>
      <c r="U65" s="327"/>
      <c r="V65" s="326"/>
      <c r="W65" s="247"/>
      <c r="X65" s="247"/>
      <c r="Y65" s="247"/>
      <c r="Z65" s="247"/>
      <c r="AA65" s="247"/>
    </row>
    <row r="66" spans="1:27" s="232" customFormat="1" x14ac:dyDescent="0.2">
      <c r="A66" s="326"/>
      <c r="B66" s="327"/>
      <c r="C66" s="327"/>
      <c r="D66" s="327"/>
      <c r="E66" s="327"/>
      <c r="F66" s="327"/>
      <c r="G66" s="327"/>
      <c r="H66" s="327"/>
      <c r="I66" s="327"/>
      <c r="J66" s="327"/>
      <c r="K66" s="327"/>
      <c r="L66" s="327"/>
      <c r="M66" s="327"/>
      <c r="N66" s="327"/>
      <c r="O66" s="327"/>
      <c r="P66" s="327"/>
      <c r="Q66" s="327"/>
      <c r="R66" s="327"/>
      <c r="S66" s="327"/>
      <c r="T66" s="327"/>
      <c r="U66" s="327"/>
      <c r="V66" s="326"/>
      <c r="W66" s="247"/>
      <c r="X66" s="247"/>
      <c r="Y66" s="247"/>
      <c r="Z66" s="247"/>
      <c r="AA66" s="247"/>
    </row>
    <row r="67" spans="1:27" s="232" customFormat="1" x14ac:dyDescent="0.2">
      <c r="A67" s="323"/>
      <c r="B67" s="324"/>
      <c r="C67" s="324"/>
      <c r="D67" s="324"/>
      <c r="E67" s="324"/>
      <c r="F67" s="324"/>
      <c r="G67" s="325"/>
      <c r="H67" s="324"/>
      <c r="I67" s="324"/>
      <c r="J67" s="324"/>
      <c r="K67" s="326"/>
      <c r="L67" s="326"/>
      <c r="M67" s="326"/>
      <c r="N67" s="326"/>
      <c r="O67" s="326"/>
      <c r="P67" s="326"/>
      <c r="Q67" s="327"/>
      <c r="R67" s="327"/>
      <c r="S67" s="328"/>
      <c r="T67" s="329"/>
      <c r="U67" s="330"/>
      <c r="V67" s="326"/>
      <c r="W67" s="247"/>
      <c r="X67" s="247"/>
      <c r="Y67" s="247"/>
      <c r="Z67" s="247"/>
      <c r="AA67" s="247"/>
    </row>
    <row r="68" spans="1:27" s="232" customFormat="1" x14ac:dyDescent="0.2">
      <c r="A68" s="323"/>
      <c r="B68" s="324"/>
      <c r="C68" s="331"/>
      <c r="D68" s="331"/>
      <c r="E68" s="331"/>
      <c r="F68" s="331"/>
      <c r="G68" s="332"/>
      <c r="H68" s="331"/>
      <c r="I68" s="331"/>
      <c r="J68" s="331"/>
      <c r="K68" s="331"/>
      <c r="L68" s="331"/>
      <c r="M68" s="233"/>
      <c r="N68" s="233"/>
      <c r="O68" s="220"/>
      <c r="P68" s="331"/>
      <c r="Q68" s="220"/>
      <c r="R68" s="220"/>
      <c r="S68" s="328"/>
      <c r="T68" s="329"/>
      <c r="U68" s="330"/>
      <c r="V68" s="326"/>
      <c r="W68" s="247"/>
      <c r="X68" s="247"/>
      <c r="Y68" s="247"/>
      <c r="Z68" s="247"/>
      <c r="AA68" s="247"/>
    </row>
    <row r="69" spans="1:27" s="232" customFormat="1" x14ac:dyDescent="0.2">
      <c r="A69" s="323"/>
      <c r="B69" s="333"/>
      <c r="C69" s="332"/>
      <c r="D69" s="332"/>
      <c r="E69" s="332"/>
      <c r="F69" s="332"/>
      <c r="G69" s="332"/>
      <c r="H69" s="331"/>
      <c r="I69" s="331"/>
      <c r="J69" s="331"/>
      <c r="K69" s="331"/>
      <c r="L69" s="331"/>
      <c r="M69" s="233"/>
      <c r="N69" s="233"/>
      <c r="O69" s="220"/>
      <c r="P69" s="331"/>
      <c r="Q69" s="220"/>
      <c r="R69" s="220"/>
      <c r="S69" s="328"/>
      <c r="T69" s="329"/>
      <c r="U69" s="330"/>
      <c r="V69" s="326"/>
      <c r="W69" s="247"/>
      <c r="X69" s="247"/>
      <c r="Y69" s="247"/>
      <c r="Z69" s="247"/>
      <c r="AA69" s="247"/>
    </row>
    <row r="70" spans="1:27" s="232" customFormat="1" x14ac:dyDescent="0.2">
      <c r="A70" s="330"/>
      <c r="B70" s="333"/>
      <c r="C70" s="332"/>
      <c r="D70" s="332"/>
      <c r="E70" s="332"/>
      <c r="F70" s="332"/>
      <c r="G70" s="332"/>
      <c r="H70" s="331"/>
      <c r="I70" s="331"/>
      <c r="J70" s="331"/>
      <c r="K70" s="331"/>
      <c r="L70" s="331"/>
      <c r="M70" s="233"/>
      <c r="N70" s="233"/>
      <c r="O70" s="220"/>
      <c r="P70" s="331"/>
      <c r="Q70" s="220"/>
      <c r="R70" s="220"/>
      <c r="S70" s="328"/>
      <c r="T70" s="329"/>
      <c r="U70" s="330"/>
      <c r="V70" s="326"/>
      <c r="W70" s="247"/>
      <c r="X70" s="247"/>
      <c r="Y70" s="247"/>
      <c r="Z70" s="247"/>
      <c r="AA70" s="247"/>
    </row>
    <row r="71" spans="1:27" s="232" customFormat="1" x14ac:dyDescent="0.2">
      <c r="A71" s="330"/>
      <c r="B71" s="333"/>
      <c r="C71" s="332"/>
      <c r="D71" s="332"/>
      <c r="E71" s="332"/>
      <c r="F71" s="332"/>
      <c r="G71" s="332"/>
      <c r="H71" s="331"/>
      <c r="I71" s="331"/>
      <c r="J71" s="331"/>
      <c r="K71" s="331"/>
      <c r="L71" s="331"/>
      <c r="M71" s="233"/>
      <c r="N71" s="233"/>
      <c r="O71" s="220"/>
      <c r="P71" s="331"/>
      <c r="Q71" s="220"/>
      <c r="R71" s="220"/>
      <c r="S71" s="328"/>
      <c r="T71" s="329"/>
      <c r="U71" s="330"/>
      <c r="V71" s="326"/>
      <c r="W71" s="247"/>
      <c r="X71" s="247"/>
      <c r="Y71" s="247"/>
      <c r="Z71" s="247"/>
      <c r="AA71" s="247"/>
    </row>
    <row r="72" spans="1:27" s="232" customFormat="1" x14ac:dyDescent="0.2">
      <c r="A72" s="330"/>
      <c r="B72" s="333"/>
      <c r="C72" s="332"/>
      <c r="D72" s="332"/>
      <c r="E72" s="332"/>
      <c r="F72" s="332"/>
      <c r="G72" s="332"/>
      <c r="H72" s="331"/>
      <c r="I72" s="331"/>
      <c r="J72" s="331"/>
      <c r="K72" s="331"/>
      <c r="L72" s="331"/>
      <c r="M72" s="233"/>
      <c r="N72" s="233"/>
      <c r="O72" s="220"/>
      <c r="P72" s="331"/>
      <c r="Q72" s="220"/>
      <c r="R72" s="220"/>
      <c r="S72" s="328"/>
      <c r="T72" s="329"/>
      <c r="U72" s="330"/>
      <c r="V72" s="326"/>
      <c r="W72" s="247"/>
      <c r="X72" s="247"/>
      <c r="Y72" s="247"/>
      <c r="Z72" s="247"/>
      <c r="AA72" s="247"/>
    </row>
    <row r="73" spans="1:27" s="232" customFormat="1" x14ac:dyDescent="0.2">
      <c r="A73" s="330"/>
      <c r="B73" s="324"/>
      <c r="C73" s="331"/>
      <c r="D73" s="331"/>
      <c r="E73" s="331"/>
      <c r="F73" s="331"/>
      <c r="G73" s="331"/>
      <c r="H73" s="331"/>
      <c r="I73" s="331"/>
      <c r="J73" s="331"/>
      <c r="K73" s="331"/>
      <c r="L73" s="331"/>
      <c r="M73" s="233"/>
      <c r="N73" s="233"/>
      <c r="O73" s="220"/>
      <c r="P73" s="331"/>
      <c r="Q73" s="220"/>
      <c r="R73" s="220"/>
      <c r="S73" s="328"/>
      <c r="T73" s="329"/>
      <c r="U73" s="330"/>
      <c r="V73" s="326"/>
      <c r="W73" s="247"/>
      <c r="X73" s="247"/>
      <c r="Y73" s="247"/>
      <c r="Z73" s="247"/>
      <c r="AA73" s="247"/>
    </row>
    <row r="74" spans="1:27" s="232" customFormat="1" x14ac:dyDescent="0.2">
      <c r="A74" s="330"/>
      <c r="B74" s="333"/>
      <c r="C74" s="332"/>
      <c r="D74" s="332"/>
      <c r="E74" s="332"/>
      <c r="F74" s="332"/>
      <c r="G74" s="332"/>
      <c r="H74" s="331"/>
      <c r="I74" s="331"/>
      <c r="J74" s="331"/>
      <c r="K74" s="331"/>
      <c r="L74" s="331"/>
      <c r="M74" s="233"/>
      <c r="N74" s="233"/>
      <c r="O74" s="220"/>
      <c r="P74" s="331"/>
      <c r="Q74" s="220"/>
      <c r="R74" s="220"/>
      <c r="S74" s="328"/>
      <c r="T74" s="329"/>
      <c r="U74" s="330"/>
      <c r="V74" s="326"/>
      <c r="W74" s="247"/>
      <c r="X74" s="247"/>
      <c r="Y74" s="247"/>
      <c r="Z74" s="247"/>
      <c r="AA74" s="247"/>
    </row>
    <row r="75" spans="1:27" s="232" customFormat="1" x14ac:dyDescent="0.2">
      <c r="A75" s="330"/>
      <c r="B75" s="333"/>
      <c r="C75" s="332"/>
      <c r="D75" s="332"/>
      <c r="E75" s="332"/>
      <c r="F75" s="332"/>
      <c r="G75" s="332"/>
      <c r="H75" s="331"/>
      <c r="I75" s="331"/>
      <c r="J75" s="331"/>
      <c r="K75" s="331"/>
      <c r="L75" s="331"/>
      <c r="M75" s="233"/>
      <c r="N75" s="233"/>
      <c r="O75" s="220"/>
      <c r="P75" s="331"/>
      <c r="Q75" s="220"/>
      <c r="R75" s="220"/>
      <c r="S75" s="328"/>
      <c r="T75" s="329"/>
      <c r="U75" s="330"/>
      <c r="V75" s="326"/>
      <c r="W75" s="247"/>
      <c r="X75" s="247"/>
      <c r="Y75" s="247"/>
      <c r="Z75" s="247"/>
      <c r="AA75" s="247"/>
    </row>
    <row r="76" spans="1:27" s="232" customFormat="1" x14ac:dyDescent="0.2">
      <c r="A76" s="330"/>
      <c r="B76" s="333"/>
      <c r="C76" s="332"/>
      <c r="D76" s="332"/>
      <c r="E76" s="332"/>
      <c r="F76" s="332"/>
      <c r="G76" s="332"/>
      <c r="H76" s="331"/>
      <c r="I76" s="331"/>
      <c r="J76" s="331"/>
      <c r="K76" s="331"/>
      <c r="L76" s="331"/>
      <c r="M76" s="233"/>
      <c r="N76" s="233"/>
      <c r="O76" s="220"/>
      <c r="P76" s="331"/>
      <c r="Q76" s="327"/>
      <c r="R76" s="220"/>
      <c r="S76" s="330"/>
      <c r="T76" s="330"/>
      <c r="U76" s="330"/>
      <c r="V76" s="326"/>
      <c r="W76" s="247"/>
      <c r="X76" s="247"/>
      <c r="Y76" s="247"/>
      <c r="Z76" s="247"/>
      <c r="AA76" s="247"/>
    </row>
    <row r="77" spans="1:27" s="232" customFormat="1" x14ac:dyDescent="0.2">
      <c r="A77" s="330"/>
      <c r="B77" s="332"/>
      <c r="C77" s="332"/>
      <c r="D77" s="332"/>
      <c r="E77" s="332"/>
      <c r="F77" s="332"/>
      <c r="G77" s="332"/>
      <c r="H77" s="332"/>
      <c r="I77" s="332"/>
      <c r="J77" s="332"/>
      <c r="K77" s="332"/>
      <c r="L77" s="332"/>
      <c r="M77" s="332"/>
      <c r="N77" s="332"/>
      <c r="O77" s="332"/>
      <c r="P77" s="332"/>
      <c r="Q77" s="332"/>
      <c r="R77" s="332"/>
      <c r="S77" s="328"/>
      <c r="T77" s="334"/>
      <c r="U77" s="330"/>
      <c r="V77" s="326"/>
      <c r="W77" s="247"/>
      <c r="X77" s="247"/>
      <c r="Y77" s="247"/>
      <c r="Z77" s="247"/>
      <c r="AA77" s="247"/>
    </row>
    <row r="78" spans="1:27" s="232" customFormat="1" x14ac:dyDescent="0.2">
      <c r="A78" s="326"/>
      <c r="B78" s="327"/>
      <c r="C78" s="327"/>
      <c r="D78" s="327"/>
      <c r="E78" s="327"/>
      <c r="F78" s="327"/>
      <c r="G78" s="327"/>
      <c r="H78" s="327"/>
      <c r="I78" s="327"/>
      <c r="J78" s="327"/>
      <c r="K78" s="327"/>
      <c r="L78" s="327"/>
      <c r="M78" s="327"/>
      <c r="N78" s="327"/>
      <c r="O78" s="220"/>
      <c r="P78" s="332"/>
      <c r="Q78" s="327"/>
      <c r="R78" s="326"/>
      <c r="S78" s="326"/>
      <c r="T78" s="326"/>
      <c r="U78" s="326"/>
      <c r="V78" s="326"/>
      <c r="W78" s="247"/>
      <c r="X78" s="247"/>
      <c r="Y78" s="247"/>
      <c r="Z78" s="247"/>
      <c r="AA78" s="247"/>
    </row>
    <row r="79" spans="1:27" s="232" customFormat="1" x14ac:dyDescent="0.2">
      <c r="A79" s="330"/>
      <c r="B79" s="330"/>
      <c r="C79" s="330"/>
      <c r="D79" s="328"/>
      <c r="E79" s="328"/>
      <c r="F79" s="327"/>
      <c r="G79" s="327"/>
      <c r="H79" s="327"/>
      <c r="I79" s="327"/>
      <c r="J79" s="327"/>
      <c r="K79" s="327"/>
      <c r="L79" s="327"/>
      <c r="M79" s="327"/>
      <c r="N79" s="327"/>
      <c r="O79" s="327"/>
      <c r="P79" s="327"/>
      <c r="Q79" s="327"/>
      <c r="R79" s="326"/>
      <c r="S79" s="326"/>
      <c r="T79" s="326"/>
      <c r="U79" s="326"/>
      <c r="V79" s="326"/>
      <c r="W79" s="247"/>
      <c r="X79" s="247"/>
      <c r="Y79" s="247"/>
      <c r="Z79" s="247"/>
      <c r="AA79" s="247"/>
    </row>
    <row r="80" spans="1:27" s="232" customFormat="1" x14ac:dyDescent="0.2">
      <c r="A80" s="330"/>
      <c r="B80" s="333"/>
      <c r="C80" s="334"/>
      <c r="D80" s="335"/>
      <c r="E80" s="335"/>
      <c r="F80" s="327"/>
      <c r="G80" s="327"/>
      <c r="H80" s="327"/>
      <c r="I80" s="327"/>
      <c r="J80" s="327"/>
      <c r="K80" s="327"/>
      <c r="L80" s="327"/>
      <c r="M80" s="327"/>
      <c r="N80" s="327"/>
      <c r="O80" s="327"/>
      <c r="P80" s="327"/>
      <c r="Q80" s="327"/>
      <c r="R80" s="326"/>
      <c r="S80" s="326"/>
      <c r="T80" s="326"/>
      <c r="U80" s="326"/>
      <c r="V80" s="326"/>
      <c r="W80" s="247"/>
      <c r="X80" s="247"/>
      <c r="Y80" s="247"/>
      <c r="Z80" s="247"/>
      <c r="AA80" s="247"/>
    </row>
    <row r="81" spans="1:27" s="232" customFormat="1" x14ac:dyDescent="0.2">
      <c r="A81" s="330"/>
      <c r="B81" s="333"/>
      <c r="C81" s="337"/>
      <c r="D81" s="335"/>
      <c r="E81" s="335"/>
      <c r="F81" s="327"/>
      <c r="G81" s="327"/>
      <c r="H81" s="327"/>
      <c r="I81" s="327"/>
      <c r="J81" s="327"/>
      <c r="K81" s="327"/>
      <c r="L81" s="327"/>
      <c r="M81" s="327"/>
      <c r="N81" s="327"/>
      <c r="O81" s="327"/>
      <c r="P81" s="327"/>
      <c r="Q81" s="327"/>
      <c r="R81" s="326"/>
      <c r="S81" s="326"/>
      <c r="T81" s="326"/>
      <c r="U81" s="326"/>
      <c r="V81" s="326"/>
      <c r="W81" s="247"/>
      <c r="X81" s="247"/>
      <c r="Y81" s="247"/>
      <c r="Z81" s="247"/>
      <c r="AA81" s="247"/>
    </row>
    <row r="82" spans="1:27" s="232" customFormat="1" x14ac:dyDescent="0.2">
      <c r="A82" s="330"/>
      <c r="B82" s="333"/>
      <c r="C82" s="337"/>
      <c r="D82" s="335"/>
      <c r="E82" s="335"/>
      <c r="F82" s="327"/>
      <c r="G82" s="327"/>
      <c r="H82" s="327"/>
      <c r="I82" s="327"/>
      <c r="J82" s="327"/>
      <c r="K82" s="327"/>
      <c r="L82" s="327"/>
      <c r="M82" s="327"/>
      <c r="N82" s="327"/>
      <c r="O82" s="327"/>
      <c r="P82" s="327"/>
      <c r="Q82" s="327"/>
      <c r="R82" s="326"/>
      <c r="S82" s="326"/>
      <c r="T82" s="326"/>
      <c r="U82" s="326"/>
      <c r="V82" s="326"/>
      <c r="W82" s="247"/>
      <c r="X82" s="247"/>
      <c r="Y82" s="247"/>
      <c r="Z82" s="247"/>
      <c r="AA82" s="247"/>
    </row>
    <row r="83" spans="1:27" s="232" customFormat="1" x14ac:dyDescent="0.2">
      <c r="A83" s="336"/>
      <c r="B83" s="333"/>
      <c r="C83" s="326"/>
      <c r="D83" s="327"/>
      <c r="E83" s="330"/>
      <c r="F83" s="327"/>
      <c r="G83" s="327"/>
      <c r="H83" s="327"/>
      <c r="I83" s="327"/>
      <c r="J83" s="327"/>
      <c r="K83" s="327"/>
      <c r="L83" s="327"/>
      <c r="M83" s="327"/>
      <c r="N83" s="327"/>
      <c r="O83" s="327"/>
      <c r="P83" s="327"/>
      <c r="Q83" s="326"/>
      <c r="R83" s="326"/>
      <c r="S83" s="326"/>
      <c r="T83" s="326"/>
      <c r="U83" s="326"/>
      <c r="V83" s="326"/>
      <c r="W83" s="247"/>
      <c r="X83" s="247"/>
      <c r="Y83" s="247"/>
      <c r="Z83" s="247"/>
      <c r="AA83" s="247"/>
    </row>
    <row r="84" spans="1:27" s="232" customFormat="1" x14ac:dyDescent="0.2">
      <c r="A84" s="336"/>
      <c r="B84" s="332"/>
      <c r="C84" s="326"/>
      <c r="D84" s="327"/>
      <c r="E84" s="330"/>
      <c r="F84" s="327"/>
      <c r="G84" s="327"/>
      <c r="H84" s="327"/>
      <c r="I84" s="327"/>
      <c r="J84" s="327"/>
      <c r="K84" s="327"/>
      <c r="L84" s="327"/>
      <c r="M84" s="327"/>
      <c r="N84" s="327"/>
      <c r="O84" s="327"/>
      <c r="P84" s="327"/>
      <c r="Q84" s="326"/>
      <c r="R84" s="326"/>
      <c r="S84" s="326"/>
      <c r="T84" s="326"/>
      <c r="U84" s="326"/>
      <c r="V84" s="326"/>
      <c r="W84" s="247"/>
      <c r="X84" s="247"/>
      <c r="Y84" s="247"/>
      <c r="Z84" s="247"/>
      <c r="AA84" s="247"/>
    </row>
    <row r="85" spans="1:27" s="232" customFormat="1" x14ac:dyDescent="0.2">
      <c r="A85" s="326"/>
      <c r="B85" s="326"/>
      <c r="C85" s="326"/>
      <c r="D85" s="326"/>
      <c r="E85" s="326"/>
      <c r="F85" s="326"/>
      <c r="G85" s="326"/>
      <c r="H85" s="326"/>
      <c r="I85" s="326"/>
      <c r="J85" s="326"/>
      <c r="K85" s="326"/>
      <c r="L85" s="326"/>
      <c r="M85" s="326"/>
      <c r="N85" s="326"/>
      <c r="O85" s="326"/>
      <c r="P85" s="326"/>
      <c r="Q85" s="326"/>
      <c r="R85" s="326"/>
      <c r="S85" s="326"/>
      <c r="T85" s="326"/>
      <c r="U85" s="326"/>
      <c r="V85" s="326"/>
      <c r="W85" s="247"/>
      <c r="X85" s="247"/>
      <c r="Y85" s="247"/>
      <c r="Z85" s="247"/>
      <c r="AA85" s="247"/>
    </row>
    <row r="86" spans="1:27" s="232" customFormat="1" x14ac:dyDescent="0.2">
      <c r="A86" s="326"/>
      <c r="B86" s="326"/>
      <c r="C86" s="326"/>
      <c r="D86" s="326"/>
      <c r="E86" s="326"/>
      <c r="F86" s="326"/>
      <c r="G86" s="326"/>
      <c r="H86" s="326"/>
      <c r="I86" s="326"/>
      <c r="J86" s="326"/>
      <c r="K86" s="326"/>
      <c r="L86" s="326"/>
      <c r="M86" s="326"/>
      <c r="N86" s="326"/>
      <c r="O86" s="326"/>
      <c r="P86" s="326"/>
      <c r="Q86" s="326"/>
      <c r="R86" s="326"/>
      <c r="S86" s="326"/>
      <c r="T86" s="326"/>
      <c r="U86" s="326"/>
      <c r="V86" s="326"/>
      <c r="W86" s="247"/>
      <c r="X86" s="247"/>
      <c r="Y86" s="247"/>
      <c r="Z86" s="247"/>
      <c r="AA86" s="247"/>
    </row>
    <row r="87" spans="1:27" s="232" customFormat="1" x14ac:dyDescent="0.2">
      <c r="A87" s="326"/>
      <c r="B87" s="326"/>
      <c r="C87" s="326"/>
      <c r="D87" s="326"/>
      <c r="E87" s="326"/>
      <c r="F87" s="326"/>
      <c r="G87" s="326"/>
      <c r="H87" s="326"/>
      <c r="I87" s="326"/>
      <c r="J87" s="326"/>
      <c r="K87" s="326"/>
      <c r="L87" s="326"/>
      <c r="M87" s="326"/>
      <c r="N87" s="326"/>
      <c r="O87" s="326"/>
      <c r="P87" s="326"/>
      <c r="Q87" s="326"/>
      <c r="R87" s="326"/>
      <c r="S87" s="326"/>
      <c r="T87" s="326"/>
      <c r="U87" s="326"/>
      <c r="V87" s="326"/>
      <c r="W87" s="247"/>
      <c r="X87" s="247"/>
      <c r="Y87" s="247"/>
      <c r="Z87" s="247"/>
      <c r="AA87" s="247"/>
    </row>
    <row r="88" spans="1:27" s="232" customFormat="1" x14ac:dyDescent="0.2">
      <c r="A88" s="326"/>
      <c r="B88" s="326"/>
      <c r="C88" s="326"/>
      <c r="D88" s="326"/>
      <c r="E88" s="326"/>
      <c r="F88" s="326"/>
      <c r="G88" s="326"/>
      <c r="H88" s="326"/>
      <c r="I88" s="326"/>
      <c r="J88" s="326"/>
      <c r="K88" s="326"/>
      <c r="L88" s="326"/>
      <c r="M88" s="326"/>
      <c r="N88" s="326"/>
      <c r="O88" s="326"/>
      <c r="P88" s="326"/>
      <c r="Q88" s="326"/>
      <c r="R88" s="326"/>
      <c r="S88" s="326"/>
      <c r="T88" s="326"/>
      <c r="U88" s="326"/>
      <c r="V88" s="326"/>
      <c r="W88" s="247"/>
      <c r="X88" s="247"/>
      <c r="Y88" s="247"/>
      <c r="Z88" s="247"/>
      <c r="AA88" s="247"/>
    </row>
    <row r="89" spans="1:27" s="232" customFormat="1" x14ac:dyDescent="0.2">
      <c r="A89" s="326"/>
      <c r="B89" s="326"/>
      <c r="C89" s="326"/>
      <c r="D89" s="326"/>
      <c r="E89" s="326"/>
      <c r="F89" s="326"/>
      <c r="G89" s="326"/>
      <c r="H89" s="326"/>
      <c r="I89" s="326"/>
      <c r="J89" s="326"/>
      <c r="K89" s="326"/>
      <c r="L89" s="326"/>
      <c r="M89" s="326"/>
      <c r="N89" s="326"/>
      <c r="O89" s="326"/>
      <c r="P89" s="326"/>
      <c r="Q89" s="326"/>
      <c r="R89" s="326"/>
      <c r="S89" s="326"/>
      <c r="T89" s="326"/>
      <c r="U89" s="326"/>
      <c r="V89" s="326"/>
      <c r="W89" s="247"/>
      <c r="X89" s="247"/>
      <c r="Y89" s="247"/>
      <c r="Z89" s="247"/>
      <c r="AA89" s="247"/>
    </row>
    <row r="90" spans="1:27" s="232" customFormat="1" x14ac:dyDescent="0.2">
      <c r="A90" s="247"/>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c r="AA90" s="247"/>
    </row>
    <row r="91" spans="1:27" s="232" customFormat="1" x14ac:dyDescent="0.2">
      <c r="A91" s="247"/>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c r="AA91" s="247"/>
    </row>
    <row r="92" spans="1:27" s="232" customFormat="1" x14ac:dyDescent="0.2">
      <c r="A92" s="247"/>
      <c r="B92" s="247"/>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c r="AA92" s="247"/>
    </row>
    <row r="93" spans="1:27" s="232" customFormat="1" x14ac:dyDescent="0.2">
      <c r="A93" s="247"/>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row>
    <row r="94" spans="1:27" s="232" customFormat="1" x14ac:dyDescent="0.2">
      <c r="A94" s="247"/>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row>
    <row r="95" spans="1:27" s="232" customFormat="1" x14ac:dyDescent="0.2">
      <c r="A95" s="247"/>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row>
    <row r="96" spans="1:27" s="232" customFormat="1" x14ac:dyDescent="0.2">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row>
    <row r="97" spans="1:31" x14ac:dyDescent="0.2">
      <c r="A97" s="83"/>
      <c r="B97" s="83"/>
      <c r="C97" s="83"/>
      <c r="D97" s="83"/>
      <c r="AB97" s="232"/>
      <c r="AC97" s="232"/>
      <c r="AD97" s="232"/>
      <c r="AE97" s="232"/>
    </row>
    <row r="98" spans="1:31" x14ac:dyDescent="0.2">
      <c r="A98" s="83"/>
      <c r="B98" s="83"/>
      <c r="C98" s="83"/>
      <c r="D98" s="83"/>
      <c r="AB98" s="232"/>
      <c r="AC98" s="232"/>
      <c r="AD98" s="232"/>
      <c r="AE98" s="232"/>
    </row>
    <row r="99" spans="1:31" x14ac:dyDescent="0.2">
      <c r="A99" s="83"/>
      <c r="B99" s="83"/>
      <c r="C99" s="83"/>
      <c r="D99" s="83"/>
      <c r="AB99" s="232"/>
      <c r="AC99" s="232"/>
      <c r="AD99" s="232"/>
      <c r="AE99" s="232"/>
    </row>
    <row r="100" spans="1:31" x14ac:dyDescent="0.2">
      <c r="A100" s="83"/>
      <c r="B100" s="83"/>
      <c r="C100" s="83"/>
      <c r="D100" s="83"/>
      <c r="AB100" s="232"/>
      <c r="AC100" s="232"/>
      <c r="AD100" s="232"/>
      <c r="AE100" s="232"/>
    </row>
    <row r="101" spans="1:31" x14ac:dyDescent="0.2">
      <c r="A101" s="83"/>
      <c r="B101" s="83"/>
      <c r="C101" s="83"/>
      <c r="D101" s="83"/>
      <c r="AB101" s="232"/>
      <c r="AC101" s="232"/>
      <c r="AD101" s="232"/>
      <c r="AE101" s="232"/>
    </row>
    <row r="102" spans="1:31" x14ac:dyDescent="0.2">
      <c r="A102" s="83"/>
      <c r="B102" s="83"/>
      <c r="C102" s="83"/>
      <c r="D102" s="83"/>
      <c r="AB102" s="232"/>
      <c r="AC102" s="232"/>
      <c r="AD102" s="232"/>
      <c r="AE102" s="232"/>
    </row>
    <row r="103" spans="1:31" x14ac:dyDescent="0.2">
      <c r="A103" s="83"/>
      <c r="B103" s="83"/>
      <c r="C103" s="83"/>
      <c r="D103" s="83"/>
      <c r="AB103" s="232"/>
      <c r="AC103" s="232"/>
      <c r="AD103" s="232"/>
      <c r="AE103" s="232"/>
    </row>
    <row r="104" spans="1:31" x14ac:dyDescent="0.2">
      <c r="A104" s="232"/>
      <c r="B104" s="232"/>
      <c r="C104" s="232"/>
      <c r="D104" s="232"/>
      <c r="AB104" s="232"/>
      <c r="AC104" s="232"/>
      <c r="AD104" s="232"/>
      <c r="AE104" s="232"/>
    </row>
    <row r="105" spans="1:31" x14ac:dyDescent="0.2">
      <c r="A105" s="232"/>
      <c r="B105" s="232"/>
      <c r="C105" s="232"/>
      <c r="D105" s="232"/>
      <c r="AB105" s="232"/>
      <c r="AC105" s="232"/>
      <c r="AD105" s="232"/>
      <c r="AE105" s="232"/>
    </row>
  </sheetData>
  <sheetProtection algorithmName="SHA-512" hashValue="Tni1RoEVm4np6TXmQxSTBGnv9o+9Gd7q+K9dLpj2njLFPHBi3B333Bt8PHcztLr8WhNb6L8JgvONxkQwINBspw==" saltValue="w2b5d1Mc4F3xl1+Qy7eD3g==" spinCount="100000" sheet="1" objects="1" scenarios="1" formatColumns="0" formatRows="0" selectLockedCells="1"/>
  <mergeCells count="11">
    <mergeCell ref="A19:D19"/>
    <mergeCell ref="B1:E1"/>
    <mergeCell ref="A18:D18"/>
    <mergeCell ref="A10:D10"/>
    <mergeCell ref="A3:D3"/>
    <mergeCell ref="A2:D2"/>
    <mergeCell ref="C4:D4"/>
    <mergeCell ref="C5:D5"/>
    <mergeCell ref="C6:D6"/>
    <mergeCell ref="A16:D16"/>
    <mergeCell ref="A17:D17"/>
  </mergeCells>
  <phoneticPr fontId="7" type="noConversion"/>
  <conditionalFormatting sqref="B7">
    <cfRule type="expression" dxfId="24" priority="23">
      <formula>B7=1</formula>
    </cfRule>
  </conditionalFormatting>
  <conditionalFormatting sqref="B11">
    <cfRule type="expression" dxfId="23" priority="25">
      <formula>B11&lt;25</formula>
    </cfRule>
    <cfRule type="expression" dxfId="22" priority="26">
      <formula>B11&gt;50</formula>
    </cfRule>
  </conditionalFormatting>
  <conditionalFormatting sqref="B4">
    <cfRule type="expression" dxfId="21" priority="24">
      <formula>B4&lt;25</formula>
    </cfRule>
  </conditionalFormatting>
  <conditionalFormatting sqref="D7">
    <cfRule type="expression" dxfId="20" priority="21">
      <formula>B7=1</formula>
    </cfRule>
  </conditionalFormatting>
  <dataValidations count="2">
    <dataValidation type="list" allowBlank="1" showInputMessage="1" showErrorMessage="1" prompt="Select acid type here" sqref="B8">
      <formula1>$B$41:$B$49</formula1>
    </dataValidation>
    <dataValidation type="list" allowBlank="1" showInputMessage="1" showErrorMessage="1" prompt="Select: percentage, normality, molarity, or solid." sqref="C9">
      <formula1>$B$53:$B$56</formula1>
    </dataValidation>
  </dataValidations>
  <hyperlinks>
    <hyperlink ref="B1" r:id="rId1" display="Check for Bru'n Water Updates"/>
    <hyperlink ref="B1:C1" r:id="rId2" display="Link to Bru'n Water website for updates and to donate"/>
    <hyperlink ref="B1:E1" r:id="rId3" display="Link to Bru'n Water website for updates and to donate"/>
  </hyperlinks>
  <printOptions horizontalCentered="1" verticalCentered="1"/>
  <pageMargins left="0.75" right="0.75" top="1" bottom="1" header="0.5" footer="0.5"/>
  <pageSetup orientation="portrait" r:id="rId4"/>
  <headerFooter alignWithMargins="0">
    <oddFooter>&amp;LBru'n Water
V.1.24&amp;R9/17/18</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FF66"/>
    <pageSetUpPr fitToPage="1"/>
  </sheetPr>
  <dimension ref="A1:BF68"/>
  <sheetViews>
    <sheetView showGridLines="0" zoomScale="80" zoomScaleNormal="80" workbookViewId="0">
      <selection activeCell="B2" sqref="B2"/>
    </sheetView>
  </sheetViews>
  <sheetFormatPr defaultColWidth="8.85546875" defaultRowHeight="12.75" x14ac:dyDescent="0.2"/>
  <cols>
    <col min="1" max="1" width="29" style="14" customWidth="1"/>
    <col min="2" max="2" width="13.85546875" style="14" customWidth="1"/>
    <col min="3" max="5" width="14.5703125" style="14" customWidth="1"/>
    <col min="6" max="7" width="14.140625" style="84" customWidth="1"/>
    <col min="8" max="26" width="14.140625" style="231" hidden="1" customWidth="1"/>
    <col min="27" max="27" width="14.140625" style="84" customWidth="1"/>
    <col min="28" max="28" width="15" style="14" customWidth="1"/>
    <col min="29" max="29" width="14.42578125" style="14" customWidth="1"/>
    <col min="30" max="30" width="15.42578125" style="14" customWidth="1"/>
    <col min="31" max="16384" width="8.85546875" style="14"/>
  </cols>
  <sheetData>
    <row r="1" spans="1:58" ht="27.75" x14ac:dyDescent="0.2">
      <c r="A1" s="272" t="s">
        <v>19</v>
      </c>
      <c r="B1" s="480" t="s">
        <v>498</v>
      </c>
      <c r="C1" s="480"/>
      <c r="D1" s="480"/>
      <c r="E1" s="480"/>
      <c r="F1" s="480"/>
      <c r="G1" s="403"/>
      <c r="H1" s="374"/>
      <c r="I1" s="374"/>
      <c r="J1" s="375"/>
      <c r="K1" s="375"/>
      <c r="L1" s="375"/>
      <c r="M1" s="375"/>
      <c r="AB1" s="84"/>
      <c r="AC1" s="84"/>
      <c r="AD1" s="84"/>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row>
    <row r="2" spans="1:58" ht="18" x14ac:dyDescent="0.2">
      <c r="A2" s="254"/>
      <c r="B2" s="97"/>
      <c r="C2" s="97"/>
      <c r="D2" s="97"/>
      <c r="E2" s="97"/>
      <c r="F2" s="404"/>
      <c r="G2" s="405"/>
      <c r="H2" s="376"/>
      <c r="I2" s="377"/>
      <c r="P2" s="85">
        <v>1</v>
      </c>
      <c r="Q2" s="85" t="s">
        <v>170</v>
      </c>
      <c r="AB2" s="84"/>
      <c r="AC2" s="84"/>
      <c r="AD2" s="84"/>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row>
    <row r="3" spans="1:58" ht="24.95" customHeight="1" x14ac:dyDescent="0.2">
      <c r="A3" s="522" t="s">
        <v>383</v>
      </c>
      <c r="B3" s="522"/>
      <c r="C3" s="523" t="s">
        <v>501</v>
      </c>
      <c r="D3" s="523"/>
      <c r="E3" s="523"/>
      <c r="F3" s="523"/>
      <c r="G3" s="406"/>
      <c r="H3" s="378"/>
      <c r="I3" s="378"/>
      <c r="P3" s="379">
        <v>2</v>
      </c>
      <c r="Q3" s="379" t="s">
        <v>171</v>
      </c>
      <c r="AB3" s="84"/>
      <c r="AC3" s="84"/>
      <c r="AD3" s="84"/>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row>
    <row r="4" spans="1:58" s="36" customFormat="1" ht="27.75" customHeight="1" x14ac:dyDescent="0.2">
      <c r="A4" s="530" t="s">
        <v>499</v>
      </c>
      <c r="B4" s="530"/>
      <c r="C4" s="530"/>
      <c r="D4" s="530"/>
      <c r="E4" s="530"/>
      <c r="F4" s="530"/>
      <c r="G4" s="407"/>
      <c r="H4" s="380"/>
      <c r="I4" s="379"/>
      <c r="J4" s="379"/>
      <c r="K4" s="380"/>
      <c r="L4" s="380"/>
      <c r="M4" s="380"/>
      <c r="N4" s="380"/>
      <c r="O4" s="380"/>
      <c r="P4" s="85">
        <v>3</v>
      </c>
      <c r="Q4" s="85" t="s">
        <v>172</v>
      </c>
      <c r="R4" s="380"/>
      <c r="S4" s="380"/>
      <c r="T4" s="380"/>
      <c r="U4" s="380"/>
      <c r="V4" s="380"/>
      <c r="W4" s="380"/>
      <c r="X4" s="380"/>
      <c r="Y4" s="380"/>
      <c r="Z4" s="380"/>
      <c r="AA4" s="228"/>
      <c r="AB4" s="228"/>
      <c r="AC4" s="228"/>
      <c r="AD4" s="228"/>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row>
    <row r="5" spans="1:58" ht="27.6" customHeight="1" x14ac:dyDescent="0.2">
      <c r="A5" s="41" t="s">
        <v>121</v>
      </c>
      <c r="B5" s="41" t="s">
        <v>169</v>
      </c>
      <c r="C5" s="113" t="str">
        <f>O35</f>
        <v>Quantity (lb)</v>
      </c>
      <c r="D5" s="113" t="str">
        <f>P35</f>
        <v>Quantity (oz)</v>
      </c>
      <c r="E5" s="42" t="str">
        <f>IF(B20="Lovibond",R28,R29)</f>
        <v>Color (L)</v>
      </c>
      <c r="F5" s="41" t="s">
        <v>268</v>
      </c>
      <c r="G5" s="408"/>
      <c r="H5" s="381"/>
      <c r="I5" s="382"/>
      <c r="J5" s="383"/>
      <c r="K5" s="383">
        <v>1</v>
      </c>
      <c r="L5" s="383">
        <v>2</v>
      </c>
      <c r="M5" s="383">
        <v>3</v>
      </c>
      <c r="N5" s="383">
        <v>4</v>
      </c>
      <c r="O5" s="384"/>
      <c r="P5" s="385">
        <v>4</v>
      </c>
      <c r="Q5" s="385" t="s">
        <v>119</v>
      </c>
      <c r="AB5" s="84"/>
      <c r="AC5" s="84"/>
      <c r="AD5" s="84"/>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row>
    <row r="6" spans="1:58" ht="15.6" customHeight="1" x14ac:dyDescent="0.2">
      <c r="A6" s="7" t="s">
        <v>167</v>
      </c>
      <c r="B6" s="255" t="s">
        <v>170</v>
      </c>
      <c r="C6" s="102">
        <v>10</v>
      </c>
      <c r="D6" s="102">
        <v>0</v>
      </c>
      <c r="E6" s="101">
        <v>1.7</v>
      </c>
      <c r="F6" s="103">
        <f>IFERROR(100*(N(C6)+(N(D6)/$V$35))/$C$18,0)</f>
        <v>100</v>
      </c>
      <c r="G6" s="409"/>
      <c r="H6" s="386">
        <f>((N(C6)+(N(D6)/$V$35))*$U$35*IF(B$20="Lovibond",N(E6),(0.375*N(E6))+0.561))/('4. Water Adjustment'!$V$17*$X$35)</f>
        <v>3.4</v>
      </c>
      <c r="I6" s="387">
        <f>HLOOKUP(N(J6),aciditytable,2,FALSE)</f>
        <v>4.7600000000000007</v>
      </c>
      <c r="J6" s="383">
        <f>IFERROR(INDEX($P$2:$P$5, MATCH(B6,$Q$2:$Q$5,0)),1)</f>
        <v>1</v>
      </c>
      <c r="K6" s="233">
        <f>(N(C6)+(N(D6)/$V$35))*$U$35*((0.28*R6))</f>
        <v>4.7600000000000007</v>
      </c>
      <c r="L6" s="233">
        <f>(N(C6)+(N(D6)/$V$35))*$U$35*((0.21*R6)+2.5)</f>
        <v>28.57</v>
      </c>
      <c r="M6" s="233">
        <f>((N(C6)+(N(D6)/$V$35))*$U$35*38)</f>
        <v>380</v>
      </c>
      <c r="N6" s="233">
        <f>((N(C6)+(N(D6)/$V$35))*$U$35*95)</f>
        <v>950</v>
      </c>
      <c r="O6" s="385">
        <f>IF($J6=1,$I6,0)</f>
        <v>4.7600000000000007</v>
      </c>
      <c r="P6" s="385">
        <f>IF($J6=2,$I6,0)</f>
        <v>0</v>
      </c>
      <c r="Q6" s="385">
        <f>IF($J6=3,$I6,0)</f>
        <v>0</v>
      </c>
      <c r="R6" s="231">
        <f t="shared" ref="R6:R17" si="0">IF($B$20="lovibond",N(E6),(0.375*N(E6))+0.561)</f>
        <v>1.7</v>
      </c>
      <c r="AB6" s="84"/>
      <c r="AC6" s="84"/>
      <c r="AD6" s="84"/>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row>
    <row r="7" spans="1:58" ht="15.6" customHeight="1" x14ac:dyDescent="0.2">
      <c r="A7" s="7" t="s">
        <v>116</v>
      </c>
      <c r="B7" s="255" t="s">
        <v>170</v>
      </c>
      <c r="C7" s="102">
        <v>0</v>
      </c>
      <c r="D7" s="102">
        <v>0</v>
      </c>
      <c r="E7" s="101">
        <v>7</v>
      </c>
      <c r="F7" s="103">
        <f t="shared" ref="F7:F17" si="1">IFERROR(100*(N(C7)+(N(D7)/$V$35))/$C$18,0)</f>
        <v>0</v>
      </c>
      <c r="G7" s="409"/>
      <c r="H7" s="386">
        <f>((N(C7)+(N(D7)/$V$35))*$U$35*IF(B$20="lovibond",N(E7),(0.375*N(E7))+0.561))/('4. Water Adjustment'!$V$17*$X$35)</f>
        <v>0</v>
      </c>
      <c r="I7" s="387">
        <f>HLOOKUP(J7,aciditytable,3,FALSE)</f>
        <v>0</v>
      </c>
      <c r="J7" s="383">
        <f t="shared" ref="J7:J17" si="2">IFERROR(INDEX($P$2:$P$5, MATCH(B7,$Q$2:$Q$5,0)),1)</f>
        <v>1</v>
      </c>
      <c r="K7" s="233">
        <f t="shared" ref="K7:K17" si="3">(N(C7)+(N(D7)/$V$35))*$U$35*((0.28*R7))</f>
        <v>0</v>
      </c>
      <c r="L7" s="233">
        <f t="shared" ref="L7:L17" si="4">(N(C7)+(N(D7)/$V$35))*$U$35*((0.21*R7)+2.5)</f>
        <v>0</v>
      </c>
      <c r="M7" s="233">
        <f t="shared" ref="M7:M17" si="5">((N(C7)+(N(D7)/$V$35))*$U$35*38)</f>
        <v>0</v>
      </c>
      <c r="N7" s="233">
        <f t="shared" ref="N7:N17" si="6">((N(C7)+(N(D7)/$V$35))*$U$35*95)</f>
        <v>0</v>
      </c>
      <c r="O7" s="385">
        <f t="shared" ref="O7:O17" si="7">IF($J7=1,$I7,0)</f>
        <v>0</v>
      </c>
      <c r="P7" s="385">
        <f t="shared" ref="P7:P17" si="8">IF($J7=2,$I7,0)</f>
        <v>0</v>
      </c>
      <c r="Q7" s="385">
        <f t="shared" ref="Q7:Q17" si="9">IF($J7=3,$I7,0)</f>
        <v>0</v>
      </c>
      <c r="R7" s="231">
        <f t="shared" si="0"/>
        <v>7</v>
      </c>
      <c r="AB7" s="84"/>
      <c r="AC7" s="84"/>
      <c r="AD7" s="84"/>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row>
    <row r="8" spans="1:58" ht="15.6" customHeight="1" x14ac:dyDescent="0.2">
      <c r="A8" s="7" t="s">
        <v>245</v>
      </c>
      <c r="B8" s="255" t="s">
        <v>171</v>
      </c>
      <c r="C8" s="102">
        <v>0</v>
      </c>
      <c r="D8" s="102">
        <v>0</v>
      </c>
      <c r="E8" s="101">
        <v>40</v>
      </c>
      <c r="F8" s="103">
        <f t="shared" si="1"/>
        <v>0</v>
      </c>
      <c r="G8" s="409"/>
      <c r="H8" s="386">
        <f>((N(C8)+(N(D8)/$V$35))*$U$35*IF(B$20="lovibond",N(E8),(0.375*N(E8))+0.561))/('4. Water Adjustment'!$V$17*$X$35)</f>
        <v>0</v>
      </c>
      <c r="I8" s="387">
        <f>HLOOKUP(J8,aciditytable,4,FALSE)</f>
        <v>0</v>
      </c>
      <c r="J8" s="383">
        <f t="shared" si="2"/>
        <v>2</v>
      </c>
      <c r="K8" s="233">
        <f t="shared" si="3"/>
        <v>0</v>
      </c>
      <c r="L8" s="233">
        <f t="shared" si="4"/>
        <v>0</v>
      </c>
      <c r="M8" s="233">
        <f t="shared" si="5"/>
        <v>0</v>
      </c>
      <c r="N8" s="233">
        <f t="shared" si="6"/>
        <v>0</v>
      </c>
      <c r="O8" s="385">
        <f t="shared" si="7"/>
        <v>0</v>
      </c>
      <c r="P8" s="385">
        <f t="shared" si="8"/>
        <v>0</v>
      </c>
      <c r="Q8" s="385">
        <f t="shared" si="9"/>
        <v>0</v>
      </c>
      <c r="R8" s="231">
        <f t="shared" si="0"/>
        <v>40</v>
      </c>
      <c r="AB8" s="84"/>
      <c r="AC8" s="84"/>
      <c r="AD8" s="84"/>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205"/>
      <c r="BF8" s="205"/>
    </row>
    <row r="9" spans="1:58" ht="15.6" customHeight="1" x14ac:dyDescent="0.2">
      <c r="A9" s="7" t="s">
        <v>14</v>
      </c>
      <c r="B9" s="255" t="s">
        <v>171</v>
      </c>
      <c r="C9" s="102">
        <v>0</v>
      </c>
      <c r="D9" s="102">
        <v>0</v>
      </c>
      <c r="E9" s="101">
        <v>120</v>
      </c>
      <c r="F9" s="103">
        <f t="shared" si="1"/>
        <v>0</v>
      </c>
      <c r="G9" s="409"/>
      <c r="H9" s="386">
        <f>((N(C9)+(N(D9)/$V$35))*$U$35*IF(B$20="lovibond",N(E9),(0.375*N(E9))+0.561))/('4. Water Adjustment'!$V$17*$X$35)</f>
        <v>0</v>
      </c>
      <c r="I9" s="387">
        <f>HLOOKUP(J9,aciditytable,5,FALSE)</f>
        <v>0</v>
      </c>
      <c r="J9" s="383">
        <f t="shared" si="2"/>
        <v>2</v>
      </c>
      <c r="K9" s="233">
        <f t="shared" si="3"/>
        <v>0</v>
      </c>
      <c r="L9" s="233">
        <f t="shared" si="4"/>
        <v>0</v>
      </c>
      <c r="M9" s="233">
        <f t="shared" si="5"/>
        <v>0</v>
      </c>
      <c r="N9" s="233">
        <f t="shared" si="6"/>
        <v>0</v>
      </c>
      <c r="O9" s="385">
        <f t="shared" si="7"/>
        <v>0</v>
      </c>
      <c r="P9" s="385">
        <f t="shared" si="8"/>
        <v>0</v>
      </c>
      <c r="Q9" s="385">
        <f t="shared" si="9"/>
        <v>0</v>
      </c>
      <c r="R9" s="231">
        <f t="shared" si="0"/>
        <v>120</v>
      </c>
      <c r="AB9" s="84"/>
      <c r="AC9" s="84"/>
      <c r="AD9" s="84"/>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c r="BF9" s="205"/>
    </row>
    <row r="10" spans="1:58" ht="15.6" customHeight="1" x14ac:dyDescent="0.2">
      <c r="A10" s="7" t="s">
        <v>15</v>
      </c>
      <c r="B10" s="255" t="s">
        <v>172</v>
      </c>
      <c r="C10" s="102">
        <v>0</v>
      </c>
      <c r="D10" s="102">
        <v>0</v>
      </c>
      <c r="E10" s="101">
        <v>400</v>
      </c>
      <c r="F10" s="103">
        <f t="shared" si="1"/>
        <v>0</v>
      </c>
      <c r="G10" s="409"/>
      <c r="H10" s="386">
        <f>((N(C10)+(N(D10)/$V$35))*$U$35*IF(B$20="lovibond",N(E10),(0.375*N(E10))+0.561))/('4. Water Adjustment'!$V$17*$X$35)</f>
        <v>0</v>
      </c>
      <c r="I10" s="387">
        <f>HLOOKUP(J10,aciditytable,6,FALSE)</f>
        <v>0</v>
      </c>
      <c r="J10" s="383">
        <f t="shared" si="2"/>
        <v>3</v>
      </c>
      <c r="K10" s="233">
        <f t="shared" si="3"/>
        <v>0</v>
      </c>
      <c r="L10" s="233">
        <f t="shared" si="4"/>
        <v>0</v>
      </c>
      <c r="M10" s="233">
        <f t="shared" si="5"/>
        <v>0</v>
      </c>
      <c r="N10" s="233">
        <f t="shared" si="6"/>
        <v>0</v>
      </c>
      <c r="O10" s="385">
        <f t="shared" si="7"/>
        <v>0</v>
      </c>
      <c r="P10" s="385">
        <f t="shared" si="8"/>
        <v>0</v>
      </c>
      <c r="Q10" s="385">
        <f t="shared" si="9"/>
        <v>0</v>
      </c>
      <c r="R10" s="231">
        <f t="shared" si="0"/>
        <v>400</v>
      </c>
      <c r="AB10" s="84"/>
      <c r="AC10" s="84"/>
      <c r="AD10" s="84"/>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row>
    <row r="11" spans="1:58" ht="15.6" customHeight="1" x14ac:dyDescent="0.2">
      <c r="A11" s="7" t="s">
        <v>324</v>
      </c>
      <c r="B11" s="255" t="s">
        <v>172</v>
      </c>
      <c r="C11" s="102">
        <v>0</v>
      </c>
      <c r="D11" s="102">
        <v>0</v>
      </c>
      <c r="E11" s="101">
        <v>300</v>
      </c>
      <c r="F11" s="103">
        <f t="shared" si="1"/>
        <v>0</v>
      </c>
      <c r="G11" s="409"/>
      <c r="H11" s="386">
        <f>((N(C11)+(N(D11)/$V$35))*$U$35*IF(B$20="lovibond",N(E11),(0.375*N(E11))+0.561))/('4. Water Adjustment'!$V$17*$X$35)</f>
        <v>0</v>
      </c>
      <c r="I11" s="387">
        <f>HLOOKUP(J11,aciditytable,7,FALSE)</f>
        <v>0</v>
      </c>
      <c r="J11" s="383">
        <f t="shared" si="2"/>
        <v>3</v>
      </c>
      <c r="K11" s="233">
        <f t="shared" si="3"/>
        <v>0</v>
      </c>
      <c r="L11" s="233">
        <f t="shared" si="4"/>
        <v>0</v>
      </c>
      <c r="M11" s="233">
        <f t="shared" si="5"/>
        <v>0</v>
      </c>
      <c r="N11" s="233">
        <f t="shared" si="6"/>
        <v>0</v>
      </c>
      <c r="O11" s="385">
        <f t="shared" si="7"/>
        <v>0</v>
      </c>
      <c r="P11" s="385">
        <f t="shared" si="8"/>
        <v>0</v>
      </c>
      <c r="Q11" s="385">
        <f t="shared" si="9"/>
        <v>0</v>
      </c>
      <c r="R11" s="231">
        <f t="shared" si="0"/>
        <v>300</v>
      </c>
      <c r="AB11" s="84"/>
      <c r="AC11" s="84"/>
      <c r="AD11" s="84"/>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row>
    <row r="12" spans="1:58" ht="15.6" customHeight="1" x14ac:dyDescent="0.2">
      <c r="A12" s="7" t="s">
        <v>119</v>
      </c>
      <c r="B12" s="255" t="s">
        <v>119</v>
      </c>
      <c r="C12" s="102">
        <v>0</v>
      </c>
      <c r="D12" s="102">
        <v>0</v>
      </c>
      <c r="E12" s="101">
        <v>2</v>
      </c>
      <c r="F12" s="103">
        <f t="shared" si="1"/>
        <v>0</v>
      </c>
      <c r="G12" s="409"/>
      <c r="H12" s="386">
        <f>((N(C12)+(N(D12)/$V$35))*$U$35*IF(B$20="lovibond",N(E12),(0.375*N(E12))+0.561))/('4. Water Adjustment'!$V$17*$X$35)</f>
        <v>0</v>
      </c>
      <c r="I12" s="387">
        <f>HLOOKUP(J12,aciditytable,8,FALSE)</f>
        <v>0</v>
      </c>
      <c r="J12" s="383">
        <f t="shared" si="2"/>
        <v>4</v>
      </c>
      <c r="K12" s="233">
        <f t="shared" si="3"/>
        <v>0</v>
      </c>
      <c r="L12" s="233">
        <f t="shared" si="4"/>
        <v>0</v>
      </c>
      <c r="M12" s="233">
        <f t="shared" si="5"/>
        <v>0</v>
      </c>
      <c r="N12" s="233">
        <f t="shared" si="6"/>
        <v>0</v>
      </c>
      <c r="O12" s="385">
        <f t="shared" si="7"/>
        <v>0</v>
      </c>
      <c r="P12" s="385">
        <f t="shared" si="8"/>
        <v>0</v>
      </c>
      <c r="Q12" s="385">
        <f t="shared" si="9"/>
        <v>0</v>
      </c>
      <c r="R12" s="231">
        <f t="shared" si="0"/>
        <v>2</v>
      </c>
      <c r="AB12" s="84"/>
      <c r="AC12" s="84"/>
      <c r="AD12" s="84"/>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row>
    <row r="13" spans="1:58" ht="15.6" customHeight="1" x14ac:dyDescent="0.2">
      <c r="A13" s="7"/>
      <c r="B13" s="255" t="s">
        <v>170</v>
      </c>
      <c r="C13" s="102">
        <v>0</v>
      </c>
      <c r="D13" s="102">
        <v>0</v>
      </c>
      <c r="E13" s="101">
        <v>0</v>
      </c>
      <c r="F13" s="103">
        <f t="shared" si="1"/>
        <v>0</v>
      </c>
      <c r="G13" s="409"/>
      <c r="H13" s="386">
        <f>((N(C13)+(N(D13)/$V$35))*$U$35*IF(B$20="lovibond",N(E13),(0.375*N(E13))+0.561))/('4. Water Adjustment'!$V$17*$X$35)</f>
        <v>0</v>
      </c>
      <c r="I13" s="387">
        <f>HLOOKUP(J13,aciditytable,9,FALSE)</f>
        <v>0</v>
      </c>
      <c r="J13" s="383">
        <f t="shared" si="2"/>
        <v>1</v>
      </c>
      <c r="K13" s="233">
        <f t="shared" si="3"/>
        <v>0</v>
      </c>
      <c r="L13" s="233">
        <f t="shared" si="4"/>
        <v>0</v>
      </c>
      <c r="M13" s="233">
        <f t="shared" si="5"/>
        <v>0</v>
      </c>
      <c r="N13" s="233">
        <f t="shared" si="6"/>
        <v>0</v>
      </c>
      <c r="O13" s="385">
        <f t="shared" si="7"/>
        <v>0</v>
      </c>
      <c r="P13" s="385">
        <f t="shared" si="8"/>
        <v>0</v>
      </c>
      <c r="Q13" s="385">
        <f t="shared" si="9"/>
        <v>0</v>
      </c>
      <c r="R13" s="231">
        <f t="shared" si="0"/>
        <v>0</v>
      </c>
      <c r="AB13" s="84"/>
      <c r="AC13" s="84"/>
      <c r="AD13" s="84"/>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row>
    <row r="14" spans="1:58" ht="15.6" customHeight="1" x14ac:dyDescent="0.2">
      <c r="A14" s="7"/>
      <c r="B14" s="255" t="s">
        <v>170</v>
      </c>
      <c r="C14" s="102">
        <v>0</v>
      </c>
      <c r="D14" s="102">
        <v>0</v>
      </c>
      <c r="E14" s="101">
        <v>0</v>
      </c>
      <c r="F14" s="103">
        <f t="shared" si="1"/>
        <v>0</v>
      </c>
      <c r="G14" s="409"/>
      <c r="H14" s="386">
        <f>((N(C14)+(N(D14)/$V$35))*$U$35*IF(B$20="lovibond",N(E14),(0.375*N(E14))+0.561))/('4. Water Adjustment'!$V$17*$X$35)</f>
        <v>0</v>
      </c>
      <c r="I14" s="387">
        <f>HLOOKUP(J14,aciditytable,10,FALSE)</f>
        <v>0</v>
      </c>
      <c r="J14" s="383">
        <f t="shared" si="2"/>
        <v>1</v>
      </c>
      <c r="K14" s="233">
        <f t="shared" si="3"/>
        <v>0</v>
      </c>
      <c r="L14" s="233">
        <f t="shared" si="4"/>
        <v>0</v>
      </c>
      <c r="M14" s="233">
        <f t="shared" si="5"/>
        <v>0</v>
      </c>
      <c r="N14" s="233">
        <f t="shared" si="6"/>
        <v>0</v>
      </c>
      <c r="O14" s="385">
        <f t="shared" si="7"/>
        <v>0</v>
      </c>
      <c r="P14" s="385">
        <f t="shared" si="8"/>
        <v>0</v>
      </c>
      <c r="Q14" s="385">
        <f t="shared" si="9"/>
        <v>0</v>
      </c>
      <c r="R14" s="231">
        <f t="shared" si="0"/>
        <v>0</v>
      </c>
      <c r="AB14" s="84"/>
      <c r="AC14" s="84"/>
      <c r="AD14" s="84"/>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row>
    <row r="15" spans="1:58" ht="15.6" customHeight="1" x14ac:dyDescent="0.2">
      <c r="A15" s="7"/>
      <c r="B15" s="255" t="s">
        <v>170</v>
      </c>
      <c r="C15" s="102">
        <v>0</v>
      </c>
      <c r="D15" s="102">
        <v>0</v>
      </c>
      <c r="E15" s="101">
        <v>0</v>
      </c>
      <c r="F15" s="103">
        <f t="shared" si="1"/>
        <v>0</v>
      </c>
      <c r="G15" s="409"/>
      <c r="H15" s="386">
        <f>((N(C15)+(N(D15)/$V$35))*$U$35*IF(B$20="lovibond",N(E15),(0.375*N(E15))+0.561))/('4. Water Adjustment'!$V$17*$X$35)</f>
        <v>0</v>
      </c>
      <c r="I15" s="387">
        <f>HLOOKUP(J15,aciditytable,11,FALSE)</f>
        <v>0</v>
      </c>
      <c r="J15" s="383">
        <f t="shared" si="2"/>
        <v>1</v>
      </c>
      <c r="K15" s="233">
        <f t="shared" si="3"/>
        <v>0</v>
      </c>
      <c r="L15" s="233">
        <f t="shared" si="4"/>
        <v>0</v>
      </c>
      <c r="M15" s="233">
        <f t="shared" si="5"/>
        <v>0</v>
      </c>
      <c r="N15" s="233">
        <f t="shared" si="6"/>
        <v>0</v>
      </c>
      <c r="O15" s="385">
        <f t="shared" si="7"/>
        <v>0</v>
      </c>
      <c r="P15" s="385">
        <f t="shared" si="8"/>
        <v>0</v>
      </c>
      <c r="Q15" s="385">
        <f t="shared" si="9"/>
        <v>0</v>
      </c>
      <c r="R15" s="231">
        <f t="shared" si="0"/>
        <v>0</v>
      </c>
      <c r="AB15" s="84"/>
      <c r="AC15" s="84"/>
      <c r="AD15" s="84"/>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row>
    <row r="16" spans="1:58" ht="15.6" customHeight="1" x14ac:dyDescent="0.2">
      <c r="A16" s="7" t="s">
        <v>339</v>
      </c>
      <c r="B16" s="255" t="s">
        <v>170</v>
      </c>
      <c r="C16" s="102">
        <v>0</v>
      </c>
      <c r="D16" s="102">
        <v>0</v>
      </c>
      <c r="E16" s="101">
        <v>0</v>
      </c>
      <c r="F16" s="103">
        <f t="shared" si="1"/>
        <v>0</v>
      </c>
      <c r="G16" s="409"/>
      <c r="H16" s="386">
        <f>((N(C16)+(N(D16)/$V$35))*$U$35*IF(B$20="lovibond",N(E16),(0.375*N(E16))+0.561))/('4. Water Adjustment'!$V$17*$X$35)</f>
        <v>0</v>
      </c>
      <c r="I16" s="387">
        <f>HLOOKUP(J16,aciditytable,12,FALSE)</f>
        <v>0</v>
      </c>
      <c r="J16" s="383">
        <f t="shared" si="2"/>
        <v>1</v>
      </c>
      <c r="K16" s="233">
        <f t="shared" si="3"/>
        <v>0</v>
      </c>
      <c r="L16" s="233">
        <f t="shared" si="4"/>
        <v>0</v>
      </c>
      <c r="M16" s="233">
        <f t="shared" si="5"/>
        <v>0</v>
      </c>
      <c r="N16" s="233">
        <f t="shared" si="6"/>
        <v>0</v>
      </c>
      <c r="O16" s="385">
        <f t="shared" si="7"/>
        <v>0</v>
      </c>
      <c r="P16" s="385">
        <f t="shared" si="8"/>
        <v>0</v>
      </c>
      <c r="Q16" s="385">
        <f t="shared" si="9"/>
        <v>0</v>
      </c>
      <c r="R16" s="231">
        <f t="shared" si="0"/>
        <v>0</v>
      </c>
      <c r="AB16" s="84"/>
      <c r="AC16" s="84"/>
      <c r="AD16" s="84"/>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row>
    <row r="17" spans="1:58" ht="15.6" customHeight="1" x14ac:dyDescent="0.2">
      <c r="A17" s="7" t="s">
        <v>338</v>
      </c>
      <c r="B17" s="255" t="s">
        <v>170</v>
      </c>
      <c r="C17" s="102">
        <v>0</v>
      </c>
      <c r="D17" s="102">
        <v>0</v>
      </c>
      <c r="E17" s="101">
        <v>0</v>
      </c>
      <c r="F17" s="103">
        <f t="shared" si="1"/>
        <v>0</v>
      </c>
      <c r="G17" s="409"/>
      <c r="H17" s="386">
        <f>((N(C17)+(N(D17)/$V$35))*$U$35*IF(B$20="lovibond",N(E17),(0.375*N(E17))+0.561))/('4. Water Adjustment'!$V$17*$X$35)</f>
        <v>0</v>
      </c>
      <c r="I17" s="387">
        <f>HLOOKUP(J17,aciditytable,13,FALSE)</f>
        <v>0</v>
      </c>
      <c r="J17" s="383">
        <f t="shared" si="2"/>
        <v>1</v>
      </c>
      <c r="K17" s="233">
        <f t="shared" si="3"/>
        <v>0</v>
      </c>
      <c r="L17" s="233">
        <f t="shared" si="4"/>
        <v>0</v>
      </c>
      <c r="M17" s="233">
        <f t="shared" si="5"/>
        <v>0</v>
      </c>
      <c r="N17" s="233">
        <f t="shared" si="6"/>
        <v>0</v>
      </c>
      <c r="O17" s="385">
        <f t="shared" si="7"/>
        <v>0</v>
      </c>
      <c r="P17" s="385">
        <f t="shared" si="8"/>
        <v>0</v>
      </c>
      <c r="Q17" s="385">
        <f t="shared" si="9"/>
        <v>0</v>
      </c>
      <c r="R17" s="231">
        <f t="shared" si="0"/>
        <v>0</v>
      </c>
      <c r="AB17" s="84"/>
      <c r="AC17" s="84"/>
      <c r="AD17" s="84"/>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row>
    <row r="18" spans="1:58" ht="15.6" customHeight="1" x14ac:dyDescent="0.2">
      <c r="A18" s="46"/>
      <c r="B18" s="114" t="str">
        <f>Q35</f>
        <v>Total Grist Weight (lbs)</v>
      </c>
      <c r="C18" s="313">
        <f>SUM(C6:C17)+SUM(D6:D17)/$V$35</f>
        <v>10</v>
      </c>
      <c r="D18" s="44"/>
      <c r="E18" s="45" t="s">
        <v>358</v>
      </c>
      <c r="F18" s="132">
        <f>1.97*F19</f>
        <v>6.8054670222877975</v>
      </c>
      <c r="G18" s="410"/>
      <c r="H18" s="388"/>
      <c r="I18" s="389">
        <f>IF(SUM(H6:H17)&gt;167,167,SUM(H6:H17))</f>
        <v>3.4</v>
      </c>
      <c r="J18" s="385"/>
      <c r="K18" s="384"/>
      <c r="L18" s="384"/>
      <c r="M18" s="384"/>
      <c r="N18" s="384"/>
      <c r="O18" s="385">
        <f>SUM(O6:O17)</f>
        <v>4.7600000000000007</v>
      </c>
      <c r="P18" s="385">
        <f>SUM(P6:P17)</f>
        <v>0</v>
      </c>
      <c r="Q18" s="385">
        <f>SUM(Q6:Q17)</f>
        <v>0</v>
      </c>
      <c r="AB18" s="84"/>
      <c r="AC18" s="84"/>
      <c r="AD18" s="84"/>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row>
    <row r="19" spans="1:58" ht="15.6" customHeight="1" x14ac:dyDescent="0.2">
      <c r="A19" s="43"/>
      <c r="B19" s="115" t="str">
        <f>T35</f>
        <v>Water to Grist Ratio (Qts/Lb)</v>
      </c>
      <c r="C19" s="131">
        <f>'4. Water Adjustment'!$T$17*$W$35/C18</f>
        <v>1.5</v>
      </c>
      <c r="D19" s="44"/>
      <c r="E19" s="45" t="s">
        <v>174</v>
      </c>
      <c r="F19" s="132">
        <f>1.49228*I18^0.6859</f>
        <v>3.4545517879633492</v>
      </c>
      <c r="G19" s="410"/>
      <c r="H19" s="388"/>
      <c r="J19" s="385"/>
      <c r="AB19" s="84"/>
      <c r="AC19" s="84"/>
      <c r="AD19" s="84"/>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row>
    <row r="20" spans="1:58" ht="15.6" customHeight="1" x14ac:dyDescent="0.2">
      <c r="A20" s="108" t="s">
        <v>354</v>
      </c>
      <c r="B20" s="256" t="s">
        <v>355</v>
      </c>
      <c r="C20" s="527"/>
      <c r="D20" s="527"/>
      <c r="E20" s="527"/>
      <c r="F20" s="274"/>
      <c r="G20" s="411"/>
      <c r="H20" s="389"/>
      <c r="I20" s="388"/>
      <c r="J20" s="385"/>
      <c r="AB20" s="84"/>
      <c r="AC20" s="84"/>
      <c r="AD20" s="84"/>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row>
    <row r="21" spans="1:58" ht="15.6" customHeight="1" x14ac:dyDescent="0.2">
      <c r="A21" s="108" t="s">
        <v>177</v>
      </c>
      <c r="B21" s="256" t="s">
        <v>166</v>
      </c>
      <c r="C21" s="528"/>
      <c r="D21" s="528"/>
      <c r="E21" s="529"/>
      <c r="F21" s="275"/>
      <c r="G21" s="411"/>
      <c r="H21" s="389"/>
      <c r="I21" s="388" t="b">
        <f>OR(J6=4,J7=4,J8=4,J9=4,J10=4,J11=4,J12=4,J13=4,J14=4,J15=4,J16=4,J17=4)</f>
        <v>1</v>
      </c>
      <c r="J21" s="385"/>
      <c r="O21" s="231" t="s">
        <v>398</v>
      </c>
      <c r="AB21" s="84"/>
      <c r="AC21" s="84"/>
      <c r="AD21" s="84"/>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row>
    <row r="22" spans="1:58" ht="15" customHeight="1" x14ac:dyDescent="0.2">
      <c r="A22" s="140" t="str">
        <f>IF(B21="existing water","Unadjusted Existing Water is selected","")</f>
        <v/>
      </c>
      <c r="B22" s="136"/>
      <c r="C22" s="222"/>
      <c r="D22" s="139"/>
      <c r="E22" s="138"/>
      <c r="F22" s="138"/>
      <c r="G22" s="412"/>
      <c r="H22" s="389"/>
      <c r="I22" s="388"/>
      <c r="J22" s="385"/>
      <c r="O22" s="231" t="s">
        <v>399</v>
      </c>
      <c r="AB22" s="84"/>
      <c r="AC22" s="84"/>
      <c r="AD22" s="84"/>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row>
    <row r="23" spans="1:58" ht="26.1" customHeight="1" x14ac:dyDescent="0.2">
      <c r="A23" s="512" t="s">
        <v>361</v>
      </c>
      <c r="B23" s="513"/>
      <c r="C23" s="513"/>
      <c r="D23" s="513"/>
      <c r="E23" s="513"/>
      <c r="F23" s="514"/>
      <c r="G23" s="413"/>
      <c r="H23" s="390"/>
      <c r="I23" s="391"/>
      <c r="J23" s="385"/>
      <c r="AB23" s="84"/>
      <c r="AC23" s="84"/>
      <c r="AD23" s="84"/>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row>
    <row r="24" spans="1:58" ht="15.6" customHeight="1" x14ac:dyDescent="0.2">
      <c r="A24" s="189"/>
      <c r="B24" s="190"/>
      <c r="E24" s="107" t="s">
        <v>180</v>
      </c>
      <c r="F24" s="133">
        <f ca="1">IFERROR(IF(5.76-0.17*I26&lt;0,0.1,5.76-0.17*I26),5)</f>
        <v>5.7029889916336414</v>
      </c>
      <c r="G24" s="414"/>
      <c r="H24" s="123"/>
      <c r="I24" s="387">
        <f ca="1">IF(B21="existing water",O28,O29)</f>
        <v>0</v>
      </c>
      <c r="J24" s="392"/>
      <c r="K24" s="393">
        <f>IF(OR($J6=4,$J7=4,$J8=4,$J9=4,$J10=4,$J11=4,$J12=4,$J13=4,$J14=4,$J15=4,$J16=4,$J17=4),93*(IF($J6=4,$N6,0)+IF($J7=4,$N7,0)+IF($J8=4,$N8,0)+IF($J9=4,$N9,0)+IF($J10=4,$N10,0)+IF($J11=4,$N11,0)+IF($J12=4,$N12,0)+IF($J13=4,$N13,0)+IF($J14=4,$N14,0)+IF($J15=4,$N15,0)+IF($J16=4,$N16,0)+IF($J17=4,$N17,0)),0)</f>
        <v>0</v>
      </c>
      <c r="AB24" s="84"/>
      <c r="AC24" s="84"/>
      <c r="AD24" s="84"/>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row>
    <row r="25" spans="1:58" ht="15.6" customHeight="1" x14ac:dyDescent="0.2">
      <c r="A25" s="257"/>
      <c r="F25" s="135" t="str">
        <f ca="1">IF(F24&lt;5.15,"More Mash Water Alkalinity is Needed",IF(F24&gt;5.75,"Less Mash Water Alkalinity is Needed",""))</f>
        <v/>
      </c>
      <c r="G25" s="136"/>
      <c r="I25" s="387">
        <f>SUM(I6:I17)</f>
        <v>4.7600000000000007</v>
      </c>
      <c r="J25" s="385">
        <f>IF(OR(L35=1,L35=3),C19,C19*0.4792)</f>
        <v>1.5</v>
      </c>
      <c r="AB25" s="84"/>
      <c r="AC25" s="84"/>
      <c r="AD25" s="84"/>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row>
    <row r="26" spans="1:58" ht="15.6" customHeight="1" x14ac:dyDescent="0.2">
      <c r="A26" s="258"/>
      <c r="B26" s="521" t="s">
        <v>359</v>
      </c>
      <c r="C26" s="515" t="s">
        <v>271</v>
      </c>
      <c r="D26" s="516"/>
      <c r="E26" s="516"/>
      <c r="F26" s="517"/>
      <c r="G26" s="415"/>
      <c r="H26" s="394"/>
      <c r="I26" s="395">
        <f ca="1">(I25-(I24*J25/1.5))/($N$35*'4. Water Adjustment'!$T$17)</f>
        <v>0.33535887274328491</v>
      </c>
      <c r="J26" s="384"/>
      <c r="AB26" s="84"/>
      <c r="AC26" s="84"/>
      <c r="AD26" s="84"/>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row>
    <row r="27" spans="1:58" ht="15.6" customHeight="1" x14ac:dyDescent="0.2">
      <c r="B27" s="521"/>
      <c r="C27" s="518" t="s">
        <v>491</v>
      </c>
      <c r="D27" s="519"/>
      <c r="E27" s="519"/>
      <c r="F27" s="520"/>
      <c r="G27" s="415"/>
      <c r="H27" s="394"/>
      <c r="AB27" s="84"/>
      <c r="AC27" s="84"/>
      <c r="AD27" s="84"/>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row>
    <row r="28" spans="1:58" ht="15.6" customHeight="1" x14ac:dyDescent="0.2">
      <c r="A28" s="417" t="s">
        <v>559</v>
      </c>
      <c r="B28" s="521"/>
      <c r="C28" s="524" t="s">
        <v>270</v>
      </c>
      <c r="D28" s="525"/>
      <c r="E28" s="525"/>
      <c r="F28" s="526"/>
      <c r="G28" s="415"/>
      <c r="H28" s="394"/>
      <c r="M28" s="85">
        <v>1</v>
      </c>
      <c r="N28" s="85" t="s">
        <v>165</v>
      </c>
      <c r="O28" s="85">
        <f>('4. Water Adjustment'!V8/50)*($N$35*'4. Water Adjustment'!$T$17)</f>
        <v>0</v>
      </c>
      <c r="P28" s="231">
        <v>1</v>
      </c>
      <c r="Q28" s="231" t="s">
        <v>355</v>
      </c>
      <c r="R28" s="231" t="s">
        <v>122</v>
      </c>
      <c r="AB28" s="84"/>
      <c r="AC28" s="84"/>
      <c r="AD28" s="84"/>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row>
    <row r="29" spans="1:58" ht="81" customHeight="1" x14ac:dyDescent="0.25">
      <c r="A29" s="510" t="s">
        <v>573</v>
      </c>
      <c r="B29" s="510"/>
      <c r="C29" s="510"/>
      <c r="D29" s="510"/>
      <c r="E29" s="510"/>
      <c r="F29" s="510"/>
      <c r="G29" s="416"/>
      <c r="H29" s="396"/>
      <c r="I29" s="396"/>
      <c r="K29" s="397"/>
      <c r="M29" s="85">
        <v>2</v>
      </c>
      <c r="N29" s="85" t="s">
        <v>166</v>
      </c>
      <c r="O29" s="85">
        <f ca="1">('4. Water Adjustment'!U16/50)*($N$35*'4. Water Adjustment'!$T$17)</f>
        <v>0</v>
      </c>
      <c r="P29" s="231">
        <v>2</v>
      </c>
      <c r="Q29" s="231" t="s">
        <v>356</v>
      </c>
      <c r="R29" s="231" t="s">
        <v>357</v>
      </c>
      <c r="AB29" s="84"/>
      <c r="AC29" s="84"/>
      <c r="AD29" s="84"/>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row>
    <row r="30" spans="1:58" ht="32.1" customHeight="1" x14ac:dyDescent="0.2">
      <c r="A30" s="511" t="s">
        <v>325</v>
      </c>
      <c r="B30" s="511"/>
      <c r="C30" s="511"/>
      <c r="D30" s="511"/>
      <c r="E30" s="511"/>
      <c r="F30" s="511"/>
      <c r="G30" s="402"/>
      <c r="I30" s="384"/>
      <c r="J30" s="384"/>
      <c r="AB30" s="84"/>
      <c r="AC30" s="84"/>
      <c r="AD30" s="84"/>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row>
    <row r="31" spans="1:58" ht="15" customHeight="1" x14ac:dyDescent="0.2">
      <c r="J31" s="384"/>
      <c r="L31" s="343">
        <v>1</v>
      </c>
      <c r="M31" s="343" t="s">
        <v>282</v>
      </c>
      <c r="N31" s="343">
        <v>3.7850000000000001</v>
      </c>
      <c r="O31" s="343" t="s">
        <v>123</v>
      </c>
      <c r="P31" s="343" t="s">
        <v>120</v>
      </c>
      <c r="Q31" s="343" t="s">
        <v>173</v>
      </c>
      <c r="R31" s="343" t="s">
        <v>293</v>
      </c>
      <c r="S31" s="343" t="s">
        <v>292</v>
      </c>
      <c r="T31" s="343" t="s">
        <v>168</v>
      </c>
      <c r="U31" s="343">
        <v>1</v>
      </c>
      <c r="V31" s="85">
        <v>16</v>
      </c>
      <c r="W31" s="85">
        <v>4</v>
      </c>
      <c r="X31" s="85">
        <v>1</v>
      </c>
      <c r="AB31" s="84"/>
      <c r="AC31" s="84"/>
      <c r="AD31" s="84"/>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row>
    <row r="32" spans="1:58" ht="15" customHeight="1" x14ac:dyDescent="0.25">
      <c r="A32" s="84"/>
      <c r="B32" s="84"/>
      <c r="C32" s="84"/>
      <c r="D32" s="84"/>
      <c r="E32" s="84"/>
      <c r="L32" s="343">
        <v>2</v>
      </c>
      <c r="M32" s="343" t="s">
        <v>202</v>
      </c>
      <c r="N32" s="343">
        <v>1</v>
      </c>
      <c r="O32" s="398" t="s">
        <v>290</v>
      </c>
      <c r="P32" s="398" t="s">
        <v>291</v>
      </c>
      <c r="Q32" s="398" t="s">
        <v>294</v>
      </c>
      <c r="R32" s="343" t="s">
        <v>296</v>
      </c>
      <c r="S32" s="343" t="s">
        <v>297</v>
      </c>
      <c r="T32" s="343" t="s">
        <v>295</v>
      </c>
      <c r="U32" s="343">
        <v>2.2050000000000001</v>
      </c>
      <c r="V32" s="85">
        <v>1000</v>
      </c>
      <c r="W32" s="85">
        <v>1</v>
      </c>
      <c r="X32" s="85">
        <v>0.26420080000000001</v>
      </c>
      <c r="AB32" s="84"/>
      <c r="AC32" s="84"/>
      <c r="AD32" s="84"/>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row>
    <row r="33" spans="1:58" ht="15" customHeight="1" x14ac:dyDescent="0.2">
      <c r="A33" s="84"/>
      <c r="B33" s="84"/>
      <c r="C33" s="84"/>
      <c r="D33" s="84"/>
      <c r="E33" s="84"/>
      <c r="L33" s="343">
        <v>3</v>
      </c>
      <c r="M33" s="343" t="s">
        <v>283</v>
      </c>
      <c r="N33" s="343">
        <v>117.33499999999999</v>
      </c>
      <c r="O33" s="343" t="s">
        <v>123</v>
      </c>
      <c r="P33" s="343" t="s">
        <v>120</v>
      </c>
      <c r="Q33" s="343" t="s">
        <v>173</v>
      </c>
      <c r="R33" s="343" t="s">
        <v>308</v>
      </c>
      <c r="S33" s="343" t="s">
        <v>298</v>
      </c>
      <c r="T33" s="343" t="s">
        <v>168</v>
      </c>
      <c r="U33" s="343">
        <v>1</v>
      </c>
      <c r="V33" s="85">
        <v>16</v>
      </c>
      <c r="W33" s="85">
        <v>124</v>
      </c>
      <c r="X33" s="85">
        <v>31</v>
      </c>
      <c r="AB33" s="84"/>
      <c r="AC33" s="84"/>
      <c r="AD33" s="84"/>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row>
    <row r="34" spans="1:58" ht="15" customHeight="1" x14ac:dyDescent="0.2">
      <c r="A34" s="84"/>
      <c r="B34" s="84"/>
      <c r="C34" s="84"/>
      <c r="D34" s="84"/>
      <c r="E34" s="84"/>
      <c r="L34" s="343">
        <v>4</v>
      </c>
      <c r="M34" s="343" t="s">
        <v>284</v>
      </c>
      <c r="N34" s="343">
        <v>100</v>
      </c>
      <c r="O34" s="343" t="s">
        <v>290</v>
      </c>
      <c r="P34" s="343" t="s">
        <v>291</v>
      </c>
      <c r="Q34" s="343" t="s">
        <v>294</v>
      </c>
      <c r="R34" s="343" t="s">
        <v>299</v>
      </c>
      <c r="S34" s="343" t="s">
        <v>300</v>
      </c>
      <c r="T34" s="343" t="s">
        <v>295</v>
      </c>
      <c r="U34" s="343">
        <v>2.2050000000000001</v>
      </c>
      <c r="V34" s="85">
        <v>1000</v>
      </c>
      <c r="W34" s="85">
        <v>100</v>
      </c>
      <c r="X34" s="85">
        <f>100/3.785</f>
        <v>26.420079260237781</v>
      </c>
      <c r="AB34" s="84"/>
      <c r="AC34" s="84"/>
      <c r="AD34" s="84"/>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row>
    <row r="35" spans="1:58" ht="15" customHeight="1" x14ac:dyDescent="0.2">
      <c r="A35" s="84"/>
      <c r="B35" s="84"/>
      <c r="C35" s="84"/>
      <c r="D35" s="84"/>
      <c r="E35" s="84"/>
      <c r="L35" s="344">
        <f>VLOOKUP('1. Water Report Input'!$H$7,mashvaritable,1,FALSE)</f>
        <v>1</v>
      </c>
      <c r="M35" s="345" t="str">
        <f>VLOOKUP('1. Water Report Input'!$H$7,mashvaritable,2,FALSE)</f>
        <v>Gallons</v>
      </c>
      <c r="N35" s="346">
        <f>VLOOKUP('1. Water Report Input'!$H$7,mashvaritable,3,FALSE)</f>
        <v>3.7850000000000001</v>
      </c>
      <c r="O35" s="346" t="str">
        <f>VLOOKUP('1. Water Report Input'!$H$7,mashvaritable,4,FALSE)</f>
        <v>Quantity (lb)</v>
      </c>
      <c r="P35" s="346" t="str">
        <f>VLOOKUP('1. Water Report Input'!$H$7,mashvaritable,5,FALSE)</f>
        <v>Quantity (oz)</v>
      </c>
      <c r="Q35" s="344" t="str">
        <f>VLOOKUP('1. Water Report Input'!$H$7,mashvaritable,6,FALSE)</f>
        <v>Total Grist Weight (lbs)</v>
      </c>
      <c r="R35" s="345" t="str">
        <f>VLOOKUP('1. Water Report Input'!$H$7,mashvaritable,7,FALSE)</f>
        <v>Mash Water Volume (gallons)---&gt;</v>
      </c>
      <c r="S35" s="346" t="str">
        <f>VLOOKUP('1. Water Report Input'!$H$7,mashvaritable,8,FALSE)</f>
        <v>Batch Water Volume (gallons) ---&gt;</v>
      </c>
      <c r="T35" s="346" t="str">
        <f>VLOOKUP('1. Water Report Input'!$H$7,mashvaritable,9,FALSE)</f>
        <v>Water to Grist Ratio (Qts/Lb)</v>
      </c>
      <c r="U35" s="346">
        <f>VLOOKUP('1. Water Report Input'!$H$7,mashvaritable,10,FALSE)</f>
        <v>1</v>
      </c>
      <c r="V35" s="344">
        <f>VLOOKUP('1. Water Report Input'!$H$7,mashvaritable,11,FALSE)</f>
        <v>16</v>
      </c>
      <c r="W35" s="346">
        <f>VLOOKUP('1. Water Report Input'!$H$7,mashvaritable,12,FALSE)</f>
        <v>4</v>
      </c>
      <c r="X35" s="85">
        <f>VLOOKUP('1. Water Report Input'!$H$7,mashvaritable,13,FALSE)</f>
        <v>1</v>
      </c>
      <c r="AB35" s="84"/>
      <c r="AC35" s="84"/>
      <c r="AD35" s="84"/>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row>
    <row r="36" spans="1:58" ht="15" customHeight="1" x14ac:dyDescent="0.2">
      <c r="A36" s="84"/>
      <c r="B36" s="84"/>
      <c r="C36" s="84"/>
      <c r="D36" s="84"/>
      <c r="E36" s="84"/>
      <c r="L36" s="85"/>
      <c r="M36" s="85"/>
      <c r="N36" s="85"/>
      <c r="O36" s="85"/>
      <c r="P36" s="85"/>
      <c r="Q36" s="85"/>
      <c r="R36" s="85"/>
      <c r="S36" s="85"/>
      <c r="T36" s="85"/>
      <c r="U36" s="85"/>
      <c r="V36" s="85"/>
      <c r="W36" s="85"/>
      <c r="AB36" s="84"/>
      <c r="AC36" s="84"/>
      <c r="AD36" s="84"/>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row>
    <row r="37" spans="1:58" ht="15" customHeight="1" x14ac:dyDescent="0.2">
      <c r="A37" s="84"/>
      <c r="B37" s="84"/>
      <c r="C37" s="84"/>
      <c r="D37" s="84"/>
      <c r="E37" s="84"/>
      <c r="AB37" s="84"/>
      <c r="AC37" s="84"/>
      <c r="AD37" s="84"/>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row>
    <row r="38" spans="1:58" ht="15" customHeight="1" x14ac:dyDescent="0.2">
      <c r="A38" s="84"/>
      <c r="B38" s="84"/>
      <c r="C38" s="84"/>
      <c r="D38" s="84"/>
      <c r="E38" s="84"/>
      <c r="AB38" s="84"/>
      <c r="AC38" s="84"/>
      <c r="AD38" s="84"/>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row>
    <row r="39" spans="1:58" ht="15" customHeight="1" x14ac:dyDescent="0.2">
      <c r="A39" s="84"/>
      <c r="B39" s="84"/>
      <c r="C39" s="84"/>
      <c r="D39" s="84"/>
      <c r="E39" s="84"/>
      <c r="AB39" s="84"/>
      <c r="AC39" s="84"/>
      <c r="AD39" s="84"/>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row>
    <row r="40" spans="1:58" ht="15" customHeight="1" x14ac:dyDescent="0.2">
      <c r="A40" s="84"/>
      <c r="B40" s="84"/>
      <c r="C40" s="84"/>
      <c r="D40" s="84"/>
      <c r="E40" s="84"/>
      <c r="AB40" s="84"/>
      <c r="AC40" s="84"/>
      <c r="AD40" s="84"/>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row>
    <row r="41" spans="1:58" ht="15" customHeight="1" x14ac:dyDescent="0.2">
      <c r="A41" s="84"/>
      <c r="B41" s="84"/>
      <c r="C41" s="84"/>
      <c r="D41" s="84"/>
      <c r="E41" s="84"/>
      <c r="AB41" s="84"/>
      <c r="AC41" s="84"/>
      <c r="AD41" s="84"/>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row>
    <row r="42" spans="1:58" ht="15" customHeight="1" x14ac:dyDescent="0.2">
      <c r="A42" s="84"/>
      <c r="B42" s="84"/>
      <c r="C42" s="84"/>
      <c r="D42" s="84"/>
      <c r="E42" s="84"/>
      <c r="AB42" s="84"/>
      <c r="AC42" s="84"/>
      <c r="AD42" s="84"/>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row>
    <row r="43" spans="1:58" ht="15" customHeight="1" x14ac:dyDescent="0.2">
      <c r="A43" s="84"/>
      <c r="B43" s="84"/>
      <c r="C43" s="84"/>
      <c r="D43" s="84"/>
      <c r="E43" s="84"/>
      <c r="AB43" s="84"/>
      <c r="AC43" s="84"/>
      <c r="AD43" s="84"/>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row>
    <row r="44" spans="1:58" ht="15" customHeight="1" x14ac:dyDescent="0.2">
      <c r="A44" s="84"/>
      <c r="B44" s="84"/>
      <c r="C44" s="84"/>
      <c r="D44" s="84"/>
      <c r="E44" s="84"/>
      <c r="AB44" s="84"/>
      <c r="AC44" s="84"/>
      <c r="AD44" s="84"/>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row>
    <row r="45" spans="1:58" ht="15" customHeight="1" x14ac:dyDescent="0.2">
      <c r="A45" s="84"/>
      <c r="B45" s="84"/>
      <c r="C45" s="84"/>
      <c r="D45" s="84"/>
      <c r="E45" s="84"/>
      <c r="AB45" s="84"/>
      <c r="AC45" s="84"/>
      <c r="AD45" s="84"/>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row>
    <row r="46" spans="1:58" ht="15" customHeight="1" x14ac:dyDescent="0.2">
      <c r="A46" s="84"/>
      <c r="B46" s="84"/>
      <c r="C46" s="84"/>
      <c r="D46" s="84"/>
      <c r="E46" s="84"/>
      <c r="AB46" s="84"/>
      <c r="AC46" s="84"/>
      <c r="AD46" s="84"/>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row>
    <row r="47" spans="1:58" ht="15" customHeight="1" x14ac:dyDescent="0.2">
      <c r="A47" s="84"/>
      <c r="B47" s="84"/>
      <c r="C47" s="84"/>
      <c r="D47" s="84"/>
      <c r="E47" s="84"/>
      <c r="AB47" s="84"/>
      <c r="AC47" s="84"/>
      <c r="AD47" s="84"/>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row>
    <row r="48" spans="1:58" x14ac:dyDescent="0.2">
      <c r="A48" s="84"/>
      <c r="B48" s="84"/>
      <c r="C48" s="84"/>
      <c r="D48" s="84"/>
      <c r="E48" s="84"/>
      <c r="AB48" s="84"/>
      <c r="AC48" s="84"/>
      <c r="AD48" s="84"/>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row>
    <row r="49" spans="1:58" x14ac:dyDescent="0.2">
      <c r="A49" s="84"/>
      <c r="B49" s="84"/>
      <c r="C49" s="84"/>
      <c r="D49" s="84"/>
      <c r="E49" s="84"/>
      <c r="AB49" s="84"/>
      <c r="AC49" s="84"/>
      <c r="AD49" s="84"/>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row>
    <row r="50" spans="1:58" x14ac:dyDescent="0.2">
      <c r="A50" s="84"/>
      <c r="B50" s="84"/>
      <c r="C50" s="84"/>
      <c r="D50" s="84"/>
      <c r="E50" s="84"/>
      <c r="AB50" s="84"/>
      <c r="AC50" s="84"/>
      <c r="AD50" s="84"/>
      <c r="AE50" s="84"/>
      <c r="AF50" s="84"/>
      <c r="AG50" s="84"/>
      <c r="AH50" s="84"/>
      <c r="AI50" s="84"/>
      <c r="AJ50" s="84"/>
      <c r="AK50" s="84"/>
      <c r="AL50" s="84"/>
      <c r="AM50" s="84"/>
      <c r="AN50" s="84"/>
      <c r="AO50" s="84"/>
      <c r="AP50" s="84"/>
      <c r="AQ50" s="84"/>
      <c r="AR50" s="84"/>
      <c r="AS50" s="84"/>
    </row>
    <row r="51" spans="1:58" x14ac:dyDescent="0.2">
      <c r="A51" s="84"/>
      <c r="B51" s="84"/>
      <c r="C51" s="84"/>
      <c r="D51" s="84"/>
      <c r="E51" s="84"/>
      <c r="AB51" s="84"/>
      <c r="AC51" s="84"/>
      <c r="AD51" s="84"/>
      <c r="AE51" s="84"/>
      <c r="AF51" s="84"/>
      <c r="AG51" s="84"/>
      <c r="AH51" s="84"/>
      <c r="AI51" s="84"/>
      <c r="AJ51" s="84"/>
      <c r="AK51" s="84"/>
      <c r="AL51" s="84"/>
      <c r="AM51" s="84"/>
      <c r="AN51" s="84"/>
      <c r="AO51" s="84"/>
      <c r="AP51" s="84"/>
      <c r="AQ51" s="84"/>
      <c r="AR51" s="84"/>
      <c r="AS51" s="84"/>
    </row>
    <row r="52" spans="1:58" x14ac:dyDescent="0.2">
      <c r="A52" s="84"/>
      <c r="B52" s="84"/>
      <c r="C52" s="84"/>
      <c r="D52" s="84"/>
      <c r="E52" s="84"/>
      <c r="AB52" s="84"/>
      <c r="AC52" s="84"/>
      <c r="AD52" s="84"/>
      <c r="AE52" s="84"/>
      <c r="AF52" s="84"/>
      <c r="AG52" s="84"/>
      <c r="AH52" s="84"/>
      <c r="AI52" s="84"/>
      <c r="AJ52" s="84"/>
      <c r="AK52" s="84"/>
      <c r="AL52" s="84"/>
      <c r="AM52" s="84"/>
      <c r="AN52" s="84"/>
      <c r="AO52" s="84"/>
      <c r="AP52" s="84"/>
      <c r="AQ52" s="84"/>
      <c r="AR52" s="84"/>
      <c r="AS52" s="84"/>
    </row>
    <row r="53" spans="1:58" x14ac:dyDescent="0.2">
      <c r="A53" s="84"/>
      <c r="B53" s="84"/>
      <c r="C53" s="84"/>
      <c r="D53" s="84"/>
      <c r="E53" s="84"/>
      <c r="AB53" s="84"/>
      <c r="AC53" s="84"/>
      <c r="AD53" s="84"/>
      <c r="AE53" s="84"/>
      <c r="AF53" s="84"/>
      <c r="AG53" s="84"/>
      <c r="AH53" s="84"/>
      <c r="AI53" s="84"/>
      <c r="AJ53" s="84"/>
      <c r="AK53" s="84"/>
      <c r="AL53" s="84"/>
      <c r="AM53" s="84"/>
      <c r="AN53" s="84"/>
      <c r="AO53" s="84"/>
      <c r="AP53" s="84"/>
      <c r="AQ53" s="84"/>
      <c r="AR53" s="84"/>
      <c r="AS53" s="84"/>
    </row>
    <row r="54" spans="1:58" x14ac:dyDescent="0.2">
      <c r="A54" s="84"/>
      <c r="B54" s="84"/>
      <c r="C54" s="84"/>
      <c r="D54" s="84"/>
      <c r="E54" s="84"/>
      <c r="AB54" s="84"/>
      <c r="AC54" s="84"/>
      <c r="AD54" s="84"/>
      <c r="AE54" s="84"/>
      <c r="AF54" s="84"/>
      <c r="AG54" s="84"/>
      <c r="AH54" s="84"/>
      <c r="AI54" s="84"/>
      <c r="AJ54" s="84"/>
      <c r="AK54" s="84"/>
      <c r="AL54" s="84"/>
      <c r="AM54" s="84"/>
      <c r="AN54" s="84"/>
      <c r="AO54" s="84"/>
      <c r="AP54" s="84"/>
      <c r="AQ54" s="84"/>
      <c r="AR54" s="84"/>
      <c r="AS54" s="84"/>
    </row>
    <row r="55" spans="1:58" x14ac:dyDescent="0.2">
      <c r="A55" s="84"/>
      <c r="B55" s="84"/>
      <c r="C55" s="84"/>
      <c r="D55" s="84"/>
      <c r="E55" s="84"/>
      <c r="AB55" s="84"/>
      <c r="AC55" s="84"/>
      <c r="AD55" s="84"/>
      <c r="AE55" s="84"/>
      <c r="AF55" s="84"/>
      <c r="AG55" s="84"/>
      <c r="AH55" s="84"/>
      <c r="AI55" s="84"/>
      <c r="AJ55" s="84"/>
      <c r="AK55" s="84"/>
      <c r="AL55" s="84"/>
      <c r="AM55" s="84"/>
      <c r="AN55" s="84"/>
      <c r="AO55" s="84"/>
      <c r="AP55" s="84"/>
      <c r="AQ55" s="84"/>
      <c r="AR55" s="84"/>
      <c r="AS55" s="84"/>
    </row>
    <row r="56" spans="1:58" x14ac:dyDescent="0.2">
      <c r="A56" s="84"/>
      <c r="B56" s="84"/>
      <c r="C56" s="84"/>
      <c r="D56" s="84"/>
      <c r="E56" s="84"/>
      <c r="AB56" s="84"/>
      <c r="AC56" s="84"/>
      <c r="AD56" s="84"/>
      <c r="AE56" s="84"/>
      <c r="AF56" s="84"/>
      <c r="AG56" s="84"/>
      <c r="AH56" s="84"/>
      <c r="AI56" s="84"/>
      <c r="AJ56" s="84"/>
      <c r="AK56" s="84"/>
      <c r="AL56" s="84"/>
      <c r="AM56" s="84"/>
      <c r="AN56" s="84"/>
      <c r="AO56" s="84"/>
      <c r="AP56" s="84"/>
      <c r="AQ56" s="84"/>
      <c r="AR56" s="84"/>
      <c r="AS56" s="84"/>
    </row>
    <row r="57" spans="1:58" x14ac:dyDescent="0.2">
      <c r="A57" s="84"/>
      <c r="B57" s="84"/>
      <c r="C57" s="84"/>
      <c r="D57" s="84"/>
      <c r="E57" s="84"/>
      <c r="AB57" s="84"/>
      <c r="AC57" s="84"/>
      <c r="AD57" s="84"/>
      <c r="AE57" s="84"/>
      <c r="AF57" s="84"/>
      <c r="AG57" s="84"/>
      <c r="AH57" s="84"/>
      <c r="AI57" s="84"/>
      <c r="AJ57" s="84"/>
      <c r="AK57" s="84"/>
      <c r="AL57" s="84"/>
      <c r="AM57" s="84"/>
      <c r="AN57" s="84"/>
      <c r="AO57" s="84"/>
      <c r="AP57" s="84"/>
      <c r="AQ57" s="84"/>
      <c r="AR57" s="84"/>
      <c r="AS57" s="84"/>
    </row>
    <row r="58" spans="1:58" x14ac:dyDescent="0.2">
      <c r="A58" s="84"/>
      <c r="B58" s="84"/>
      <c r="C58" s="84"/>
      <c r="D58" s="84"/>
      <c r="E58" s="84"/>
      <c r="AB58" s="84"/>
      <c r="AC58" s="84"/>
      <c r="AD58" s="84"/>
      <c r="AE58" s="84"/>
      <c r="AF58" s="84"/>
      <c r="AG58" s="84"/>
      <c r="AH58" s="84"/>
      <c r="AI58" s="84"/>
      <c r="AJ58" s="84"/>
      <c r="AK58" s="84"/>
      <c r="AL58" s="84"/>
      <c r="AM58" s="84"/>
      <c r="AN58" s="84"/>
      <c r="AO58" s="84"/>
      <c r="AP58" s="84"/>
      <c r="AQ58" s="84"/>
      <c r="AR58" s="84"/>
      <c r="AS58" s="84"/>
    </row>
    <row r="59" spans="1:58" x14ac:dyDescent="0.2">
      <c r="A59" s="84"/>
      <c r="B59" s="84"/>
      <c r="C59" s="84"/>
      <c r="D59" s="84"/>
      <c r="E59" s="84"/>
      <c r="AB59" s="84"/>
      <c r="AC59" s="84"/>
      <c r="AD59" s="84"/>
      <c r="AE59" s="84"/>
      <c r="AF59" s="84"/>
      <c r="AG59" s="84"/>
      <c r="AH59" s="84"/>
      <c r="AI59" s="84"/>
      <c r="AJ59" s="84"/>
      <c r="AK59" s="84"/>
      <c r="AL59" s="84"/>
      <c r="AM59" s="84"/>
      <c r="AN59" s="84"/>
      <c r="AO59" s="84"/>
      <c r="AP59" s="84"/>
      <c r="AQ59" s="84"/>
      <c r="AR59" s="84"/>
      <c r="AS59" s="84"/>
    </row>
    <row r="60" spans="1:58" x14ac:dyDescent="0.2">
      <c r="A60" s="84"/>
      <c r="B60" s="84"/>
      <c r="C60" s="84"/>
      <c r="D60" s="84"/>
      <c r="E60" s="84"/>
      <c r="AB60" s="84"/>
      <c r="AC60" s="84"/>
      <c r="AD60" s="84"/>
      <c r="AE60" s="84"/>
      <c r="AF60" s="84"/>
      <c r="AG60" s="84"/>
      <c r="AH60" s="84"/>
      <c r="AI60" s="84"/>
      <c r="AJ60" s="84"/>
      <c r="AK60" s="84"/>
      <c r="AL60" s="84"/>
      <c r="AM60" s="84"/>
      <c r="AN60" s="84"/>
      <c r="AO60" s="84"/>
      <c r="AP60" s="84"/>
      <c r="AQ60" s="84"/>
      <c r="AR60" s="84"/>
      <c r="AS60" s="84"/>
    </row>
    <row r="61" spans="1:58" x14ac:dyDescent="0.2">
      <c r="A61" s="84"/>
      <c r="B61" s="84"/>
      <c r="C61" s="84"/>
      <c r="D61" s="84"/>
      <c r="E61" s="84"/>
      <c r="AB61" s="84"/>
      <c r="AC61" s="84"/>
      <c r="AD61" s="84"/>
      <c r="AE61" s="84"/>
      <c r="AF61" s="84"/>
      <c r="AG61" s="84"/>
      <c r="AH61" s="84"/>
      <c r="AI61" s="84"/>
      <c r="AJ61" s="84"/>
      <c r="AK61" s="84"/>
      <c r="AL61" s="84"/>
      <c r="AM61" s="84"/>
      <c r="AN61" s="84"/>
      <c r="AO61" s="84"/>
      <c r="AP61" s="84"/>
      <c r="AQ61" s="84"/>
      <c r="AR61" s="84"/>
      <c r="AS61" s="84"/>
    </row>
    <row r="62" spans="1:58" x14ac:dyDescent="0.2">
      <c r="A62" s="84"/>
      <c r="B62" s="84"/>
      <c r="C62" s="84"/>
      <c r="D62" s="84"/>
      <c r="E62" s="84"/>
      <c r="AB62" s="84"/>
      <c r="AC62" s="84"/>
      <c r="AD62" s="84"/>
      <c r="AE62" s="84"/>
      <c r="AF62" s="84"/>
      <c r="AG62" s="84"/>
      <c r="AH62" s="84"/>
      <c r="AI62" s="84"/>
      <c r="AJ62" s="84"/>
      <c r="AK62" s="84"/>
      <c r="AL62" s="84"/>
      <c r="AM62" s="84"/>
      <c r="AN62" s="84"/>
      <c r="AO62" s="84"/>
      <c r="AP62" s="84"/>
      <c r="AQ62" s="84"/>
      <c r="AR62" s="84"/>
      <c r="AS62" s="84"/>
    </row>
    <row r="63" spans="1:58" x14ac:dyDescent="0.2">
      <c r="A63" s="84"/>
      <c r="B63" s="84"/>
      <c r="C63" s="84"/>
      <c r="D63" s="84"/>
      <c r="E63" s="84"/>
      <c r="AB63" s="84"/>
      <c r="AC63" s="84"/>
      <c r="AD63" s="84"/>
      <c r="AE63" s="84"/>
      <c r="AF63" s="84"/>
      <c r="AG63" s="84"/>
      <c r="AH63" s="84"/>
      <c r="AI63" s="84"/>
      <c r="AJ63" s="84"/>
      <c r="AK63" s="84"/>
      <c r="AL63" s="84"/>
      <c r="AM63" s="84"/>
      <c r="AN63" s="84"/>
      <c r="AO63" s="84"/>
      <c r="AP63" s="84"/>
      <c r="AQ63" s="84"/>
      <c r="AR63" s="84"/>
      <c r="AS63" s="84"/>
    </row>
    <row r="64" spans="1:58" x14ac:dyDescent="0.2">
      <c r="A64" s="84"/>
      <c r="B64" s="84"/>
      <c r="C64" s="84"/>
      <c r="D64" s="84"/>
      <c r="E64" s="84"/>
      <c r="AB64" s="84"/>
      <c r="AC64" s="84"/>
      <c r="AD64" s="84"/>
      <c r="AE64" s="84"/>
      <c r="AF64" s="84"/>
      <c r="AG64" s="84"/>
      <c r="AH64" s="84"/>
      <c r="AI64" s="84"/>
      <c r="AJ64" s="84"/>
      <c r="AK64" s="84"/>
      <c r="AL64" s="84"/>
      <c r="AM64" s="84"/>
      <c r="AN64" s="84"/>
      <c r="AO64" s="84"/>
      <c r="AP64" s="84"/>
      <c r="AQ64" s="84"/>
      <c r="AR64" s="84"/>
      <c r="AS64" s="84"/>
    </row>
    <row r="65" spans="1:45" x14ac:dyDescent="0.2">
      <c r="A65" s="84"/>
      <c r="B65" s="84"/>
      <c r="C65" s="84"/>
      <c r="D65" s="84"/>
      <c r="E65" s="84"/>
      <c r="AB65" s="84"/>
      <c r="AC65" s="84"/>
      <c r="AD65" s="84"/>
      <c r="AE65" s="84"/>
      <c r="AF65" s="84"/>
      <c r="AG65" s="84"/>
      <c r="AH65" s="84"/>
      <c r="AI65" s="84"/>
      <c r="AJ65" s="84"/>
      <c r="AK65" s="84"/>
      <c r="AL65" s="84"/>
      <c r="AM65" s="84"/>
      <c r="AN65" s="84"/>
      <c r="AO65" s="84"/>
      <c r="AP65" s="84"/>
      <c r="AQ65" s="84"/>
      <c r="AR65" s="84"/>
      <c r="AS65" s="84"/>
    </row>
    <row r="66" spans="1:45" x14ac:dyDescent="0.2">
      <c r="A66" s="84"/>
      <c r="B66" s="84"/>
      <c r="C66" s="84"/>
      <c r="D66" s="84"/>
      <c r="E66" s="84"/>
      <c r="AB66" s="84"/>
      <c r="AC66" s="84"/>
      <c r="AD66" s="84"/>
      <c r="AE66" s="84"/>
      <c r="AF66" s="84"/>
      <c r="AG66" s="84"/>
      <c r="AH66" s="84"/>
      <c r="AI66" s="84"/>
      <c r="AJ66" s="84"/>
      <c r="AK66" s="84"/>
      <c r="AL66" s="84"/>
      <c r="AM66" s="84"/>
      <c r="AN66" s="84"/>
      <c r="AO66" s="84"/>
      <c r="AP66" s="84"/>
      <c r="AQ66" s="84"/>
      <c r="AR66" s="84"/>
      <c r="AS66" s="84"/>
    </row>
    <row r="67" spans="1:45" x14ac:dyDescent="0.2">
      <c r="A67" s="84"/>
      <c r="B67" s="84"/>
      <c r="C67" s="84"/>
      <c r="D67" s="84"/>
      <c r="E67" s="84"/>
      <c r="AB67" s="84"/>
      <c r="AC67" s="84"/>
      <c r="AD67" s="84"/>
      <c r="AE67" s="84"/>
      <c r="AF67" s="84"/>
      <c r="AG67" s="84"/>
      <c r="AH67" s="84"/>
      <c r="AI67" s="84"/>
      <c r="AJ67" s="84"/>
      <c r="AK67" s="84"/>
      <c r="AL67" s="84"/>
      <c r="AM67" s="84"/>
      <c r="AN67" s="84"/>
      <c r="AO67" s="84"/>
      <c r="AP67" s="84"/>
      <c r="AQ67" s="84"/>
      <c r="AR67" s="84"/>
      <c r="AS67" s="84"/>
    </row>
    <row r="68" spans="1:45" x14ac:dyDescent="0.2">
      <c r="A68" s="84"/>
      <c r="B68" s="84"/>
      <c r="C68" s="84"/>
      <c r="D68" s="84"/>
      <c r="E68" s="84"/>
      <c r="AB68" s="84"/>
      <c r="AC68" s="84"/>
      <c r="AD68" s="84"/>
      <c r="AE68" s="84"/>
      <c r="AF68" s="84"/>
      <c r="AG68" s="84"/>
      <c r="AH68" s="84"/>
      <c r="AI68" s="84"/>
      <c r="AJ68" s="84"/>
      <c r="AK68" s="84"/>
      <c r="AL68" s="84"/>
      <c r="AM68" s="84"/>
      <c r="AN68" s="84"/>
      <c r="AO68" s="84"/>
      <c r="AP68" s="84"/>
      <c r="AQ68" s="84"/>
      <c r="AR68" s="84"/>
    </row>
  </sheetData>
  <sheetProtection algorithmName="SHA-512" hashValue="CODP/TiJeKAwwwuPTXk+7hI/+48x3RqGfjyiPEjKKRhaY2K6A3iJlxGhdJ6GrMW9f/MFGLZgA9+/TYSgjdZacQ==" saltValue="AxGMMn7ZCPJmUOM2mSkV2g==" spinCount="100000" sheet="1" objects="1" scenarios="1" formatColumns="0" formatRows="0" selectLockedCells="1"/>
  <mergeCells count="13">
    <mergeCell ref="A29:F29"/>
    <mergeCell ref="A30:F30"/>
    <mergeCell ref="A23:F23"/>
    <mergeCell ref="B1:F1"/>
    <mergeCell ref="C26:F26"/>
    <mergeCell ref="C27:F27"/>
    <mergeCell ref="B26:B28"/>
    <mergeCell ref="A3:B3"/>
    <mergeCell ref="C3:F3"/>
    <mergeCell ref="C28:F28"/>
    <mergeCell ref="C20:E20"/>
    <mergeCell ref="C21:E21"/>
    <mergeCell ref="A4:F4"/>
  </mergeCells>
  <phoneticPr fontId="0" type="noConversion"/>
  <conditionalFormatting sqref="F24:G24">
    <cfRule type="cellIs" dxfId="19" priority="55" operator="between">
      <formula>5.25</formula>
      <formula>5.55</formula>
    </cfRule>
    <cfRule type="cellIs" dxfId="18" priority="56" operator="between">
      <formula>5.15</formula>
      <formula>5.75</formula>
    </cfRule>
    <cfRule type="cellIs" dxfId="17" priority="57" operator="between">
      <formula>1</formula>
      <formula>14</formula>
    </cfRule>
  </conditionalFormatting>
  <conditionalFormatting sqref="E6:E17">
    <cfRule type="expression" dxfId="16" priority="20">
      <formula>IF($B$20=2,AND(J6=3,E6&lt;478),AND(J6=3,E6&lt;180))</formula>
    </cfRule>
    <cfRule type="expression" dxfId="15" priority="53">
      <formula>IF($B$20=2,AND(J6&lt;&gt;3,E6&gt;478),AND(J6&lt;&gt;3,E6&gt;180))</formula>
    </cfRule>
  </conditionalFormatting>
  <conditionalFormatting sqref="A6:A17">
    <cfRule type="expression" dxfId="14" priority="4">
      <formula>J6=4</formula>
    </cfRule>
    <cfRule type="expression" dxfId="13" priority="6">
      <formula>J6=3</formula>
    </cfRule>
    <cfRule type="expression" dxfId="12" priority="7">
      <formula>J6=2</formula>
    </cfRule>
  </conditionalFormatting>
  <conditionalFormatting sqref="B21">
    <cfRule type="expression" dxfId="11" priority="8">
      <formula>B21="existing water"</formula>
    </cfRule>
  </conditionalFormatting>
  <dataValidations count="4">
    <dataValidation type="decimal" allowBlank="1" showInputMessage="1" showErrorMessage="1" sqref="A26">
      <formula1>0.1</formula1>
      <formula2>2</formula2>
    </dataValidation>
    <dataValidation type="list" allowBlank="1" showInputMessage="1" showErrorMessage="1" sqref="B20">
      <formula1>$Q$28:$Q$29</formula1>
    </dataValidation>
    <dataValidation type="list" allowBlank="1" showInputMessage="1" showErrorMessage="1" sqref="B21">
      <formula1>$N$28:$N$29</formula1>
    </dataValidation>
    <dataValidation type="list" allowBlank="1" showInputMessage="1" showErrorMessage="1" sqref="B6:B17">
      <formula1>$Q$2:$Q$5</formula1>
    </dataValidation>
  </dataValidations>
  <hyperlinks>
    <hyperlink ref="B1" r:id="rId1" display="Check for Bru'n Water Updates"/>
    <hyperlink ref="B1:C1" r:id="rId2" display="Link to Bru'n Water website for updates and to donate"/>
    <hyperlink ref="B1:F1" r:id="rId3" display="Link to Bru'n Water website for updates and to donate"/>
  </hyperlinks>
  <pageMargins left="0.7" right="0.7" top="0.75" bottom="0.75" header="0.3" footer="0.3"/>
  <pageSetup scale="94" orientation="landscape" r:id="rId4"/>
  <headerFooter>
    <oddFooter>&amp;LBru'n Water
V.1.24&amp;R9/17/18</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3300"/>
    <pageSetUpPr fitToPage="1"/>
  </sheetPr>
  <dimension ref="A1:CE146"/>
  <sheetViews>
    <sheetView showGridLines="0" zoomScale="70" zoomScaleNormal="70" workbookViewId="0">
      <selection activeCell="B38" sqref="B38"/>
    </sheetView>
  </sheetViews>
  <sheetFormatPr defaultColWidth="8.85546875" defaultRowHeight="11.25" x14ac:dyDescent="0.2"/>
  <cols>
    <col min="1" max="1" width="25.42578125" style="17" customWidth="1"/>
    <col min="2" max="2" width="12.42578125" style="17" customWidth="1"/>
    <col min="3" max="8" width="9.42578125" style="17" customWidth="1"/>
    <col min="9" max="14" width="8.5703125" style="17" customWidth="1"/>
    <col min="15" max="17" width="8.85546875" style="17"/>
    <col min="18" max="18" width="10.5703125" style="87" customWidth="1"/>
    <col min="19" max="19" width="8.85546875" style="87" customWidth="1"/>
    <col min="20" max="52" width="8.85546875" style="85" hidden="1" customWidth="1"/>
    <col min="53" max="53" width="8.85546875" style="87" customWidth="1"/>
    <col min="54" max="58" width="9.5703125" style="87" customWidth="1"/>
    <col min="59" max="61" width="10.42578125" style="17" customWidth="1"/>
    <col min="62" max="64" width="9.85546875" style="17" customWidth="1"/>
    <col min="65" max="74" width="9.140625" style="17" customWidth="1"/>
    <col min="75" max="16384" width="8.85546875" style="17"/>
  </cols>
  <sheetData>
    <row r="1" spans="1:83" ht="34.35" customHeight="1" x14ac:dyDescent="0.2">
      <c r="A1" s="456" t="s">
        <v>19</v>
      </c>
      <c r="B1" s="457"/>
      <c r="C1" s="480" t="s">
        <v>498</v>
      </c>
      <c r="D1" s="480"/>
      <c r="E1" s="480"/>
      <c r="F1" s="480"/>
      <c r="G1" s="480"/>
      <c r="H1" s="480"/>
      <c r="I1" s="480"/>
      <c r="J1" s="480"/>
      <c r="K1" s="480"/>
      <c r="L1" s="251"/>
      <c r="M1" s="251"/>
      <c r="N1" s="251"/>
      <c r="Q1" s="87"/>
      <c r="BG1" s="85"/>
      <c r="BH1" s="85"/>
      <c r="BI1" s="85"/>
      <c r="BJ1" s="87"/>
      <c r="BK1" s="87"/>
      <c r="BL1" s="87"/>
      <c r="BM1" s="87"/>
      <c r="BN1" s="87"/>
      <c r="BO1" s="87"/>
      <c r="BP1" s="87"/>
      <c r="BQ1" s="87"/>
      <c r="BR1" s="87"/>
      <c r="BS1" s="87"/>
      <c r="BT1" s="87"/>
      <c r="BU1" s="85"/>
      <c r="BV1" s="85"/>
      <c r="BW1" s="85"/>
      <c r="BX1" s="85"/>
      <c r="BY1" s="85"/>
      <c r="BZ1" s="85"/>
      <c r="CA1" s="85"/>
      <c r="CB1" s="85"/>
      <c r="CC1" s="85"/>
      <c r="CD1" s="85"/>
      <c r="CE1" s="85"/>
    </row>
    <row r="2" spans="1:83" ht="23.25" x14ac:dyDescent="0.2">
      <c r="A2" s="250" t="s">
        <v>499</v>
      </c>
      <c r="B2" s="248"/>
      <c r="C2" s="248"/>
      <c r="D2" s="248"/>
      <c r="E2" s="248"/>
      <c r="F2" s="248"/>
      <c r="G2" s="248"/>
      <c r="H2" s="248"/>
      <c r="I2" s="248"/>
      <c r="J2" s="248"/>
      <c r="K2" s="127"/>
      <c r="L2" s="249"/>
      <c r="M2" s="128"/>
      <c r="N2" s="128"/>
      <c r="O2" s="128"/>
      <c r="P2" s="128"/>
      <c r="Q2" s="367"/>
      <c r="R2" s="367"/>
      <c r="S2" s="367"/>
      <c r="T2" s="353"/>
      <c r="BG2" s="85"/>
      <c r="BH2" s="85"/>
      <c r="BI2" s="85"/>
      <c r="BJ2" s="87"/>
      <c r="BK2" s="87"/>
      <c r="BL2" s="87"/>
      <c r="BM2" s="87"/>
      <c r="BN2" s="87"/>
      <c r="BO2" s="87"/>
      <c r="BP2" s="87"/>
      <c r="BQ2" s="87"/>
      <c r="BR2" s="87"/>
      <c r="BS2" s="87"/>
      <c r="BT2" s="87"/>
      <c r="BU2" s="85"/>
      <c r="BV2" s="85"/>
      <c r="BW2" s="85"/>
      <c r="BX2" s="85"/>
      <c r="BY2" s="85"/>
      <c r="BZ2" s="85"/>
      <c r="CA2" s="85"/>
      <c r="CB2" s="85"/>
      <c r="CC2" s="85"/>
      <c r="CD2" s="85"/>
      <c r="CE2" s="85"/>
    </row>
    <row r="3" spans="1:83" ht="24.75" customHeight="1" x14ac:dyDescent="0.2">
      <c r="A3" s="548" t="s">
        <v>199</v>
      </c>
      <c r="B3" s="548"/>
      <c r="C3" s="548"/>
      <c r="D3" s="548"/>
      <c r="E3" s="548"/>
      <c r="F3" s="549" t="s">
        <v>500</v>
      </c>
      <c r="G3" s="549"/>
      <c r="H3" s="549"/>
      <c r="I3" s="549"/>
      <c r="J3" s="549"/>
      <c r="K3" s="549"/>
      <c r="L3" s="549"/>
      <c r="M3" s="549"/>
      <c r="N3" s="128"/>
      <c r="Q3" s="87"/>
      <c r="V3" s="319" t="s">
        <v>316</v>
      </c>
      <c r="W3" s="319" t="s">
        <v>311</v>
      </c>
      <c r="X3" s="319" t="s">
        <v>312</v>
      </c>
      <c r="Y3" s="322"/>
      <c r="Z3" s="322"/>
      <c r="AA3" s="322"/>
      <c r="AB3" s="322"/>
      <c r="AC3" s="322"/>
      <c r="AD3" s="322"/>
      <c r="AG3" s="319"/>
      <c r="AH3" s="319"/>
      <c r="AI3" s="319"/>
      <c r="BG3" s="85"/>
      <c r="BH3" s="85"/>
      <c r="BI3" s="85"/>
      <c r="BJ3" s="87"/>
      <c r="BK3" s="87"/>
      <c r="BL3" s="87"/>
      <c r="BM3" s="87"/>
      <c r="BN3" s="87"/>
      <c r="BO3" s="87"/>
      <c r="BP3" s="87"/>
      <c r="BQ3" s="87"/>
      <c r="BR3" s="87"/>
      <c r="BS3" s="87"/>
      <c r="BT3" s="87"/>
      <c r="BU3" s="85"/>
      <c r="BV3" s="85"/>
      <c r="BW3" s="85"/>
      <c r="BX3" s="85"/>
      <c r="BY3" s="85"/>
      <c r="BZ3" s="85"/>
      <c r="CA3" s="85"/>
      <c r="CB3" s="85"/>
      <c r="CC3" s="85"/>
      <c r="CD3" s="85"/>
      <c r="CE3" s="85"/>
    </row>
    <row r="4" spans="1:83" ht="22.35" customHeight="1" x14ac:dyDescent="0.25">
      <c r="A4" s="550" t="s">
        <v>139</v>
      </c>
      <c r="B4" s="551"/>
      <c r="C4" s="25" t="s">
        <v>74</v>
      </c>
      <c r="D4" s="25" t="s">
        <v>73</v>
      </c>
      <c r="E4" s="25" t="s">
        <v>75</v>
      </c>
      <c r="F4" s="25" t="s">
        <v>76</v>
      </c>
      <c r="G4" s="25" t="s">
        <v>77</v>
      </c>
      <c r="H4" s="25" t="s">
        <v>78</v>
      </c>
      <c r="I4" s="545" t="s">
        <v>153</v>
      </c>
      <c r="J4" s="546"/>
      <c r="K4" s="547"/>
      <c r="L4" s="285"/>
      <c r="M4" s="214"/>
      <c r="N4" s="214"/>
      <c r="Q4" s="87"/>
      <c r="T4" s="85">
        <v>1</v>
      </c>
      <c r="U4" s="354" t="s">
        <v>148</v>
      </c>
      <c r="V4" s="355">
        <f>IF(AF11=9,(N(B29)/V14)*(-182.85/0.8254),-(((N(B29)/V14)*(D29/100)*(((VLOOKUP(AF11,acidtable,7,FALSE))*V49*61)/(VLOOKUP(AF11,acidtable,6,FALSE))))))</f>
        <v>0</v>
      </c>
      <c r="W4" s="355">
        <f>IF(AF11=9,(B29/V14)*(88.57),-V4*96/122)</f>
        <v>0</v>
      </c>
      <c r="X4" s="355">
        <f>IF(AF11=9,(B29/V14)*(64),-V4*35.5/61)</f>
        <v>0</v>
      </c>
      <c r="Y4" s="322"/>
      <c r="Z4" s="322"/>
      <c r="AA4" s="322"/>
      <c r="AB4" s="322"/>
      <c r="AC4" s="322"/>
      <c r="AD4" s="322"/>
      <c r="AF4" s="354"/>
      <c r="AG4" s="355"/>
      <c r="AH4" s="355"/>
      <c r="AI4" s="355"/>
      <c r="BG4" s="85"/>
      <c r="BH4" s="85"/>
      <c r="BI4" s="85"/>
      <c r="BJ4" s="87"/>
      <c r="BK4" s="87"/>
      <c r="BL4" s="87"/>
      <c r="BM4" s="87"/>
      <c r="BN4" s="87"/>
      <c r="BO4" s="87"/>
      <c r="BP4" s="87"/>
      <c r="BQ4" s="87"/>
      <c r="BR4" s="87"/>
      <c r="BS4" s="87"/>
      <c r="BT4" s="87"/>
      <c r="BU4" s="85"/>
      <c r="BV4" s="85"/>
      <c r="BW4" s="85"/>
      <c r="BX4" s="85"/>
      <c r="BY4" s="85"/>
      <c r="BZ4" s="85"/>
      <c r="CA4" s="85"/>
      <c r="CB4" s="85"/>
      <c r="CC4" s="85"/>
      <c r="CD4" s="85"/>
      <c r="CE4" s="85"/>
    </row>
    <row r="5" spans="1:83" ht="17.100000000000001" customHeight="1" x14ac:dyDescent="0.2">
      <c r="A5" s="600" t="s">
        <v>479</v>
      </c>
      <c r="B5" s="601"/>
      <c r="C5" s="240">
        <f>VLOOKUP($AF$10,profiles,3,FALSE)</f>
        <v>50</v>
      </c>
      <c r="D5" s="240">
        <f>VLOOKUP($AF$10,profiles,4,FALSE)</f>
        <v>10</v>
      </c>
      <c r="E5" s="240">
        <f>VLOOKUP($AF$10,profiles,5,FALSE)</f>
        <v>5</v>
      </c>
      <c r="F5" s="240">
        <f>VLOOKUP($AF$10,profiles,6,FALSE)</f>
        <v>105</v>
      </c>
      <c r="G5" s="240">
        <f>VLOOKUP($AF$10,profiles,7,FALSE)</f>
        <v>45</v>
      </c>
      <c r="H5" s="240">
        <f>VLOOKUP($AF$10,profiles,8,FALSE)</f>
        <v>0</v>
      </c>
      <c r="I5" s="552" t="s">
        <v>9</v>
      </c>
      <c r="J5" s="553"/>
      <c r="K5" s="554"/>
      <c r="L5" s="284"/>
      <c r="M5" s="284"/>
      <c r="N5" s="284"/>
      <c r="Q5" s="87"/>
      <c r="T5" s="85">
        <v>2</v>
      </c>
      <c r="U5" s="354" t="s">
        <v>67</v>
      </c>
      <c r="V5" s="355">
        <f>IF(AF11=9,(N(B29)/V14)*(-182.85/0.8254),-(N(B29)/V14)*N(D29)*61)</f>
        <v>0</v>
      </c>
      <c r="W5" s="355">
        <f>IF(AF11=9,(N(B29)/V14)*(88.57),-V5*96/122)</f>
        <v>0</v>
      </c>
      <c r="X5" s="355">
        <f>IF(AF11=9,(N(B29)/V14)*(64),-V5*35.5/61)</f>
        <v>0</v>
      </c>
      <c r="Y5" s="322"/>
      <c r="Z5" s="322"/>
      <c r="AA5" s="322"/>
      <c r="AB5" s="322"/>
      <c r="AC5" s="322"/>
      <c r="AD5" s="322"/>
      <c r="AF5" s="354"/>
      <c r="AG5" s="355"/>
      <c r="AH5" s="355"/>
      <c r="AI5" s="355"/>
      <c r="BG5" s="85"/>
      <c r="BH5" s="85"/>
      <c r="BI5" s="85"/>
      <c r="BJ5" s="87"/>
      <c r="BK5" s="87"/>
      <c r="BL5" s="87"/>
      <c r="BM5" s="87"/>
      <c r="BN5" s="87"/>
      <c r="BO5" s="87"/>
      <c r="BP5" s="87"/>
      <c r="BQ5" s="87"/>
      <c r="BR5" s="87"/>
      <c r="BS5" s="87"/>
      <c r="BT5" s="87"/>
      <c r="BU5" s="85"/>
      <c r="BV5" s="85"/>
      <c r="BW5" s="85"/>
      <c r="BX5" s="85"/>
      <c r="BY5" s="85"/>
      <c r="BZ5" s="85"/>
      <c r="CA5" s="85"/>
      <c r="CB5" s="85"/>
      <c r="CC5" s="85"/>
      <c r="CD5" s="85"/>
      <c r="CE5" s="85"/>
    </row>
    <row r="6" spans="1:83" ht="17.100000000000001" customHeight="1" x14ac:dyDescent="0.2">
      <c r="A6" s="543" t="s">
        <v>147</v>
      </c>
      <c r="B6" s="544"/>
      <c r="C6" s="300">
        <f>'1. Water Report Input'!$B$6</f>
        <v>0</v>
      </c>
      <c r="D6" s="300">
        <f>'1. Water Report Input'!$B$7</f>
        <v>0</v>
      </c>
      <c r="E6" s="300">
        <f>'1. Water Report Input'!$B$8</f>
        <v>0</v>
      </c>
      <c r="F6" s="300">
        <f>'1. Water Report Input'!$C$8</f>
        <v>0</v>
      </c>
      <c r="G6" s="300">
        <f>'1. Water Report Input'!$C$9</f>
        <v>0</v>
      </c>
      <c r="H6" s="300">
        <f>'1. Water Report Input'!$B$15*61/50</f>
        <v>0</v>
      </c>
      <c r="I6" s="559" t="s">
        <v>137</v>
      </c>
      <c r="J6" s="560"/>
      <c r="K6" s="561"/>
      <c r="L6" s="284"/>
      <c r="M6" s="284"/>
      <c r="N6" s="284"/>
      <c r="Q6" s="87"/>
      <c r="T6" s="85">
        <v>3</v>
      </c>
      <c r="U6" s="354" t="s">
        <v>149</v>
      </c>
      <c r="V6" s="355">
        <f>IF(AF11=9,(N(B29)/V14)*(-182.85/0.8254),-(N(B29)/V14)*N(D29)*V49*61)</f>
        <v>0</v>
      </c>
      <c r="W6" s="355">
        <f>IF(AF11=9,(N(B29)/V14)*(88.57),-V6*96/122)</f>
        <v>0</v>
      </c>
      <c r="X6" s="355">
        <f>IF(AF11=9,(N(B29)/V14)*(64),-V6*35.5/61)</f>
        <v>0</v>
      </c>
      <c r="Y6" s="322"/>
      <c r="Z6" s="322"/>
      <c r="AA6" s="322"/>
      <c r="AB6" s="322" t="str">
        <f>IF(AND($AF$11&gt;=6,$AF$11&lt;=8),"(gram/gal)","(mL/gal)")</f>
        <v>(mL/gal)</v>
      </c>
      <c r="AC6" s="322"/>
      <c r="AD6" s="322"/>
      <c r="AF6" s="354"/>
      <c r="AG6" s="355"/>
      <c r="AH6" s="355"/>
      <c r="AI6" s="355"/>
      <c r="AQ6" s="322"/>
      <c r="BG6" s="85"/>
      <c r="BH6" s="85"/>
      <c r="BI6" s="85"/>
      <c r="BJ6" s="87"/>
      <c r="BK6" s="87"/>
      <c r="BL6" s="87"/>
      <c r="BM6" s="87"/>
      <c r="BN6" s="87"/>
      <c r="BO6" s="87"/>
      <c r="BP6" s="87"/>
      <c r="BQ6" s="87"/>
      <c r="BR6" s="87"/>
      <c r="BS6" s="87"/>
      <c r="BT6" s="87"/>
      <c r="BU6" s="85"/>
      <c r="BV6" s="85"/>
      <c r="BW6" s="85"/>
      <c r="BX6" s="85"/>
      <c r="BY6" s="85"/>
      <c r="BZ6" s="85"/>
      <c r="CA6" s="85"/>
      <c r="CB6" s="85"/>
      <c r="CC6" s="85"/>
      <c r="CD6" s="85"/>
      <c r="CE6" s="85"/>
    </row>
    <row r="7" spans="1:83" ht="17.100000000000001" customHeight="1" x14ac:dyDescent="0.2">
      <c r="A7" s="543" t="s">
        <v>145</v>
      </c>
      <c r="B7" s="544"/>
      <c r="C7" s="37"/>
      <c r="D7" s="37"/>
      <c r="E7" s="37"/>
      <c r="F7" s="37"/>
      <c r="G7" s="37"/>
      <c r="H7" s="180"/>
      <c r="I7" s="562" t="s">
        <v>138</v>
      </c>
      <c r="J7" s="563"/>
      <c r="K7" s="564"/>
      <c r="L7" s="284"/>
      <c r="M7" s="284"/>
      <c r="N7" s="284"/>
      <c r="Q7" s="87"/>
      <c r="T7" s="85">
        <v>4</v>
      </c>
      <c r="U7" s="234" t="s">
        <v>260</v>
      </c>
      <c r="V7" s="355">
        <f>IF(AF11=9,(N(B29)/V14)*(-182.85/0.8254),-((N(B29)*1000/V14)*61*V49)/Y35)</f>
        <v>0</v>
      </c>
      <c r="W7" s="85">
        <f>IF(AF11=9,(N(B29)/V14)*(88.57),0)</f>
        <v>0</v>
      </c>
      <c r="X7" s="85">
        <f>IF(AF11=9,(N(B29)/V14)*(64),0)</f>
        <v>0</v>
      </c>
      <c r="Y7" s="322"/>
      <c r="Z7" s="322"/>
      <c r="AA7" s="322"/>
      <c r="AB7" s="322" t="str">
        <f>IF(AND($AF$11&gt;=6,$AF$11&lt;=8),"(gram/L)","(mL/L)")</f>
        <v>(mL/L)</v>
      </c>
      <c r="AC7" s="322"/>
      <c r="AD7" s="322"/>
      <c r="AF7" s="234"/>
      <c r="AG7" s="355"/>
      <c r="AQ7" s="322"/>
      <c r="BG7" s="85"/>
      <c r="BH7" s="85"/>
      <c r="BI7" s="85"/>
      <c r="BJ7" s="87"/>
      <c r="BK7" s="87"/>
      <c r="BL7" s="87"/>
      <c r="BM7" s="87"/>
      <c r="BN7" s="87"/>
      <c r="BO7" s="87"/>
      <c r="BP7" s="87"/>
      <c r="BQ7" s="87"/>
      <c r="BR7" s="87"/>
      <c r="BS7" s="87"/>
      <c r="BT7" s="87"/>
      <c r="BU7" s="85"/>
      <c r="BV7" s="85"/>
      <c r="BW7" s="85"/>
      <c r="BX7" s="85"/>
      <c r="BY7" s="85"/>
      <c r="BZ7" s="85"/>
      <c r="CA7" s="85"/>
      <c r="CB7" s="85"/>
      <c r="CC7" s="85"/>
      <c r="CD7" s="85"/>
      <c r="CE7" s="85"/>
    </row>
    <row r="8" spans="1:83" ht="17.100000000000001" customHeight="1" x14ac:dyDescent="0.2">
      <c r="A8" s="600" t="s">
        <v>110</v>
      </c>
      <c r="B8" s="601"/>
      <c r="C8" s="301">
        <f>VLOOKUP($AG$10,dilution,3,FALSE)</f>
        <v>1</v>
      </c>
      <c r="D8" s="301">
        <f>VLOOKUP($AG$10,dilution,4,FALSE)</f>
        <v>0</v>
      </c>
      <c r="E8" s="301">
        <f>VLOOKUP($AG$10,dilution,5,FALSE)</f>
        <v>8</v>
      </c>
      <c r="F8" s="301">
        <f>VLOOKUP($AG$10,dilution,6,FALSE)</f>
        <v>1</v>
      </c>
      <c r="G8" s="301">
        <f>VLOOKUP($AG$10,dilution,7,FALSE)</f>
        <v>4</v>
      </c>
      <c r="H8" s="301">
        <f>VLOOKUP($AG$10,dilution,8,FALSE)</f>
        <v>16</v>
      </c>
      <c r="I8" s="565" t="s">
        <v>8</v>
      </c>
      <c r="J8" s="566"/>
      <c r="K8" s="567"/>
      <c r="L8" s="284"/>
      <c r="M8" s="284"/>
      <c r="N8" s="284"/>
      <c r="O8" s="168"/>
      <c r="P8" s="168"/>
      <c r="Q8" s="87"/>
      <c r="U8" s="345" t="str">
        <f>VLOOKUP($AF$12,strengthtable,2,FALSE)</f>
        <v>%</v>
      </c>
      <c r="V8" s="220">
        <f>((H6*(50/61)*(1+(2*10^-2.33)))-(($C$6*0.7143)+($D$6*0.5879)))</f>
        <v>0</v>
      </c>
      <c r="Y8" s="322"/>
      <c r="Z8" s="322"/>
      <c r="AA8" s="322"/>
      <c r="AB8" s="322"/>
      <c r="AC8" s="322"/>
      <c r="AD8" s="322"/>
      <c r="AF8" s="345"/>
      <c r="AQ8" s="322"/>
      <c r="BG8" s="85"/>
      <c r="BH8" s="85"/>
      <c r="BI8" s="85"/>
      <c r="BJ8" s="87"/>
      <c r="BK8" s="87"/>
      <c r="BL8" s="87"/>
      <c r="BM8" s="87"/>
      <c r="BN8" s="87"/>
      <c r="BO8" s="87"/>
      <c r="BP8" s="87"/>
      <c r="BQ8" s="87"/>
      <c r="BR8" s="87"/>
      <c r="BS8" s="87"/>
      <c r="BT8" s="87"/>
      <c r="BU8" s="85"/>
      <c r="BV8" s="85"/>
      <c r="BW8" s="85"/>
      <c r="BX8" s="85"/>
      <c r="BY8" s="85"/>
      <c r="BZ8" s="85"/>
      <c r="CA8" s="85"/>
      <c r="CB8" s="85"/>
      <c r="CC8" s="85"/>
      <c r="CD8" s="85"/>
      <c r="CE8" s="85"/>
    </row>
    <row r="9" spans="1:83" ht="17.100000000000001" customHeight="1" x14ac:dyDescent="0.2">
      <c r="A9" s="208" t="s">
        <v>469</v>
      </c>
      <c r="B9" s="238">
        <v>0</v>
      </c>
      <c r="C9" s="5">
        <f>(N(B9)/100)*W14</f>
        <v>0</v>
      </c>
      <c r="D9" s="110" t="str">
        <f>X14</f>
        <v>oz/gal</v>
      </c>
      <c r="E9" s="5">
        <f>(N(B9)/100)*Y14</f>
        <v>0</v>
      </c>
      <c r="F9" s="110" t="str">
        <f>Z14</f>
        <v>pt/gal</v>
      </c>
      <c r="G9" s="53" t="s">
        <v>175</v>
      </c>
      <c r="H9" s="18"/>
      <c r="I9" s="13"/>
      <c r="J9" s="13"/>
      <c r="K9" s="252"/>
      <c r="L9" s="284"/>
      <c r="M9" s="284"/>
      <c r="N9" s="284"/>
      <c r="O9" s="571"/>
      <c r="P9" s="571"/>
      <c r="Q9" s="87"/>
      <c r="Y9" s="322"/>
      <c r="Z9" s="322"/>
      <c r="AA9" s="322"/>
      <c r="AB9" s="322"/>
      <c r="AC9" s="322"/>
      <c r="AD9" s="322"/>
      <c r="AQ9" s="322"/>
      <c r="BG9" s="85"/>
      <c r="BH9" s="85"/>
      <c r="BI9" s="85"/>
      <c r="BJ9" s="87"/>
      <c r="BK9" s="87"/>
      <c r="BL9" s="87"/>
      <c r="BM9" s="87"/>
      <c r="BN9" s="87"/>
      <c r="BO9" s="87"/>
      <c r="BP9" s="87"/>
      <c r="BQ9" s="87"/>
      <c r="BR9" s="87"/>
      <c r="BS9" s="87"/>
      <c r="BT9" s="87"/>
      <c r="BU9" s="85"/>
      <c r="BV9" s="85"/>
      <c r="BW9" s="85"/>
      <c r="BX9" s="85"/>
      <c r="BY9" s="85"/>
      <c r="BZ9" s="85"/>
      <c r="CA9" s="85"/>
      <c r="CB9" s="85"/>
      <c r="CC9" s="85"/>
      <c r="CD9" s="85"/>
      <c r="CE9" s="85"/>
    </row>
    <row r="10" spans="1:83" ht="17.100000000000001" customHeight="1" x14ac:dyDescent="0.2">
      <c r="A10" s="543" t="s">
        <v>146</v>
      </c>
      <c r="B10" s="544"/>
      <c r="C10" s="5">
        <f t="shared" ref="C10:H10" si="0">(C8*(N($B$9)/100)+(C6*(1-(N($B$9)/100))))</f>
        <v>0</v>
      </c>
      <c r="D10" s="5">
        <f t="shared" si="0"/>
        <v>0</v>
      </c>
      <c r="E10" s="5">
        <f t="shared" si="0"/>
        <v>0</v>
      </c>
      <c r="F10" s="5">
        <f t="shared" si="0"/>
        <v>0</v>
      </c>
      <c r="G10" s="5">
        <f t="shared" si="0"/>
        <v>0</v>
      </c>
      <c r="H10" s="5">
        <f t="shared" si="0"/>
        <v>0</v>
      </c>
      <c r="I10" s="166"/>
      <c r="J10" s="13"/>
      <c r="K10" s="12"/>
      <c r="L10" s="284"/>
      <c r="M10" s="284"/>
      <c r="N10" s="284"/>
      <c r="O10" s="571"/>
      <c r="P10" s="571"/>
      <c r="Q10" s="87"/>
      <c r="T10" s="85">
        <v>1</v>
      </c>
      <c r="U10" s="85" t="s">
        <v>282</v>
      </c>
      <c r="V10" s="85">
        <v>3.7850000000000001</v>
      </c>
      <c r="W10" s="85">
        <v>128</v>
      </c>
      <c r="X10" s="85" t="s">
        <v>157</v>
      </c>
      <c r="Y10" s="85">
        <v>8</v>
      </c>
      <c r="Z10" s="85" t="s">
        <v>158</v>
      </c>
      <c r="AA10" s="85" t="s">
        <v>288</v>
      </c>
      <c r="AB10" s="85" t="str">
        <f>AB6</f>
        <v>(mL/gal)</v>
      </c>
      <c r="AC10" s="85" t="s">
        <v>6</v>
      </c>
      <c r="AF10" s="85">
        <f>INDEX($A$38:$A$103, MATCH($A$5,$B$38:$B$103,0))</f>
        <v>52</v>
      </c>
      <c r="AG10" s="85">
        <f>INDEX($A$108:$A$109, MATCH($A$8,$B$108:$B$109,0))</f>
        <v>2</v>
      </c>
      <c r="BG10" s="85"/>
      <c r="BH10" s="85"/>
      <c r="BI10" s="85"/>
      <c r="BJ10" s="87"/>
      <c r="BK10" s="87"/>
      <c r="BL10" s="87"/>
      <c r="BM10" s="87"/>
      <c r="BN10" s="87"/>
      <c r="BO10" s="87"/>
      <c r="BP10" s="87"/>
      <c r="BQ10" s="87"/>
      <c r="BR10" s="87"/>
      <c r="BS10" s="87"/>
      <c r="BT10" s="87"/>
      <c r="BU10" s="85"/>
      <c r="BV10" s="85"/>
      <c r="BW10" s="85"/>
      <c r="BX10" s="85"/>
      <c r="BY10" s="85"/>
      <c r="BZ10" s="85"/>
      <c r="CA10" s="85"/>
      <c r="CB10" s="85"/>
      <c r="CC10" s="85"/>
      <c r="CD10" s="85"/>
      <c r="CE10" s="85"/>
    </row>
    <row r="11" spans="1:83" ht="17.100000000000001" customHeight="1" x14ac:dyDescent="0.2">
      <c r="A11" s="574" t="s">
        <v>392</v>
      </c>
      <c r="B11" s="520"/>
      <c r="C11" s="302">
        <f t="shared" ref="C11:H11" si="1">C5-C10</f>
        <v>50</v>
      </c>
      <c r="D11" s="302">
        <f t="shared" si="1"/>
        <v>10</v>
      </c>
      <c r="E11" s="302">
        <f t="shared" si="1"/>
        <v>5</v>
      </c>
      <c r="F11" s="302">
        <f t="shared" si="1"/>
        <v>105</v>
      </c>
      <c r="G11" s="302">
        <f t="shared" si="1"/>
        <v>45</v>
      </c>
      <c r="H11" s="302">
        <f t="shared" si="1"/>
        <v>0</v>
      </c>
      <c r="I11" s="166"/>
      <c r="J11" s="13"/>
      <c r="K11" s="12"/>
      <c r="L11" s="284"/>
      <c r="M11" s="284"/>
      <c r="N11" s="284"/>
      <c r="O11" s="573"/>
      <c r="P11" s="572"/>
      <c r="Q11" s="87"/>
      <c r="T11" s="85">
        <v>2</v>
      </c>
      <c r="U11" s="85" t="s">
        <v>202</v>
      </c>
      <c r="V11" s="85">
        <v>1</v>
      </c>
      <c r="W11" s="85">
        <v>1000</v>
      </c>
      <c r="X11" s="85" t="s">
        <v>285</v>
      </c>
      <c r="Y11" s="85">
        <v>100</v>
      </c>
      <c r="Z11" s="85" t="s">
        <v>286</v>
      </c>
      <c r="AA11" s="85" t="s">
        <v>287</v>
      </c>
      <c r="AB11" s="85" t="str">
        <f>AB7</f>
        <v>(mL/L)</v>
      </c>
      <c r="AC11" s="85" t="s">
        <v>289</v>
      </c>
      <c r="AF11" s="85">
        <f>INDEX($T$26:$T$34, MATCH($A$29,$U$26:$U$34,0))</f>
        <v>3</v>
      </c>
      <c r="BG11" s="85"/>
      <c r="BH11" s="85"/>
      <c r="BI11" s="85"/>
      <c r="BJ11" s="87"/>
      <c r="BK11" s="87"/>
      <c r="BL11" s="87"/>
      <c r="BM11" s="87"/>
      <c r="BN11" s="87"/>
      <c r="BO11" s="87"/>
      <c r="BP11" s="87"/>
      <c r="BQ11" s="87"/>
      <c r="BR11" s="87"/>
      <c r="BS11" s="87"/>
      <c r="BT11" s="87"/>
      <c r="BU11" s="85"/>
      <c r="BV11" s="85"/>
      <c r="BW11" s="85"/>
      <c r="BX11" s="85"/>
      <c r="BY11" s="85"/>
      <c r="BZ11" s="85"/>
      <c r="CA11" s="85"/>
      <c r="CB11" s="85"/>
      <c r="CC11" s="85"/>
      <c r="CD11" s="85"/>
      <c r="CE11" s="85"/>
    </row>
    <row r="12" spans="1:83" ht="17.100000000000001" customHeight="1" x14ac:dyDescent="0.2">
      <c r="A12" s="574" t="s">
        <v>393</v>
      </c>
      <c r="B12" s="574">
        <v>2</v>
      </c>
      <c r="C12" s="302">
        <f>AB41</f>
        <v>0</v>
      </c>
      <c r="D12" s="302">
        <f>AB42</f>
        <v>0</v>
      </c>
      <c r="E12" s="302">
        <f>AB43</f>
        <v>0</v>
      </c>
      <c r="F12" s="302">
        <f>AB44</f>
        <v>0</v>
      </c>
      <c r="G12" s="302">
        <f>AB45</f>
        <v>0</v>
      </c>
      <c r="H12" s="302">
        <f ca="1">AB46</f>
        <v>0</v>
      </c>
      <c r="I12" s="166"/>
      <c r="J12" s="13"/>
      <c r="K12" s="12"/>
      <c r="N12" s="181"/>
      <c r="O12" s="573"/>
      <c r="P12" s="572"/>
      <c r="Q12" s="87"/>
      <c r="AF12" s="85">
        <f>INDEX($T$4:$T$7, MATCH($E$29,$U$4:$U$7,0))</f>
        <v>1</v>
      </c>
      <c r="BG12" s="85"/>
      <c r="BH12" s="85"/>
      <c r="BI12" s="85"/>
      <c r="BJ12" s="87"/>
      <c r="BK12" s="87"/>
      <c r="BL12" s="87"/>
      <c r="BM12" s="87"/>
      <c r="BN12" s="87"/>
      <c r="BO12" s="87"/>
      <c r="BP12" s="87"/>
      <c r="BQ12" s="87"/>
      <c r="BR12" s="87"/>
      <c r="BS12" s="87"/>
      <c r="BT12" s="87"/>
      <c r="BU12" s="85"/>
      <c r="BV12" s="85"/>
      <c r="BW12" s="85"/>
      <c r="BX12" s="85"/>
      <c r="BY12" s="85"/>
      <c r="BZ12" s="85"/>
      <c r="CA12" s="85"/>
      <c r="CB12" s="85"/>
      <c r="CC12" s="85"/>
      <c r="CD12" s="85"/>
      <c r="CE12" s="85"/>
    </row>
    <row r="13" spans="1:83" ht="17.100000000000001" customHeight="1" x14ac:dyDescent="0.2">
      <c r="A13" s="543" t="s">
        <v>391</v>
      </c>
      <c r="B13" s="544"/>
      <c r="C13" s="300">
        <f>C10+AB41</f>
        <v>0</v>
      </c>
      <c r="D13" s="300">
        <f>D10+AB42</f>
        <v>0</v>
      </c>
      <c r="E13" s="300">
        <f>E10+AB43</f>
        <v>0</v>
      </c>
      <c r="F13" s="300">
        <f>F10+AB44</f>
        <v>0</v>
      </c>
      <c r="G13" s="300">
        <f>N(G10)+AB45</f>
        <v>0</v>
      </c>
      <c r="H13" s="303">
        <f ca="1">H10+AB46</f>
        <v>0</v>
      </c>
      <c r="I13" s="169"/>
      <c r="J13" s="13"/>
      <c r="K13" s="12"/>
      <c r="L13" s="168"/>
      <c r="M13" s="168"/>
      <c r="N13" s="181"/>
      <c r="O13" s="181"/>
      <c r="P13" s="182"/>
      <c r="Q13" s="87"/>
      <c r="BG13" s="85"/>
      <c r="BH13" s="85"/>
      <c r="BI13" s="85"/>
      <c r="BJ13" s="87"/>
      <c r="BK13" s="87"/>
      <c r="BL13" s="87"/>
      <c r="BM13" s="87"/>
      <c r="BN13" s="87"/>
      <c r="BO13" s="87"/>
      <c r="BP13" s="87"/>
      <c r="BQ13" s="87"/>
      <c r="BR13" s="87"/>
      <c r="BS13" s="87"/>
      <c r="BT13" s="87"/>
      <c r="BU13" s="85"/>
      <c r="BV13" s="85"/>
      <c r="BW13" s="85"/>
      <c r="BX13" s="85"/>
      <c r="BY13" s="85"/>
      <c r="BZ13" s="85"/>
      <c r="CA13" s="85"/>
      <c r="CB13" s="85"/>
      <c r="CC13" s="85"/>
      <c r="CD13" s="85"/>
      <c r="CE13" s="85"/>
    </row>
    <row r="14" spans="1:83" ht="17.100000000000001" customHeight="1" thickBot="1" x14ac:dyDescent="0.25">
      <c r="A14" s="294"/>
      <c r="B14" s="294"/>
      <c r="C14" s="283"/>
      <c r="D14" s="283"/>
      <c r="E14" s="283"/>
      <c r="F14" s="283"/>
      <c r="G14" s="283"/>
      <c r="H14" s="283"/>
      <c r="I14" s="167"/>
      <c r="J14" s="167"/>
      <c r="K14" s="293"/>
      <c r="L14" s="293"/>
      <c r="M14" s="293"/>
      <c r="N14" s="167"/>
      <c r="P14" s="221"/>
      <c r="Q14" s="87"/>
      <c r="T14" s="346">
        <f>VLOOKUP('1. Water Report Input'!$H$7,watervaritable,1,FALSE)</f>
        <v>1</v>
      </c>
      <c r="U14" s="345" t="str">
        <f>VLOOKUP('1. Water Report Input'!$H$7,watervaritable,2,FALSE)</f>
        <v>Gallons</v>
      </c>
      <c r="V14" s="346">
        <f>VLOOKUP('1. Water Report Input'!$H$7,watervaritable,3,FALSE)</f>
        <v>3.7850000000000001</v>
      </c>
      <c r="W14" s="346">
        <f>VLOOKUP('1. Water Report Input'!$H$7,watervaritable,4,FALSE)</f>
        <v>128</v>
      </c>
      <c r="X14" s="345" t="str">
        <f>VLOOKUP('1. Water Report Input'!$H$7,watervaritable,5,FALSE)</f>
        <v>oz/gal</v>
      </c>
      <c r="Y14" s="346">
        <f>VLOOKUP('1. Water Report Input'!$H$7,watervaritable,6,FALSE)</f>
        <v>8</v>
      </c>
      <c r="Z14" s="345" t="str">
        <f>VLOOKUP('1. Water Report Input'!$H$7,watervaritable,7,FALSE)</f>
        <v>pt/gal</v>
      </c>
      <c r="AA14" s="345" t="str">
        <f>VLOOKUP('1. Water Report Input'!$H$7,watervaritable,8,FALSE)</f>
        <v>Addition   (gram/gal)</v>
      </c>
      <c r="AB14" s="345" t="str">
        <f>VLOOKUP('1. Water Report Input'!$H$7,watervaritable,9,FALSE)</f>
        <v>(mL/gal)</v>
      </c>
      <c r="AC14" s="345" t="str">
        <f>VLOOKUP('1. Water Report Input'!$H$7,watervaritable,10,FALSE)</f>
        <v>Water Volume   (gal)</v>
      </c>
      <c r="AD14" s="346"/>
      <c r="AI14" s="346"/>
      <c r="AJ14" s="345"/>
      <c r="AK14" s="346"/>
      <c r="AL14" s="346"/>
      <c r="AM14" s="345"/>
      <c r="AN14" s="346"/>
      <c r="AO14" s="345"/>
      <c r="AP14" s="345"/>
      <c r="AQ14" s="345"/>
      <c r="AR14" s="345"/>
      <c r="AS14" s="346"/>
      <c r="BG14" s="85"/>
      <c r="BH14" s="85"/>
      <c r="BI14" s="85"/>
      <c r="BJ14" s="87"/>
      <c r="BK14" s="87"/>
      <c r="BL14" s="87"/>
      <c r="BM14" s="87"/>
      <c r="BN14" s="87"/>
      <c r="BO14" s="87"/>
      <c r="BP14" s="87"/>
      <c r="BQ14" s="87"/>
      <c r="BR14" s="87"/>
      <c r="BS14" s="87"/>
      <c r="BT14" s="87"/>
      <c r="BU14" s="85"/>
      <c r="BV14" s="85"/>
      <c r="BW14" s="85"/>
      <c r="BX14" s="85"/>
      <c r="BY14" s="85"/>
      <c r="BZ14" s="85"/>
      <c r="CA14" s="85"/>
      <c r="CB14" s="85"/>
      <c r="CC14" s="85"/>
      <c r="CD14" s="85"/>
      <c r="CE14" s="85"/>
    </row>
    <row r="15" spans="1:83" ht="22.35" customHeight="1" x14ac:dyDescent="0.2">
      <c r="A15" s="104"/>
      <c r="B15" s="142"/>
      <c r="C15" s="295"/>
      <c r="D15" s="295"/>
      <c r="E15" s="295"/>
      <c r="F15" s="295"/>
      <c r="G15" s="295"/>
      <c r="H15" s="296"/>
      <c r="I15" s="538" t="s">
        <v>10</v>
      </c>
      <c r="J15" s="539"/>
      <c r="K15" s="539"/>
      <c r="L15" s="540"/>
      <c r="M15" s="602" t="s">
        <v>332</v>
      </c>
      <c r="N15" s="603"/>
      <c r="O15" s="598"/>
      <c r="P15" s="557"/>
      <c r="Q15" s="87"/>
      <c r="BG15" s="85"/>
      <c r="BH15" s="85"/>
      <c r="BI15" s="85"/>
      <c r="BJ15" s="87"/>
      <c r="BK15" s="87"/>
      <c r="BL15" s="87"/>
      <c r="BM15" s="87"/>
      <c r="BN15" s="87"/>
      <c r="BO15" s="87"/>
      <c r="BP15" s="87"/>
      <c r="BQ15" s="87"/>
      <c r="BR15" s="87"/>
      <c r="BS15" s="87"/>
      <c r="BT15" s="87"/>
      <c r="BU15" s="85"/>
      <c r="BV15" s="85"/>
      <c r="BW15" s="85"/>
      <c r="BX15" s="85"/>
      <c r="BY15" s="85"/>
      <c r="BZ15" s="85"/>
      <c r="CA15" s="85"/>
      <c r="CB15" s="85"/>
      <c r="CC15" s="85"/>
      <c r="CD15" s="85"/>
      <c r="CE15" s="85"/>
    </row>
    <row r="16" spans="1:83" ht="22.35" customHeight="1" x14ac:dyDescent="0.2">
      <c r="A16" s="165" t="s">
        <v>207</v>
      </c>
      <c r="B16" s="185">
        <f ca="1">'3. Grain Bill Input'!F24</f>
        <v>5.7029889916336414</v>
      </c>
      <c r="C16" s="533" t="s">
        <v>390</v>
      </c>
      <c r="D16" s="534"/>
      <c r="E16" s="534"/>
      <c r="F16" s="534"/>
      <c r="G16" s="534"/>
      <c r="H16" s="535"/>
      <c r="I16" s="536" t="s">
        <v>4</v>
      </c>
      <c r="J16" s="536"/>
      <c r="K16" s="536" t="s">
        <v>5</v>
      </c>
      <c r="L16" s="536"/>
      <c r="M16" s="604"/>
      <c r="N16" s="605"/>
      <c r="O16" s="598"/>
      <c r="P16" s="557"/>
      <c r="Q16" s="87"/>
      <c r="U16" s="220">
        <f ca="1">V16-(($C$13*0.7143)+($D$13*0.5879))</f>
        <v>0</v>
      </c>
      <c r="V16" s="220">
        <f ca="1">$H$13*(50/61)*(1+(2*10^-4))</f>
        <v>0</v>
      </c>
      <c r="BG16" s="85"/>
      <c r="BH16" s="85"/>
      <c r="BI16" s="85"/>
      <c r="BJ16" s="87"/>
      <c r="BK16" s="87"/>
      <c r="BL16" s="87"/>
      <c r="BM16" s="87"/>
      <c r="BN16" s="87"/>
      <c r="BO16" s="87"/>
      <c r="BP16" s="87"/>
      <c r="BQ16" s="87"/>
      <c r="BR16" s="87"/>
      <c r="BS16" s="87"/>
      <c r="BT16" s="87"/>
      <c r="BU16" s="85"/>
      <c r="BV16" s="85"/>
      <c r="BW16" s="85"/>
      <c r="BX16" s="85"/>
      <c r="BY16" s="85"/>
      <c r="BZ16" s="85"/>
      <c r="CA16" s="85"/>
      <c r="CB16" s="85"/>
      <c r="CC16" s="85"/>
      <c r="CD16" s="85"/>
      <c r="CE16" s="85"/>
    </row>
    <row r="17" spans="1:83" ht="38.450000000000003" customHeight="1" x14ac:dyDescent="0.25">
      <c r="A17" s="58" t="s">
        <v>154</v>
      </c>
      <c r="B17" s="59"/>
      <c r="C17" s="54"/>
      <c r="D17" s="54"/>
      <c r="E17" s="54"/>
      <c r="F17" s="54"/>
      <c r="G17" s="54"/>
      <c r="H17" s="54"/>
      <c r="I17" s="112" t="str">
        <f>AC14</f>
        <v>Water Volume   (gal)</v>
      </c>
      <c r="J17" s="120">
        <v>3.75</v>
      </c>
      <c r="K17" s="112" t="str">
        <f>AC14</f>
        <v>Water Volume   (gal)</v>
      </c>
      <c r="L17" s="120">
        <v>4</v>
      </c>
      <c r="M17" s="134" t="str">
        <f>AC14</f>
        <v>Water Volume   (gal)</v>
      </c>
      <c r="N17" s="120">
        <v>5</v>
      </c>
      <c r="Q17" s="87"/>
      <c r="T17" s="85">
        <f>IF(N(J17)=0,0.00001,N(J17))</f>
        <v>3.75</v>
      </c>
      <c r="U17" s="85">
        <f>IF(N(L17)=0,0.00001,N(L17))</f>
        <v>4</v>
      </c>
      <c r="V17" s="85">
        <f>IF(N(N17)=0,0.00001,N(N17))</f>
        <v>5</v>
      </c>
      <c r="W17" s="85" t="b">
        <f>'3. Grain Bill Input'!I21</f>
        <v>1</v>
      </c>
      <c r="BG17" s="85"/>
      <c r="BH17" s="85"/>
      <c r="BI17" s="85"/>
      <c r="BJ17" s="87"/>
      <c r="BK17" s="87"/>
      <c r="BL17" s="87"/>
      <c r="BM17" s="87"/>
      <c r="BN17" s="87"/>
      <c r="BO17" s="87"/>
      <c r="BP17" s="87"/>
      <c r="BQ17" s="87"/>
      <c r="BR17" s="87"/>
      <c r="BS17" s="87"/>
      <c r="BT17" s="87"/>
      <c r="BU17" s="85"/>
      <c r="BV17" s="85"/>
      <c r="BW17" s="85"/>
      <c r="BX17" s="85"/>
      <c r="BY17" s="85"/>
      <c r="BZ17" s="85"/>
      <c r="CA17" s="85"/>
      <c r="CB17" s="85"/>
      <c r="CC17" s="85"/>
      <c r="CD17" s="85"/>
      <c r="CE17" s="85"/>
    </row>
    <row r="18" spans="1:83" ht="27" customHeight="1" thickBot="1" x14ac:dyDescent="0.3">
      <c r="A18" s="163" t="s">
        <v>387</v>
      </c>
      <c r="B18" s="111" t="str">
        <f>AA14</f>
        <v>Addition   (gram/gal)</v>
      </c>
      <c r="C18" s="26" t="s">
        <v>74</v>
      </c>
      <c r="D18" s="26" t="s">
        <v>73</v>
      </c>
      <c r="E18" s="26" t="s">
        <v>75</v>
      </c>
      <c r="F18" s="26" t="s">
        <v>76</v>
      </c>
      <c r="G18" s="26" t="s">
        <v>77</v>
      </c>
      <c r="H18" s="57" t="s">
        <v>78</v>
      </c>
      <c r="I18" s="606" t="s">
        <v>182</v>
      </c>
      <c r="J18" s="606"/>
      <c r="K18" s="606" t="s">
        <v>182</v>
      </c>
      <c r="L18" s="606"/>
      <c r="M18" s="347"/>
      <c r="N18" s="282"/>
      <c r="O18" s="282"/>
      <c r="P18" s="87"/>
      <c r="Q18" s="87"/>
      <c r="BG18" s="85"/>
      <c r="BH18" s="85"/>
      <c r="BI18" s="85"/>
      <c r="BJ18" s="87"/>
      <c r="BK18" s="87"/>
      <c r="BL18" s="87"/>
      <c r="BM18" s="87"/>
      <c r="BN18" s="87"/>
      <c r="BO18" s="87"/>
      <c r="BP18" s="87"/>
      <c r="BQ18" s="87"/>
      <c r="BR18" s="87"/>
      <c r="BS18" s="87"/>
      <c r="BT18" s="87"/>
      <c r="BU18" s="85"/>
      <c r="BV18" s="85"/>
      <c r="BW18" s="85"/>
      <c r="BX18" s="85"/>
      <c r="BY18" s="85"/>
      <c r="BZ18" s="85"/>
      <c r="CA18" s="85"/>
      <c r="CB18" s="85"/>
      <c r="CC18" s="85"/>
      <c r="CD18" s="85"/>
      <c r="CE18" s="85"/>
    </row>
    <row r="19" spans="1:83" ht="16.5" customHeight="1" thickTop="1" x14ac:dyDescent="0.2">
      <c r="A19" s="154" t="s">
        <v>401</v>
      </c>
      <c r="B19" s="116">
        <v>0</v>
      </c>
      <c r="C19" s="90">
        <f>61.5*(3.785/V14)*N(B19)</f>
        <v>0</v>
      </c>
      <c r="D19" s="62"/>
      <c r="E19" s="62"/>
      <c r="F19" s="3">
        <f>147.43*(3.785/V14)*N(B19)</f>
        <v>0</v>
      </c>
      <c r="G19" s="62"/>
      <c r="H19" s="16"/>
      <c r="I19" s="555">
        <f>N(B19)*$T$17</f>
        <v>0</v>
      </c>
      <c r="J19" s="556"/>
      <c r="K19" s="555">
        <f>N(B19)*U17</f>
        <v>0</v>
      </c>
      <c r="L19" s="556"/>
      <c r="O19" s="207"/>
      <c r="P19" s="207"/>
      <c r="Q19" s="368"/>
      <c r="R19" s="368"/>
      <c r="BG19" s="85"/>
      <c r="BH19" s="85"/>
      <c r="BI19" s="85"/>
      <c r="BJ19" s="87"/>
      <c r="BK19" s="87"/>
      <c r="BL19" s="87"/>
      <c r="BM19" s="87"/>
      <c r="BN19" s="87"/>
      <c r="BO19" s="87"/>
      <c r="BP19" s="87"/>
      <c r="BQ19" s="87"/>
      <c r="BR19" s="87"/>
      <c r="BS19" s="87"/>
      <c r="BT19" s="87"/>
      <c r="BU19" s="85"/>
      <c r="BV19" s="85"/>
      <c r="BW19" s="85"/>
      <c r="BX19" s="85"/>
      <c r="BY19" s="85"/>
      <c r="BZ19" s="85"/>
      <c r="CA19" s="85"/>
      <c r="CB19" s="85"/>
      <c r="CC19" s="85"/>
      <c r="CD19" s="85"/>
      <c r="CE19" s="85"/>
    </row>
    <row r="20" spans="1:83" ht="16.5" customHeight="1" x14ac:dyDescent="0.2">
      <c r="A20" s="170" t="s">
        <v>400</v>
      </c>
      <c r="B20" s="118">
        <v>0</v>
      </c>
      <c r="C20" s="4">
        <f>95.4*(3.785/V14)*N(B20)</f>
        <v>0</v>
      </c>
      <c r="D20" s="63"/>
      <c r="E20" s="63"/>
      <c r="F20" s="63"/>
      <c r="G20" s="4">
        <f>168.79*(3.785/V14)*N(B20)</f>
        <v>0</v>
      </c>
      <c r="H20" s="65"/>
      <c r="I20" s="537">
        <f>N(B20)*$T$17</f>
        <v>0</v>
      </c>
      <c r="J20" s="537"/>
      <c r="K20" s="570">
        <f>N(B20)*U17</f>
        <v>0</v>
      </c>
      <c r="L20" s="570"/>
      <c r="M20" s="276"/>
      <c r="N20" s="214"/>
      <c r="O20" s="214"/>
      <c r="P20" s="214"/>
      <c r="Q20" s="368"/>
      <c r="R20" s="368"/>
      <c r="BG20" s="85"/>
      <c r="BH20" s="85"/>
      <c r="BI20" s="85"/>
      <c r="BJ20" s="87"/>
      <c r="BK20" s="87"/>
      <c r="BL20" s="87"/>
      <c r="BM20" s="87"/>
      <c r="BN20" s="87"/>
      <c r="BO20" s="87"/>
      <c r="BP20" s="87"/>
      <c r="BQ20" s="87"/>
      <c r="BR20" s="87"/>
      <c r="BS20" s="87"/>
      <c r="BT20" s="87"/>
      <c r="BU20" s="85"/>
      <c r="BV20" s="85"/>
      <c r="BW20" s="85"/>
      <c r="BX20" s="85"/>
      <c r="BY20" s="85"/>
      <c r="BZ20" s="85"/>
      <c r="CA20" s="85"/>
      <c r="CB20" s="85"/>
      <c r="CC20" s="85"/>
      <c r="CD20" s="85"/>
      <c r="CE20" s="85"/>
    </row>
    <row r="21" spans="1:83" ht="16.5" customHeight="1" x14ac:dyDescent="0.2">
      <c r="A21" s="155" t="s">
        <v>402</v>
      </c>
      <c r="B21" s="117">
        <v>0</v>
      </c>
      <c r="C21" s="63"/>
      <c r="D21" s="4">
        <f>26.05*(3.785/V14)*N(B21)</f>
        <v>0</v>
      </c>
      <c r="E21" s="63"/>
      <c r="F21" s="4">
        <f>102.96*(3.785/V14)*N(B21)</f>
        <v>0</v>
      </c>
      <c r="G21" s="63"/>
      <c r="H21" s="65"/>
      <c r="I21" s="541">
        <f>N(B21)*$T$17</f>
        <v>0</v>
      </c>
      <c r="J21" s="542"/>
      <c r="K21" s="541">
        <f>N(B21)*U$17</f>
        <v>0</v>
      </c>
      <c r="L21" s="542"/>
      <c r="M21" s="277"/>
      <c r="N21" s="214"/>
      <c r="O21" s="214"/>
      <c r="P21" s="214"/>
      <c r="Q21" s="369"/>
      <c r="R21" s="370"/>
      <c r="W21" s="85" t="s">
        <v>398</v>
      </c>
      <c r="BG21" s="85"/>
      <c r="BH21" s="85"/>
      <c r="BI21" s="85"/>
      <c r="BJ21" s="87"/>
      <c r="BK21" s="87"/>
      <c r="BL21" s="87"/>
      <c r="BM21" s="87"/>
      <c r="BN21" s="87"/>
      <c r="BO21" s="87"/>
      <c r="BP21" s="87"/>
      <c r="BQ21" s="87"/>
      <c r="BR21" s="87"/>
      <c r="BS21" s="87"/>
      <c r="BT21" s="87"/>
      <c r="BU21" s="85"/>
      <c r="BV21" s="85"/>
      <c r="BW21" s="85"/>
      <c r="BX21" s="85"/>
      <c r="BY21" s="85"/>
      <c r="BZ21" s="85"/>
      <c r="CA21" s="85"/>
      <c r="CB21" s="85"/>
      <c r="CC21" s="85"/>
      <c r="CD21" s="85"/>
      <c r="CE21" s="85"/>
    </row>
    <row r="22" spans="1:83" ht="16.5" customHeight="1" x14ac:dyDescent="0.2">
      <c r="A22" s="155" t="s">
        <v>403</v>
      </c>
      <c r="B22" s="118">
        <v>0</v>
      </c>
      <c r="C22" s="63"/>
      <c r="D22" s="4">
        <f>31.57*(3.785/V14)*N(B22)</f>
        <v>0</v>
      </c>
      <c r="E22" s="210"/>
      <c r="F22" s="63"/>
      <c r="G22" s="4">
        <f>92.12*(3.785/V14)*N(B22)</f>
        <v>0</v>
      </c>
      <c r="H22" s="65"/>
      <c r="I22" s="537">
        <f>N(B22)*$T$17</f>
        <v>0</v>
      </c>
      <c r="J22" s="537"/>
      <c r="K22" s="537">
        <f>N(B22)*U$17</f>
        <v>0</v>
      </c>
      <c r="L22" s="537"/>
      <c r="M22" s="348"/>
      <c r="N22" s="349"/>
      <c r="O22" s="349"/>
      <c r="P22" s="349"/>
      <c r="Q22" s="371"/>
      <c r="R22" s="372"/>
      <c r="W22" s="85" t="s">
        <v>399</v>
      </c>
      <c r="BG22" s="85"/>
      <c r="BH22" s="85"/>
      <c r="BI22" s="85"/>
      <c r="BJ22" s="87"/>
      <c r="BK22" s="87"/>
      <c r="BL22" s="87"/>
      <c r="BM22" s="87"/>
      <c r="BN22" s="87"/>
      <c r="BO22" s="87"/>
      <c r="BP22" s="87"/>
      <c r="BQ22" s="87"/>
      <c r="BR22" s="87"/>
      <c r="BS22" s="87"/>
      <c r="BT22" s="87"/>
      <c r="BU22" s="85"/>
      <c r="BV22" s="85"/>
      <c r="BW22" s="85"/>
      <c r="BX22" s="85"/>
      <c r="BY22" s="85"/>
      <c r="BZ22" s="85"/>
      <c r="CA22" s="85"/>
      <c r="CB22" s="85"/>
      <c r="CC22" s="85"/>
      <c r="CD22" s="85"/>
      <c r="CE22" s="85"/>
    </row>
    <row r="23" spans="1:83" ht="16.5" customHeight="1" x14ac:dyDescent="0.2">
      <c r="A23" s="209" t="s">
        <v>107</v>
      </c>
      <c r="B23" s="118">
        <v>0</v>
      </c>
      <c r="C23" s="63"/>
      <c r="D23" s="160"/>
      <c r="E23" s="4">
        <f>103.94*(3.785/V14)*N(B23)</f>
        <v>0</v>
      </c>
      <c r="F23" s="63"/>
      <c r="G23" s="172">
        <f>160.26*(3.785/V14)*N(B23)</f>
        <v>0</v>
      </c>
      <c r="H23" s="213"/>
      <c r="I23" s="570">
        <f>N(B23)*$T$17</f>
        <v>0</v>
      </c>
      <c r="J23" s="570"/>
      <c r="K23" s="570">
        <f>N(B23)*U$17</f>
        <v>0</v>
      </c>
      <c r="L23" s="570"/>
      <c r="N23" s="282"/>
      <c r="O23" s="282"/>
      <c r="P23" s="282"/>
      <c r="Q23" s="87"/>
      <c r="T23" s="356"/>
      <c r="BG23" s="85"/>
      <c r="BH23" s="85"/>
      <c r="BI23" s="85"/>
      <c r="BJ23" s="87"/>
      <c r="BK23" s="87"/>
      <c r="BL23" s="87"/>
      <c r="BM23" s="87"/>
      <c r="BN23" s="87"/>
      <c r="BO23" s="87"/>
      <c r="BP23" s="87"/>
      <c r="BQ23" s="87"/>
      <c r="BR23" s="87"/>
      <c r="BS23" s="87"/>
      <c r="BT23" s="87"/>
      <c r="BU23" s="85"/>
      <c r="BV23" s="85"/>
      <c r="BW23" s="85"/>
      <c r="BX23" s="85"/>
      <c r="BY23" s="85"/>
      <c r="BZ23" s="85"/>
      <c r="CA23" s="85"/>
      <c r="CB23" s="85"/>
      <c r="CC23" s="85"/>
      <c r="CD23" s="85"/>
      <c r="CE23" s="85"/>
    </row>
    <row r="24" spans="1:83" ht="16.5" customHeight="1" x14ac:dyDescent="0.2">
      <c r="A24" s="155" t="s">
        <v>151</v>
      </c>
      <c r="B24" s="118">
        <v>0</v>
      </c>
      <c r="C24" s="63"/>
      <c r="D24" s="210"/>
      <c r="E24" s="4">
        <f>72.31*(3.785/V14)*N(B24)</f>
        <v>0</v>
      </c>
      <c r="F24" s="63"/>
      <c r="G24" s="210"/>
      <c r="H24" s="216">
        <f>191.88*(3.785/V14)*N(B24)</f>
        <v>0</v>
      </c>
      <c r="I24" s="537">
        <f>N(B24)*T$17</f>
        <v>0</v>
      </c>
      <c r="J24" s="537"/>
      <c r="K24" s="568" t="s">
        <v>7</v>
      </c>
      <c r="L24" s="568"/>
      <c r="M24" s="286"/>
      <c r="N24" s="282"/>
      <c r="O24" s="282"/>
      <c r="P24" s="282"/>
      <c r="Q24" s="87"/>
      <c r="AO24" s="357"/>
      <c r="AP24" s="357"/>
      <c r="AQ24" s="357"/>
      <c r="AR24" s="357"/>
      <c r="AS24" s="357"/>
      <c r="AT24" s="357"/>
      <c r="AU24" s="354"/>
      <c r="AV24" s="324"/>
      <c r="AW24" s="324"/>
      <c r="AX24" s="324"/>
      <c r="AY24" s="232"/>
      <c r="AZ24" s="232"/>
      <c r="BA24" s="83"/>
      <c r="BB24" s="83"/>
      <c r="BC24" s="83"/>
      <c r="BG24" s="85"/>
      <c r="BH24" s="85"/>
      <c r="BI24" s="85"/>
      <c r="BJ24" s="87"/>
      <c r="BK24" s="87"/>
      <c r="BL24" s="87"/>
      <c r="BM24" s="87"/>
      <c r="BN24" s="87"/>
      <c r="BO24" s="87"/>
      <c r="BP24" s="87"/>
      <c r="BQ24" s="87"/>
      <c r="BR24" s="87"/>
      <c r="BS24" s="87"/>
      <c r="BT24" s="87"/>
      <c r="BU24" s="85"/>
      <c r="BV24" s="85"/>
      <c r="BW24" s="85"/>
      <c r="BX24" s="85"/>
      <c r="BY24" s="85"/>
      <c r="BZ24" s="85"/>
      <c r="CA24" s="85"/>
      <c r="CB24" s="85"/>
      <c r="CC24" s="85"/>
      <c r="CD24" s="85"/>
      <c r="CE24" s="85"/>
    </row>
    <row r="25" spans="1:83" ht="16.5" customHeight="1" x14ac:dyDescent="0.2">
      <c r="A25" s="209" t="s">
        <v>152</v>
      </c>
      <c r="B25" s="212">
        <v>0</v>
      </c>
      <c r="C25" s="15">
        <f>105.8*(3.785/V14)*N(B25)</f>
        <v>0</v>
      </c>
      <c r="D25" s="160"/>
      <c r="E25" s="160"/>
      <c r="F25" s="160"/>
      <c r="G25" s="160"/>
      <c r="H25" s="40">
        <f>322.27*(3.785/V14)*N(B25)</f>
        <v>0</v>
      </c>
      <c r="I25" s="537">
        <f>N(B25)*T$17</f>
        <v>0</v>
      </c>
      <c r="J25" s="537"/>
      <c r="K25" s="568" t="s">
        <v>7</v>
      </c>
      <c r="L25" s="568"/>
      <c r="M25" s="298"/>
      <c r="N25" s="214"/>
      <c r="O25" s="214"/>
      <c r="P25" s="214"/>
      <c r="Q25" s="373"/>
      <c r="S25" s="370"/>
      <c r="U25" s="357" t="s">
        <v>42</v>
      </c>
      <c r="V25" s="357" t="s">
        <v>43</v>
      </c>
      <c r="W25" s="357" t="s">
        <v>44</v>
      </c>
      <c r="X25" s="357" t="s">
        <v>45</v>
      </c>
      <c r="Y25" s="357" t="s">
        <v>46</v>
      </c>
      <c r="Z25" s="357" t="s">
        <v>64</v>
      </c>
      <c r="AA25" s="354" t="s">
        <v>150</v>
      </c>
      <c r="AB25" s="324" t="s">
        <v>253</v>
      </c>
      <c r="AC25" s="324" t="s">
        <v>254</v>
      </c>
      <c r="AD25" s="324" t="s">
        <v>255</v>
      </c>
      <c r="AE25" s="232"/>
      <c r="AF25" s="232"/>
      <c r="AG25" s="232"/>
      <c r="AH25" s="232"/>
      <c r="AI25" s="232"/>
      <c r="AJ25" s="232"/>
      <c r="AN25" s="322"/>
      <c r="AO25" s="357"/>
      <c r="AP25" s="235"/>
      <c r="AQ25" s="235"/>
      <c r="AR25" s="235"/>
      <c r="AS25" s="235"/>
      <c r="AT25" s="234"/>
      <c r="AU25" s="354"/>
      <c r="AV25" s="235"/>
      <c r="AW25" s="235"/>
      <c r="AX25" s="235"/>
      <c r="AY25" s="235"/>
      <c r="AZ25" s="235"/>
      <c r="BA25" s="401"/>
      <c r="BB25" s="401"/>
      <c r="BC25" s="224"/>
      <c r="BD25" s="400"/>
      <c r="BG25" s="85"/>
      <c r="BH25" s="85"/>
      <c r="BI25" s="85"/>
      <c r="BJ25" s="87"/>
      <c r="BK25" s="87"/>
      <c r="BL25" s="87"/>
      <c r="BM25" s="87"/>
      <c r="BN25" s="87"/>
      <c r="BO25" s="87"/>
      <c r="BP25" s="87"/>
      <c r="BQ25" s="87"/>
      <c r="BR25" s="87"/>
      <c r="BS25" s="87"/>
      <c r="BT25" s="87"/>
      <c r="BU25" s="85"/>
      <c r="BV25" s="85"/>
      <c r="BW25" s="85"/>
      <c r="BX25" s="85"/>
      <c r="BY25" s="85"/>
      <c r="BZ25" s="85"/>
      <c r="CA25" s="85"/>
      <c r="CB25" s="85"/>
      <c r="CC25" s="85"/>
      <c r="CD25" s="85"/>
      <c r="CE25" s="85"/>
    </row>
    <row r="26" spans="1:83" ht="16.5" customHeight="1" thickBot="1" x14ac:dyDescent="0.25">
      <c r="A26" s="156" t="s">
        <v>162</v>
      </c>
      <c r="B26" s="119">
        <v>0</v>
      </c>
      <c r="C26" s="56">
        <f>142.93*(3.785/V14)*N(B26)</f>
        <v>0</v>
      </c>
      <c r="D26" s="64"/>
      <c r="E26" s="64"/>
      <c r="F26" s="64"/>
      <c r="G26" s="64"/>
      <c r="H26" s="211">
        <f>434.75*(3.785/V14)*N(B26)</f>
        <v>0</v>
      </c>
      <c r="I26" s="531">
        <f>N(B26)*T$17</f>
        <v>0</v>
      </c>
      <c r="J26" s="531"/>
      <c r="K26" s="532" t="s">
        <v>7</v>
      </c>
      <c r="L26" s="532"/>
      <c r="M26" s="298"/>
      <c r="N26" s="297"/>
      <c r="O26" s="297"/>
      <c r="P26" s="297"/>
      <c r="Q26" s="87"/>
      <c r="S26" s="372"/>
      <c r="T26" s="322">
        <v>1</v>
      </c>
      <c r="U26" s="357" t="s">
        <v>47</v>
      </c>
      <c r="V26" s="235">
        <v>4.75</v>
      </c>
      <c r="W26" s="235">
        <v>20</v>
      </c>
      <c r="X26" s="235">
        <v>20</v>
      </c>
      <c r="Y26" s="235">
        <v>60.05</v>
      </c>
      <c r="Z26" s="234">
        <f>1000*((-7.575*10^(-10)*($D$29^4))+(7.01*10^(-8)*($D$29^3))+(-9.254*10^(-6)*($D$29^2))+(1.575*10^(-3)*$D$29)+0.9979)</f>
        <v>1067.18128768</v>
      </c>
      <c r="AA26" s="354">
        <v>1</v>
      </c>
      <c r="AB26" s="235" t="s">
        <v>256</v>
      </c>
      <c r="AC26" s="235" t="s">
        <v>309</v>
      </c>
      <c r="AD26" s="235" t="s">
        <v>259</v>
      </c>
      <c r="AE26" s="235" t="s">
        <v>369</v>
      </c>
      <c r="AF26" s="235" t="s">
        <v>257</v>
      </c>
      <c r="AG26" s="233">
        <f t="shared" ref="AG26:AG33" si="2">VLOOKUP($AF$12,strengthtable,3,FALSE)</f>
        <v>0</v>
      </c>
      <c r="AH26" s="233"/>
      <c r="AI26" s="220" t="s">
        <v>413</v>
      </c>
      <c r="AJ26" s="235">
        <v>59</v>
      </c>
      <c r="AN26" s="322"/>
      <c r="AO26" s="354"/>
      <c r="AP26" s="234"/>
      <c r="AQ26" s="234"/>
      <c r="AR26" s="234"/>
      <c r="AS26" s="234"/>
      <c r="AT26" s="234"/>
      <c r="AU26" s="354"/>
      <c r="AV26" s="235"/>
      <c r="AW26" s="235"/>
      <c r="AX26" s="235"/>
      <c r="AY26" s="235"/>
      <c r="AZ26" s="235"/>
      <c r="BA26" s="401"/>
      <c r="BB26" s="401"/>
      <c r="BC26" s="224"/>
      <c r="BD26" s="400"/>
      <c r="BG26" s="85"/>
      <c r="BH26" s="85"/>
      <c r="BI26" s="85"/>
      <c r="BJ26" s="87"/>
      <c r="BK26" s="87"/>
      <c r="BL26" s="87"/>
      <c r="BM26" s="87"/>
      <c r="BN26" s="87"/>
      <c r="BO26" s="87"/>
      <c r="BP26" s="87"/>
      <c r="BQ26" s="87"/>
      <c r="BR26" s="87"/>
      <c r="BS26" s="87"/>
      <c r="BT26" s="87"/>
      <c r="BU26" s="85"/>
      <c r="BV26" s="85"/>
      <c r="BW26" s="85"/>
      <c r="BX26" s="85"/>
      <c r="BY26" s="85"/>
      <c r="BZ26" s="85"/>
      <c r="CA26" s="85"/>
      <c r="CB26" s="85"/>
      <c r="CC26" s="85"/>
      <c r="CD26" s="85"/>
      <c r="CE26" s="85"/>
    </row>
    <row r="27" spans="1:83" ht="26.45" customHeight="1" thickTop="1" thickBot="1" x14ac:dyDescent="0.3">
      <c r="A27" s="164" t="s">
        <v>368</v>
      </c>
      <c r="B27" s="215" t="s">
        <v>410</v>
      </c>
      <c r="C27" s="575"/>
      <c r="D27" s="576"/>
      <c r="E27" s="577"/>
      <c r="F27" s="55" t="s">
        <v>76</v>
      </c>
      <c r="G27" s="55" t="s">
        <v>77</v>
      </c>
      <c r="H27" s="153" t="s">
        <v>78</v>
      </c>
      <c r="I27" s="588"/>
      <c r="J27" s="589"/>
      <c r="K27" s="578"/>
      <c r="L27" s="579"/>
      <c r="N27" s="297"/>
      <c r="O27" s="297"/>
      <c r="P27" s="297"/>
      <c r="Q27" s="87"/>
      <c r="T27" s="322">
        <v>2</v>
      </c>
      <c r="U27" s="354" t="s">
        <v>49</v>
      </c>
      <c r="V27" s="234">
        <v>-7</v>
      </c>
      <c r="W27" s="234">
        <v>20</v>
      </c>
      <c r="X27" s="234">
        <v>20</v>
      </c>
      <c r="Y27" s="234">
        <v>36.46</v>
      </c>
      <c r="Z27" s="234">
        <f>1000*((-3.1666*10^(-7)*($D$29^3))+(1.8499*10^(-5)*($D$29^2))+(4.7666*10^(-3)*$D$29)+0.998)</f>
        <v>1344.9221324800001</v>
      </c>
      <c r="AA27" s="354">
        <v>1</v>
      </c>
      <c r="AB27" s="235" t="s">
        <v>256</v>
      </c>
      <c r="AC27" s="235" t="s">
        <v>309</v>
      </c>
      <c r="AD27" s="235" t="s">
        <v>259</v>
      </c>
      <c r="AE27" s="235" t="s">
        <v>370</v>
      </c>
      <c r="AF27" s="235" t="s">
        <v>257</v>
      </c>
      <c r="AG27" s="233">
        <f t="shared" si="2"/>
        <v>0</v>
      </c>
      <c r="AH27" s="233"/>
      <c r="AI27" s="220"/>
      <c r="AJ27" s="235"/>
      <c r="AO27" s="354"/>
      <c r="AP27" s="234"/>
      <c r="AQ27" s="234"/>
      <c r="AR27" s="234"/>
      <c r="AS27" s="234"/>
      <c r="AT27" s="234"/>
      <c r="AU27" s="354"/>
      <c r="AV27" s="235"/>
      <c r="AW27" s="235"/>
      <c r="AX27" s="235"/>
      <c r="AY27" s="235"/>
      <c r="AZ27" s="235"/>
      <c r="BA27" s="401"/>
      <c r="BB27" s="401"/>
      <c r="BC27" s="224"/>
      <c r="BD27" s="400"/>
      <c r="BG27" s="85"/>
      <c r="BH27" s="85"/>
      <c r="BI27" s="85"/>
      <c r="BJ27" s="87"/>
      <c r="BK27" s="87"/>
      <c r="BL27" s="87"/>
      <c r="BM27" s="87"/>
      <c r="BN27" s="87"/>
      <c r="BO27" s="87"/>
      <c r="BP27" s="87"/>
      <c r="BQ27" s="87"/>
      <c r="BR27" s="87"/>
      <c r="BS27" s="87"/>
      <c r="BT27" s="87"/>
      <c r="BU27" s="85"/>
      <c r="BV27" s="85"/>
      <c r="BW27" s="85"/>
      <c r="BX27" s="85"/>
      <c r="BY27" s="85"/>
      <c r="BZ27" s="85"/>
      <c r="CA27" s="85"/>
      <c r="CB27" s="85"/>
      <c r="CC27" s="85"/>
      <c r="CD27" s="85"/>
      <c r="CE27" s="85"/>
    </row>
    <row r="28" spans="1:83" ht="14.45" customHeight="1" thickTop="1" x14ac:dyDescent="0.2">
      <c r="A28" s="183" t="s">
        <v>388</v>
      </c>
      <c r="B28" s="187" t="str">
        <f>AB14</f>
        <v>(mL/gal)</v>
      </c>
      <c r="C28" s="569" t="s">
        <v>412</v>
      </c>
      <c r="D28" s="569"/>
      <c r="E28" s="569"/>
      <c r="F28" s="569"/>
      <c r="G28" s="569"/>
      <c r="H28" s="581" t="str">
        <f>AF35</f>
        <v>Total Acid Addition (ml)</v>
      </c>
      <c r="I28" s="581"/>
      <c r="J28" s="581"/>
      <c r="K28" s="581"/>
      <c r="L28" s="161"/>
      <c r="M28" s="351"/>
      <c r="N28" s="352"/>
      <c r="O28" s="352"/>
      <c r="P28" s="352"/>
      <c r="Q28" s="87"/>
      <c r="T28" s="85">
        <v>3</v>
      </c>
      <c r="U28" s="354" t="s">
        <v>50</v>
      </c>
      <c r="V28" s="234">
        <v>3.86</v>
      </c>
      <c r="W28" s="234">
        <v>20</v>
      </c>
      <c r="X28" s="234">
        <v>20</v>
      </c>
      <c r="Y28" s="234">
        <v>90.08</v>
      </c>
      <c r="Z28" s="234">
        <f>1000*((-5.311*10^(-8)*($D$29^3))+(5.1587*10^(-6)*($D$29^2))+(2.32499*10^(-3)*$D$29)+0.9986)</f>
        <v>1206.9551148799999</v>
      </c>
      <c r="AA28" s="354">
        <v>1</v>
      </c>
      <c r="AB28" s="235" t="s">
        <v>256</v>
      </c>
      <c r="AC28" s="235" t="s">
        <v>309</v>
      </c>
      <c r="AD28" s="235" t="s">
        <v>259</v>
      </c>
      <c r="AE28" s="235" t="s">
        <v>371</v>
      </c>
      <c r="AF28" s="235" t="s">
        <v>257</v>
      </c>
      <c r="AG28" s="233">
        <f t="shared" si="2"/>
        <v>0</v>
      </c>
      <c r="AH28" s="233"/>
      <c r="AI28" s="220" t="s">
        <v>414</v>
      </c>
      <c r="AJ28" s="235">
        <v>89</v>
      </c>
      <c r="AO28" s="354"/>
      <c r="AP28" s="234"/>
      <c r="AQ28" s="234"/>
      <c r="AR28" s="234"/>
      <c r="AS28" s="234"/>
      <c r="AT28" s="234"/>
      <c r="AU28" s="354"/>
      <c r="AV28" s="235"/>
      <c r="AW28" s="235"/>
      <c r="AX28" s="235"/>
      <c r="AY28" s="235"/>
      <c r="AZ28" s="235"/>
      <c r="BA28" s="401"/>
      <c r="BB28" s="401"/>
      <c r="BC28" s="224"/>
      <c r="BD28" s="400"/>
      <c r="BG28" s="85"/>
      <c r="BH28" s="85"/>
      <c r="BI28" s="85"/>
      <c r="BJ28" s="87"/>
      <c r="BK28" s="87"/>
      <c r="BL28" s="87"/>
      <c r="BM28" s="87"/>
      <c r="BN28" s="87"/>
      <c r="BO28" s="87"/>
      <c r="BP28" s="87"/>
      <c r="BQ28" s="87"/>
      <c r="BR28" s="87"/>
      <c r="BS28" s="87"/>
      <c r="BT28" s="87"/>
      <c r="BU28" s="85"/>
      <c r="BV28" s="85"/>
      <c r="BW28" s="85"/>
      <c r="BX28" s="85"/>
      <c r="BY28" s="85"/>
      <c r="BZ28" s="85"/>
      <c r="CA28" s="85"/>
      <c r="CB28" s="85"/>
      <c r="CC28" s="85"/>
      <c r="CD28" s="85"/>
      <c r="CE28" s="85"/>
    </row>
    <row r="29" spans="1:83" ht="16.5" customHeight="1" x14ac:dyDescent="0.2">
      <c r="A29" s="267" t="s">
        <v>50</v>
      </c>
      <c r="B29" s="157">
        <v>0</v>
      </c>
      <c r="C29" s="158" t="s">
        <v>263</v>
      </c>
      <c r="D29" s="159">
        <v>88</v>
      </c>
      <c r="E29" s="266" t="s">
        <v>148</v>
      </c>
      <c r="F29" s="38">
        <f>IF(AF11=9,W4,IF(AF11=5,VLOOKUP(AF$12,strengthtable,4,FALSE),0))</f>
        <v>0</v>
      </c>
      <c r="G29" s="38">
        <f>IF(AF11=9,X4,IF(AF11=2,VLOOKUP(AF$12,strengthtable,5,FALSE),0))</f>
        <v>0</v>
      </c>
      <c r="H29" s="39">
        <f>VLOOKUP($AF$12,strengthtable,3,FALSE)</f>
        <v>0</v>
      </c>
      <c r="I29" s="558">
        <f>N(B29)*T$17</f>
        <v>0</v>
      </c>
      <c r="J29" s="558"/>
      <c r="K29" s="586"/>
      <c r="L29" s="586"/>
      <c r="M29" s="174"/>
      <c r="N29" s="350"/>
      <c r="O29" s="350"/>
      <c r="P29" s="350"/>
      <c r="Q29" s="87"/>
      <c r="T29" s="85">
        <v>4</v>
      </c>
      <c r="U29" s="354" t="s">
        <v>51</v>
      </c>
      <c r="V29" s="234">
        <v>2.12</v>
      </c>
      <c r="W29" s="234">
        <v>7.2</v>
      </c>
      <c r="X29" s="234">
        <v>12.44</v>
      </c>
      <c r="Y29" s="234">
        <v>98</v>
      </c>
      <c r="Z29" s="234">
        <f>1000*((-8.333*10^(-10)*($D$29^4))+(2.6448*10^(-7)*($D$29^3))+(1.4442*10^(-5)*($D$29^2))+(5.4705*10^(-3)*$D$29)+0.9958)</f>
        <v>1719.3059482112001</v>
      </c>
      <c r="AA29" s="354">
        <v>1</v>
      </c>
      <c r="AB29" s="235" t="s">
        <v>256</v>
      </c>
      <c r="AC29" s="235" t="s">
        <v>309</v>
      </c>
      <c r="AD29" s="235" t="s">
        <v>259</v>
      </c>
      <c r="AE29" s="235" t="s">
        <v>372</v>
      </c>
      <c r="AF29" s="235" t="s">
        <v>257</v>
      </c>
      <c r="AG29" s="233">
        <f t="shared" si="2"/>
        <v>0</v>
      </c>
      <c r="AH29" s="233"/>
      <c r="AI29" s="220" t="s">
        <v>415</v>
      </c>
      <c r="AJ29" s="235">
        <v>95</v>
      </c>
      <c r="AO29" s="354"/>
      <c r="AP29" s="234"/>
      <c r="AQ29" s="234"/>
      <c r="AR29" s="234"/>
      <c r="AS29" s="234"/>
      <c r="AT29" s="234"/>
      <c r="AU29" s="354"/>
      <c r="AV29" s="235"/>
      <c r="AW29" s="235"/>
      <c r="AX29" s="235"/>
      <c r="AY29" s="235"/>
      <c r="AZ29" s="235"/>
      <c r="BA29" s="401"/>
      <c r="BB29" s="401"/>
      <c r="BC29" s="224"/>
      <c r="BD29" s="400"/>
      <c r="BG29" s="85"/>
      <c r="BH29" s="85"/>
      <c r="BI29" s="85"/>
      <c r="BJ29" s="87"/>
      <c r="BK29" s="87"/>
      <c r="BL29" s="87"/>
      <c r="BM29" s="87"/>
      <c r="BN29" s="87"/>
      <c r="BO29" s="87"/>
      <c r="BP29" s="87"/>
      <c r="BQ29" s="87"/>
      <c r="BR29" s="87"/>
      <c r="BS29" s="87"/>
      <c r="BT29" s="87"/>
      <c r="BU29" s="85"/>
      <c r="BV29" s="85"/>
      <c r="BW29" s="85"/>
      <c r="BX29" s="85"/>
      <c r="BY29" s="85"/>
      <c r="BZ29" s="85"/>
      <c r="CA29" s="85"/>
      <c r="CB29" s="85"/>
      <c r="CC29" s="85"/>
      <c r="CD29" s="85"/>
      <c r="CE29" s="85"/>
    </row>
    <row r="30" spans="1:83" ht="16.5" customHeight="1" x14ac:dyDescent="0.2">
      <c r="A30" s="184" t="s">
        <v>266</v>
      </c>
      <c r="B30" s="188"/>
      <c r="C30" s="582" t="s">
        <v>411</v>
      </c>
      <c r="D30" s="582"/>
      <c r="E30" s="582"/>
      <c r="F30" s="582"/>
      <c r="G30" s="582"/>
      <c r="H30" s="582"/>
      <c r="I30" s="582"/>
      <c r="J30" s="584" t="str">
        <f>'2. Sparge Acidification'!L50</f>
        <v>Total Acid Addition (ml)</v>
      </c>
      <c r="K30" s="584"/>
      <c r="L30" s="585"/>
      <c r="M30" s="186"/>
      <c r="N30" s="91"/>
      <c r="O30" s="87"/>
      <c r="P30" s="87"/>
      <c r="Q30" s="87"/>
      <c r="T30" s="85">
        <v>5</v>
      </c>
      <c r="U30" s="354" t="s">
        <v>52</v>
      </c>
      <c r="V30" s="234">
        <v>-1</v>
      </c>
      <c r="W30" s="234">
        <v>1.92</v>
      </c>
      <c r="X30" s="234">
        <v>20</v>
      </c>
      <c r="Y30" s="234">
        <v>98.07</v>
      </c>
      <c r="Z30" s="234">
        <f>1000*((-2.0911*10^(-8)*($D$29^4))+(3.4312*10^(-6)*($D$29^3))+(-1.3954*10^(-4)*($D$29^2))+(9.0885*10^(-3)*$D$29)+0.9947)</f>
        <v>1798.1339991039999</v>
      </c>
      <c r="AA30" s="354">
        <v>2</v>
      </c>
      <c r="AB30" s="235" t="s">
        <v>256</v>
      </c>
      <c r="AC30" s="235" t="s">
        <v>309</v>
      </c>
      <c r="AD30" s="235" t="s">
        <v>259</v>
      </c>
      <c r="AE30" s="235" t="s">
        <v>373</v>
      </c>
      <c r="AF30" s="235" t="s">
        <v>257</v>
      </c>
      <c r="AG30" s="233">
        <f t="shared" si="2"/>
        <v>0</v>
      </c>
      <c r="AH30" s="233"/>
      <c r="AI30" s="220"/>
      <c r="AJ30" s="235"/>
      <c r="AO30" s="357"/>
      <c r="AP30" s="235"/>
      <c r="AQ30" s="235"/>
      <c r="AR30" s="235"/>
      <c r="AS30" s="235"/>
      <c r="AT30" s="235"/>
      <c r="AU30" s="354"/>
      <c r="AV30" s="235"/>
      <c r="AW30" s="235"/>
      <c r="AX30" s="235"/>
      <c r="AY30" s="235"/>
      <c r="AZ30" s="235"/>
      <c r="BA30" s="401"/>
      <c r="BB30" s="401"/>
      <c r="BC30" s="224"/>
      <c r="BD30" s="400"/>
      <c r="BG30" s="85"/>
      <c r="BH30" s="85"/>
      <c r="BI30" s="85"/>
      <c r="BJ30" s="87"/>
      <c r="BK30" s="87"/>
      <c r="BL30" s="87"/>
      <c r="BM30" s="87"/>
      <c r="BN30" s="87"/>
      <c r="BO30" s="87"/>
      <c r="BP30" s="87"/>
      <c r="BQ30" s="87"/>
      <c r="BR30" s="87"/>
      <c r="BS30" s="87"/>
      <c r="BT30" s="87"/>
      <c r="BU30" s="85"/>
      <c r="BV30" s="85"/>
      <c r="BW30" s="85"/>
      <c r="BX30" s="85"/>
      <c r="BY30" s="85"/>
      <c r="BZ30" s="85"/>
      <c r="CA30" s="85"/>
      <c r="CB30" s="85"/>
      <c r="CC30" s="85"/>
      <c r="CD30" s="85"/>
      <c r="CE30" s="85"/>
    </row>
    <row r="31" spans="1:83" ht="16.5" customHeight="1" thickBot="1" x14ac:dyDescent="0.25">
      <c r="A31" s="278" t="str">
        <f>'2. Sparge Acidification'!B50</f>
        <v>Phosphoric</v>
      </c>
      <c r="B31" s="279"/>
      <c r="C31" s="280" t="s">
        <v>263</v>
      </c>
      <c r="D31" s="281">
        <f>'2. Sparge Acidification'!B9</f>
        <v>1</v>
      </c>
      <c r="E31" s="281" t="str">
        <f>'2. Sparge Acidification'!B57</f>
        <v>%</v>
      </c>
      <c r="F31" s="56">
        <f>'2. Sparge Acidification'!F15</f>
        <v>0</v>
      </c>
      <c r="G31" s="56">
        <f>'2. Sparge Acidification'!F16</f>
        <v>0</v>
      </c>
      <c r="H31" s="281"/>
      <c r="I31" s="580"/>
      <c r="J31" s="580"/>
      <c r="K31" s="583">
        <f>IF('2. Sparge Acidification'!B$7=1,'4. Water Adjustment'!U$17*'2. Sparge Acidification'!B$12,'2. Sparge Acidification'!B$12)</f>
        <v>1.444291802944436</v>
      </c>
      <c r="L31" s="583"/>
      <c r="M31" s="174"/>
      <c r="N31" s="350"/>
      <c r="O31" s="350"/>
      <c r="P31" s="350"/>
      <c r="Q31" s="87"/>
      <c r="T31" s="85">
        <v>6</v>
      </c>
      <c r="U31" s="357" t="s">
        <v>48</v>
      </c>
      <c r="V31" s="235">
        <v>3.14</v>
      </c>
      <c r="W31" s="235">
        <v>4.7699999999999996</v>
      </c>
      <c r="X31" s="235">
        <v>6.39</v>
      </c>
      <c r="Y31" s="235">
        <v>192.13</v>
      </c>
      <c r="Z31" s="235">
        <v>1480</v>
      </c>
      <c r="AA31" s="354">
        <v>1</v>
      </c>
      <c r="AB31" s="235" t="s">
        <v>216</v>
      </c>
      <c r="AC31" s="235" t="s">
        <v>310</v>
      </c>
      <c r="AD31" s="235" t="s">
        <v>261</v>
      </c>
      <c r="AE31" s="235" t="s">
        <v>374</v>
      </c>
      <c r="AF31" s="235" t="s">
        <v>258</v>
      </c>
      <c r="AG31" s="233">
        <f t="shared" si="2"/>
        <v>0</v>
      </c>
      <c r="AH31" s="233"/>
      <c r="AI31" s="220" t="s">
        <v>416</v>
      </c>
      <c r="AJ31" s="235">
        <v>189</v>
      </c>
      <c r="AO31" s="354"/>
      <c r="AP31" s="234"/>
      <c r="AQ31" s="234"/>
      <c r="AR31" s="234"/>
      <c r="AS31" s="234"/>
      <c r="AT31" s="234"/>
      <c r="AU31" s="354"/>
      <c r="AV31" s="235"/>
      <c r="AW31" s="235"/>
      <c r="AX31" s="235"/>
      <c r="AY31" s="235"/>
      <c r="AZ31" s="235"/>
      <c r="BA31" s="401"/>
      <c r="BB31" s="401"/>
      <c r="BC31" s="224"/>
      <c r="BD31" s="400"/>
      <c r="BG31" s="85"/>
      <c r="BH31" s="85"/>
      <c r="BI31" s="85"/>
      <c r="BJ31" s="87"/>
      <c r="BK31" s="87"/>
      <c r="BL31" s="87"/>
      <c r="BM31" s="87"/>
      <c r="BN31" s="87"/>
      <c r="BO31" s="87"/>
      <c r="BP31" s="87"/>
      <c r="BQ31" s="87"/>
      <c r="BR31" s="87"/>
      <c r="BS31" s="87"/>
      <c r="BT31" s="87"/>
      <c r="BU31" s="85"/>
      <c r="BV31" s="85"/>
      <c r="BW31" s="85"/>
      <c r="BX31" s="85"/>
      <c r="BY31" s="85"/>
      <c r="BZ31" s="85"/>
      <c r="CA31" s="85"/>
      <c r="CB31" s="85"/>
      <c r="CC31" s="85"/>
      <c r="CD31" s="85"/>
      <c r="CE31" s="85"/>
    </row>
    <row r="32" spans="1:83" ht="16.5" customHeight="1" thickTop="1" x14ac:dyDescent="0.2">
      <c r="A32" s="223" t="s">
        <v>574</v>
      </c>
      <c r="H32" s="88"/>
      <c r="M32" s="186"/>
      <c r="N32" s="91"/>
      <c r="O32" s="87"/>
      <c r="P32" s="87"/>
      <c r="Q32" s="87"/>
      <c r="T32" s="85">
        <v>7</v>
      </c>
      <c r="U32" s="354" t="s">
        <v>53</v>
      </c>
      <c r="V32" s="234">
        <v>2.98</v>
      </c>
      <c r="W32" s="234">
        <v>4.34</v>
      </c>
      <c r="X32" s="234">
        <v>20</v>
      </c>
      <c r="Y32" s="234">
        <v>150.09</v>
      </c>
      <c r="Z32" s="234">
        <v>1000</v>
      </c>
      <c r="AA32" s="354">
        <v>1</v>
      </c>
      <c r="AB32" s="235" t="s">
        <v>216</v>
      </c>
      <c r="AC32" s="235" t="s">
        <v>310</v>
      </c>
      <c r="AD32" s="235" t="s">
        <v>261</v>
      </c>
      <c r="AE32" s="235" t="s">
        <v>375</v>
      </c>
      <c r="AF32" s="235" t="s">
        <v>258</v>
      </c>
      <c r="AG32" s="233">
        <f t="shared" si="2"/>
        <v>0</v>
      </c>
      <c r="AH32" s="233"/>
      <c r="AI32" s="220" t="s">
        <v>417</v>
      </c>
      <c r="AJ32" s="235">
        <v>148</v>
      </c>
      <c r="AO32" s="354"/>
      <c r="AP32" s="234"/>
      <c r="AQ32" s="234"/>
      <c r="AR32" s="234"/>
      <c r="AS32" s="234"/>
      <c r="AT32" s="234"/>
      <c r="AU32" s="354"/>
      <c r="AV32" s="235"/>
      <c r="AW32" s="235"/>
      <c r="AX32" s="235"/>
      <c r="AY32" s="235"/>
      <c r="AZ32" s="235"/>
      <c r="BA32" s="401"/>
      <c r="BB32" s="401"/>
      <c r="BC32" s="224"/>
      <c r="BD32" s="400"/>
      <c r="BG32" s="85"/>
      <c r="BH32" s="85"/>
      <c r="BI32" s="85"/>
      <c r="BJ32" s="87"/>
      <c r="BK32" s="87"/>
      <c r="BL32" s="87"/>
      <c r="BM32" s="87"/>
      <c r="BN32" s="87"/>
      <c r="BO32" s="87"/>
      <c r="BP32" s="87"/>
      <c r="BQ32" s="87"/>
      <c r="BR32" s="87"/>
      <c r="BS32" s="87"/>
      <c r="BT32" s="87"/>
      <c r="BU32" s="85"/>
      <c r="BV32" s="85"/>
      <c r="BW32" s="85"/>
      <c r="BX32" s="85"/>
      <c r="BY32" s="85"/>
      <c r="BZ32" s="85"/>
      <c r="CA32" s="85"/>
      <c r="CB32" s="85"/>
      <c r="CC32" s="85"/>
      <c r="CD32" s="85"/>
      <c r="CE32" s="85"/>
    </row>
    <row r="33" spans="1:83" ht="70.5" customHeight="1" x14ac:dyDescent="0.2">
      <c r="A33" s="587" t="s">
        <v>472</v>
      </c>
      <c r="B33" s="587"/>
      <c r="C33" s="587"/>
      <c r="D33" s="587"/>
      <c r="E33" s="587"/>
      <c r="F33" s="587"/>
      <c r="G33" s="587"/>
      <c r="H33" s="587"/>
      <c r="I33" s="587"/>
      <c r="J33" s="587"/>
      <c r="K33" s="587"/>
      <c r="L33" s="587"/>
      <c r="M33" s="174"/>
      <c r="N33" s="594"/>
      <c r="O33" s="594"/>
      <c r="P33" s="594"/>
      <c r="Q33" s="87"/>
      <c r="T33" s="85">
        <v>8</v>
      </c>
      <c r="U33" s="354" t="s">
        <v>17</v>
      </c>
      <c r="V33" s="234">
        <v>3.4</v>
      </c>
      <c r="W33" s="234">
        <v>5.2</v>
      </c>
      <c r="X33" s="234">
        <v>20</v>
      </c>
      <c r="Y33" s="234">
        <v>134.09</v>
      </c>
      <c r="Z33" s="234">
        <v>1609</v>
      </c>
      <c r="AA33" s="354">
        <v>1</v>
      </c>
      <c r="AB33" s="235" t="s">
        <v>216</v>
      </c>
      <c r="AC33" s="235" t="s">
        <v>310</v>
      </c>
      <c r="AD33" s="235" t="s">
        <v>261</v>
      </c>
      <c r="AE33" s="235" t="s">
        <v>376</v>
      </c>
      <c r="AF33" s="235" t="s">
        <v>258</v>
      </c>
      <c r="AG33" s="233">
        <f t="shared" si="2"/>
        <v>0</v>
      </c>
      <c r="AH33" s="233"/>
      <c r="AI33" s="220" t="s">
        <v>418</v>
      </c>
      <c r="AJ33" s="235">
        <v>132</v>
      </c>
      <c r="AO33" s="354"/>
      <c r="AP33" s="354"/>
      <c r="AQ33" s="354"/>
      <c r="AR33" s="354"/>
      <c r="AS33" s="354"/>
      <c r="AT33" s="354"/>
      <c r="AU33" s="354"/>
      <c r="AV33" s="235"/>
      <c r="AW33" s="235"/>
      <c r="AX33" s="235"/>
      <c r="AY33" s="235"/>
      <c r="AZ33" s="235"/>
      <c r="BA33" s="401"/>
      <c r="BB33" s="401"/>
      <c r="BC33" s="224"/>
      <c r="BD33" s="400"/>
      <c r="BG33" s="85"/>
      <c r="BH33" s="85"/>
      <c r="BI33" s="85"/>
      <c r="BJ33" s="87"/>
      <c r="BK33" s="87"/>
      <c r="BL33" s="87"/>
      <c r="BM33" s="87"/>
      <c r="BN33" s="87"/>
      <c r="BO33" s="87"/>
      <c r="BP33" s="87"/>
      <c r="BQ33" s="87"/>
      <c r="BR33" s="87"/>
      <c r="BS33" s="87"/>
      <c r="BT33" s="87"/>
      <c r="BU33" s="85"/>
      <c r="BV33" s="85"/>
      <c r="BW33" s="85"/>
      <c r="BX33" s="85"/>
      <c r="BY33" s="85"/>
      <c r="BZ33" s="85"/>
      <c r="CA33" s="85"/>
      <c r="CB33" s="85"/>
      <c r="CC33" s="85"/>
      <c r="CD33" s="85"/>
      <c r="CE33" s="85"/>
    </row>
    <row r="34" spans="1:83" ht="67.5" customHeight="1" x14ac:dyDescent="0.25">
      <c r="A34" s="510" t="s">
        <v>575</v>
      </c>
      <c r="B34" s="510"/>
      <c r="C34" s="510"/>
      <c r="D34" s="510"/>
      <c r="E34" s="510"/>
      <c r="F34" s="510"/>
      <c r="G34" s="510"/>
      <c r="H34" s="510"/>
      <c r="I34" s="510"/>
      <c r="J34" s="510"/>
      <c r="K34" s="510"/>
      <c r="L34" s="510"/>
      <c r="M34" s="230"/>
      <c r="N34" s="91"/>
      <c r="O34" s="87"/>
      <c r="P34" s="87"/>
      <c r="Q34" s="87"/>
      <c r="U34" s="354"/>
      <c r="V34" s="354"/>
      <c r="W34" s="354"/>
      <c r="X34" s="354"/>
      <c r="Y34" s="354"/>
      <c r="Z34" s="354"/>
      <c r="AA34" s="354"/>
      <c r="AB34" s="235"/>
      <c r="AC34" s="235"/>
      <c r="AD34" s="235"/>
      <c r="AE34" s="235"/>
      <c r="AF34" s="235"/>
      <c r="AG34" s="233"/>
      <c r="AH34" s="233"/>
      <c r="AI34" s="220"/>
      <c r="AJ34" s="235"/>
      <c r="AO34" s="234"/>
      <c r="AP34" s="234"/>
      <c r="AQ34" s="234"/>
      <c r="AR34" s="234"/>
      <c r="AS34" s="234"/>
      <c r="AT34" s="234"/>
      <c r="AU34" s="234"/>
      <c r="AV34" s="234"/>
      <c r="AW34" s="234"/>
      <c r="AX34" s="234"/>
      <c r="AY34" s="234"/>
      <c r="AZ34" s="234"/>
      <c r="BA34" s="399"/>
      <c r="BB34" s="399"/>
      <c r="BC34" s="399"/>
      <c r="BD34" s="399"/>
      <c r="BG34" s="85"/>
      <c r="BH34" s="85"/>
      <c r="BI34" s="85"/>
      <c r="BJ34" s="87"/>
      <c r="BK34" s="87"/>
      <c r="BL34" s="87"/>
      <c r="BM34" s="87"/>
      <c r="BN34" s="87"/>
      <c r="BO34" s="87"/>
      <c r="BP34" s="87"/>
      <c r="BQ34" s="87"/>
      <c r="BR34" s="87"/>
      <c r="BS34" s="87"/>
      <c r="BT34" s="87"/>
      <c r="BU34" s="85"/>
      <c r="BV34" s="85"/>
      <c r="BW34" s="85"/>
      <c r="BX34" s="85"/>
      <c r="BY34" s="85"/>
      <c r="BZ34" s="85"/>
      <c r="CA34" s="85"/>
      <c r="CB34" s="85"/>
      <c r="CC34" s="85"/>
      <c r="CD34" s="85"/>
      <c r="CE34" s="85"/>
    </row>
    <row r="35" spans="1:83" ht="27.75" customHeight="1" x14ac:dyDescent="0.25">
      <c r="A35" s="593" t="s">
        <v>250</v>
      </c>
      <c r="B35" s="593"/>
      <c r="C35" s="593"/>
      <c r="D35" s="593"/>
      <c r="E35" s="593"/>
      <c r="F35" s="593"/>
      <c r="G35" s="593"/>
      <c r="H35" s="593"/>
      <c r="I35" s="593"/>
      <c r="J35" s="593"/>
      <c r="K35" s="593"/>
      <c r="L35" s="593"/>
      <c r="M35" s="174"/>
      <c r="N35" s="594"/>
      <c r="O35" s="594"/>
      <c r="P35" s="594"/>
      <c r="Q35" s="87"/>
      <c r="T35" s="358">
        <f>VLOOKUP($AF$11,acidtable,1,FALSE)</f>
        <v>3</v>
      </c>
      <c r="U35" s="234" t="str">
        <f>VLOOKUP($AF$11,acidtable,2,FALSE)</f>
        <v>Lactic</v>
      </c>
      <c r="V35" s="234">
        <f>VLOOKUP($AF$11,acidtable,3,FALSE)</f>
        <v>3.86</v>
      </c>
      <c r="W35" s="234">
        <f>VLOOKUP($AF$11,acidtable,4,FALSE)</f>
        <v>20</v>
      </c>
      <c r="X35" s="234">
        <f>VLOOKUP($AF$11,acidtable,5,FALSE)</f>
        <v>20</v>
      </c>
      <c r="Y35" s="234">
        <f>VLOOKUP($AF$11,acidtable,6,FALSE)</f>
        <v>90.08</v>
      </c>
      <c r="Z35" s="234">
        <f>VLOOKUP($AF$11,acidtable,7,FALSE)</f>
        <v>1206.9551148799999</v>
      </c>
      <c r="AA35" s="234">
        <f>VLOOKUP($AF$11,acidtable,8,FALSE)</f>
        <v>1</v>
      </c>
      <c r="AB35" s="234" t="str">
        <f>VLOOKUP($AF$11,acidtable,9,FALSE)</f>
        <v>(ml)</v>
      </c>
      <c r="AC35" s="234" t="str">
        <f>VLOOKUP($AF$11,acidtable,10,FALSE)</f>
        <v>(tsp)</v>
      </c>
      <c r="AD35" s="234" t="str">
        <f>VLOOKUP($AF$11,acidtable,11,FALSE)</f>
        <v>Addition        (mL/gal)</v>
      </c>
      <c r="AE35" s="234" t="str">
        <f>VLOOKUP($AF$11,acidtable,12,FALSE)</f>
        <v>Lactic Acid Required =</v>
      </c>
      <c r="AF35" s="234" t="str">
        <f>VLOOKUP($AF$11,acidtable,13,FALSE)</f>
        <v>Total Acid Addition (ml)</v>
      </c>
      <c r="AG35" s="234">
        <f>VLOOKUP($AF$11,acidtable,14,FALSE)</f>
        <v>0</v>
      </c>
      <c r="AH35" s="234">
        <f>VLOOKUP($AF$11,acidtable,15,FALSE)</f>
        <v>0</v>
      </c>
      <c r="AI35" s="234" t="str">
        <f>VLOOKUP($AF$11,acidtable,16,FALSE)</f>
        <v>(ppm) Lactate added to water</v>
      </c>
      <c r="AJ35" s="234">
        <f>VLOOKUP($AF$11,acidtable,17,FALSE)</f>
        <v>89</v>
      </c>
      <c r="BG35" s="85"/>
      <c r="BH35" s="85"/>
      <c r="BI35" s="85"/>
      <c r="BJ35" s="87"/>
      <c r="BK35" s="87"/>
      <c r="BL35" s="87"/>
      <c r="BM35" s="87"/>
      <c r="BN35" s="87"/>
      <c r="BO35" s="87"/>
      <c r="BP35" s="87"/>
      <c r="BQ35" s="87"/>
      <c r="BR35" s="87"/>
      <c r="BS35" s="87"/>
      <c r="BT35" s="87"/>
      <c r="BU35" s="85"/>
      <c r="BV35" s="85"/>
      <c r="BW35" s="85"/>
      <c r="BX35" s="85"/>
      <c r="BY35" s="85"/>
      <c r="BZ35" s="85"/>
      <c r="CA35" s="85"/>
      <c r="CB35" s="85"/>
      <c r="CC35" s="85"/>
      <c r="CD35" s="85"/>
      <c r="CE35" s="85"/>
    </row>
    <row r="36" spans="1:83" ht="16.5" customHeight="1" x14ac:dyDescent="0.25">
      <c r="A36" s="593" t="s">
        <v>367</v>
      </c>
      <c r="B36" s="593"/>
      <c r="C36" s="593"/>
      <c r="D36" s="593"/>
      <c r="E36" s="593"/>
      <c r="F36" s="593"/>
      <c r="G36" s="593"/>
      <c r="H36" s="593"/>
      <c r="I36" s="593"/>
      <c r="J36" s="593"/>
      <c r="K36" s="593"/>
      <c r="L36" s="593"/>
      <c r="M36" s="87"/>
      <c r="N36" s="87"/>
      <c r="O36" s="87"/>
      <c r="P36" s="87"/>
      <c r="Q36" s="87"/>
      <c r="AO36" s="234"/>
      <c r="AP36" s="234"/>
      <c r="AQ36" s="234"/>
      <c r="AR36" s="234"/>
      <c r="AS36" s="234"/>
      <c r="AT36" s="234"/>
      <c r="AU36" s="234"/>
      <c r="BG36" s="85"/>
      <c r="BH36" s="85"/>
      <c r="BI36" s="85"/>
      <c r="BJ36" s="87"/>
      <c r="BK36" s="87"/>
      <c r="BL36" s="87"/>
      <c r="BM36" s="85"/>
      <c r="BN36" s="85"/>
      <c r="BO36" s="85"/>
      <c r="BP36" s="85"/>
      <c r="BQ36" s="85"/>
      <c r="BR36" s="85"/>
      <c r="BS36" s="85"/>
      <c r="BT36" s="85"/>
      <c r="BU36" s="85"/>
      <c r="BV36" s="85"/>
      <c r="BW36" s="85"/>
      <c r="BX36" s="85"/>
      <c r="BY36" s="85"/>
      <c r="BZ36" s="85"/>
      <c r="CA36" s="85"/>
      <c r="CB36" s="85"/>
      <c r="CC36" s="85"/>
      <c r="CD36" s="85"/>
      <c r="CE36" s="85"/>
    </row>
    <row r="37" spans="1:83" ht="36" customHeight="1" x14ac:dyDescent="0.2">
      <c r="B37" s="27" t="s">
        <v>159</v>
      </c>
      <c r="C37" s="27" t="s">
        <v>74</v>
      </c>
      <c r="D37" s="27" t="s">
        <v>73</v>
      </c>
      <c r="E37" s="27" t="s">
        <v>75</v>
      </c>
      <c r="F37" s="27" t="s">
        <v>76</v>
      </c>
      <c r="G37" s="27" t="s">
        <v>77</v>
      </c>
      <c r="H37" s="27" t="s">
        <v>78</v>
      </c>
      <c r="I37" s="27" t="s">
        <v>80</v>
      </c>
      <c r="J37" s="27" t="s">
        <v>81</v>
      </c>
      <c r="K37" s="28" t="s">
        <v>82</v>
      </c>
      <c r="L37" s="27" t="s">
        <v>129</v>
      </c>
      <c r="M37" s="27" t="s">
        <v>130</v>
      </c>
      <c r="N37" s="27" t="s">
        <v>221</v>
      </c>
      <c r="O37" s="595" t="s">
        <v>341</v>
      </c>
      <c r="P37" s="596"/>
      <c r="Q37" s="596"/>
      <c r="R37" s="596"/>
      <c r="S37" s="597"/>
      <c r="BG37" s="85"/>
      <c r="BH37" s="85"/>
      <c r="BI37" s="85"/>
      <c r="BJ37" s="87"/>
      <c r="BK37" s="87"/>
      <c r="BL37" s="87"/>
      <c r="BM37" s="85"/>
      <c r="BN37" s="85"/>
      <c r="BO37" s="85"/>
      <c r="BP37" s="85"/>
      <c r="BQ37" s="85"/>
      <c r="BR37" s="85"/>
      <c r="BS37" s="85"/>
      <c r="BT37" s="85"/>
      <c r="BU37" s="85"/>
      <c r="BV37" s="85"/>
      <c r="BW37" s="85"/>
      <c r="BX37" s="85"/>
      <c r="BY37" s="85"/>
      <c r="BZ37" s="85"/>
      <c r="CA37" s="85"/>
      <c r="CB37" s="85"/>
      <c r="CC37" s="85"/>
      <c r="CD37" s="85"/>
      <c r="CE37" s="85"/>
    </row>
    <row r="38" spans="1:83" ht="23.25" customHeight="1" x14ac:dyDescent="0.2">
      <c r="A38" s="17">
        <v>1</v>
      </c>
      <c r="B38" s="7" t="s">
        <v>111</v>
      </c>
      <c r="C38" s="8">
        <v>275</v>
      </c>
      <c r="D38" s="8">
        <v>40</v>
      </c>
      <c r="E38" s="8">
        <v>25</v>
      </c>
      <c r="F38" s="8">
        <v>610</v>
      </c>
      <c r="G38" s="8">
        <v>35</v>
      </c>
      <c r="H38" s="137">
        <v>270</v>
      </c>
      <c r="I38" s="4">
        <f t="shared" ref="I38:I101" si="3">(C38/20.05)+(D38/12.15)+(E38/23)</f>
        <v>18.094848314889997</v>
      </c>
      <c r="J38" s="6">
        <f t="shared" ref="J38:J101" si="4">(H38/61)+(F38/48)+(G38/35.45)</f>
        <v>18.121868906410167</v>
      </c>
      <c r="K38" s="5">
        <f>((C38/20)+(D38/12.15))*50</f>
        <v>852.10905349794234</v>
      </c>
      <c r="L38" s="24">
        <f t="shared" ref="L38:L101" si="5">H38*(50/61)*(1+(2*10^-4))</f>
        <v>221.35573770491803</v>
      </c>
      <c r="M38" s="5">
        <f>(L38-((C38*0.7143)+(D38*0.5879)))</f>
        <v>1.4072377049180318</v>
      </c>
      <c r="N38" s="4">
        <f t="shared" ref="N38:N98" si="6">IF(G38&lt;=0,0,F38/G38)</f>
        <v>17.428571428571427</v>
      </c>
      <c r="O38" s="590" t="s">
        <v>342</v>
      </c>
      <c r="P38" s="591"/>
      <c r="Q38" s="591"/>
      <c r="R38" s="591"/>
      <c r="S38" s="592"/>
      <c r="BG38" s="85"/>
      <c r="BH38" s="85"/>
      <c r="BI38" s="85"/>
      <c r="BJ38" s="87"/>
      <c r="BK38" s="87"/>
      <c r="BL38" s="87"/>
      <c r="BM38" s="85"/>
      <c r="BN38" s="85"/>
      <c r="BO38" s="85"/>
      <c r="BP38" s="85"/>
      <c r="BQ38" s="85"/>
      <c r="BR38" s="85"/>
      <c r="BS38" s="85"/>
      <c r="BT38" s="85"/>
      <c r="BU38" s="85"/>
      <c r="BV38" s="85"/>
      <c r="BW38" s="85"/>
      <c r="BX38" s="85"/>
      <c r="BY38" s="85"/>
      <c r="BZ38" s="85"/>
      <c r="CA38" s="85"/>
      <c r="CB38" s="85"/>
      <c r="CC38" s="85"/>
      <c r="CD38" s="85"/>
      <c r="CE38" s="85"/>
    </row>
    <row r="39" spans="1:83" ht="23.25" customHeight="1" x14ac:dyDescent="0.2">
      <c r="A39" s="17">
        <v>2</v>
      </c>
      <c r="B39" s="7" t="s">
        <v>112</v>
      </c>
      <c r="C39" s="8">
        <v>230</v>
      </c>
      <c r="D39" s="8">
        <v>15</v>
      </c>
      <c r="E39" s="8">
        <v>40</v>
      </c>
      <c r="F39" s="8">
        <v>330</v>
      </c>
      <c r="G39" s="8">
        <v>130</v>
      </c>
      <c r="H39" s="8">
        <v>235</v>
      </c>
      <c r="I39" s="4">
        <f t="shared" si="3"/>
        <v>14.445020031777775</v>
      </c>
      <c r="J39" s="6">
        <f t="shared" si="4"/>
        <v>14.39459582880529</v>
      </c>
      <c r="K39" s="5">
        <f>((C39/20)+(D39/12.15))*50</f>
        <v>636.72839506172841</v>
      </c>
      <c r="L39" s="24">
        <f t="shared" si="5"/>
        <v>192.66147540983604</v>
      </c>
      <c r="M39" s="5">
        <f>(L39-((C39*0.7143)+(D39*0.5879)))</f>
        <v>19.553975409836028</v>
      </c>
      <c r="N39" s="4">
        <f t="shared" si="6"/>
        <v>2.5384615384615383</v>
      </c>
      <c r="O39" s="590"/>
      <c r="P39" s="591"/>
      <c r="Q39" s="591"/>
      <c r="R39" s="591"/>
      <c r="S39" s="592"/>
      <c r="BG39" s="85"/>
      <c r="BH39" s="85"/>
      <c r="BI39" s="85"/>
      <c r="BJ39" s="87"/>
      <c r="BK39" s="87"/>
      <c r="BL39" s="87"/>
      <c r="BM39" s="85"/>
      <c r="BN39" s="85"/>
      <c r="BO39" s="85"/>
      <c r="BP39" s="85"/>
      <c r="BQ39" s="85"/>
      <c r="BR39" s="85"/>
      <c r="BS39" s="85"/>
      <c r="BT39" s="85"/>
      <c r="BU39" s="85"/>
      <c r="BV39" s="85"/>
      <c r="BW39" s="85"/>
      <c r="BX39" s="85"/>
      <c r="BY39" s="85"/>
      <c r="BZ39" s="85"/>
      <c r="CA39" s="85"/>
      <c r="CB39" s="85"/>
      <c r="CC39" s="85"/>
      <c r="CD39" s="85"/>
      <c r="CE39" s="85"/>
    </row>
    <row r="40" spans="1:83" ht="23.25" customHeight="1" x14ac:dyDescent="0.2">
      <c r="A40" s="17">
        <v>3</v>
      </c>
      <c r="B40" s="7" t="s">
        <v>113</v>
      </c>
      <c r="C40" s="8">
        <v>120</v>
      </c>
      <c r="D40" s="8">
        <v>4</v>
      </c>
      <c r="E40" s="8">
        <v>12</v>
      </c>
      <c r="F40" s="8">
        <v>55</v>
      </c>
      <c r="G40" s="8">
        <v>19</v>
      </c>
      <c r="H40" s="8">
        <v>315</v>
      </c>
      <c r="I40" s="4">
        <f t="shared" si="3"/>
        <v>6.8359946439144572</v>
      </c>
      <c r="J40" s="6">
        <f t="shared" si="4"/>
        <v>6.845733909069188</v>
      </c>
      <c r="K40" s="5">
        <f>((C40/20)+(D40/12.15))*50</f>
        <v>316.46090534979425</v>
      </c>
      <c r="L40" s="24">
        <f t="shared" si="5"/>
        <v>258.24836065573771</v>
      </c>
      <c r="M40" s="5">
        <f>(L40-((C40*0.7143)+(D40*0.5879)))</f>
        <v>170.18076065573769</v>
      </c>
      <c r="N40" s="4">
        <f t="shared" si="6"/>
        <v>2.8947368421052633</v>
      </c>
      <c r="O40" s="590" t="s">
        <v>345</v>
      </c>
      <c r="P40" s="591"/>
      <c r="Q40" s="591"/>
      <c r="R40" s="591"/>
      <c r="S40" s="592"/>
      <c r="V40" s="85">
        <v>5.4</v>
      </c>
      <c r="BG40" s="85"/>
      <c r="BH40" s="85"/>
      <c r="BI40" s="85"/>
      <c r="BJ40" s="87"/>
      <c r="BK40" s="87"/>
      <c r="BL40" s="87"/>
      <c r="BM40" s="85"/>
      <c r="BN40" s="85"/>
      <c r="BO40" s="85"/>
      <c r="BP40" s="85"/>
      <c r="BQ40" s="85"/>
      <c r="BR40" s="85"/>
      <c r="BS40" s="85"/>
      <c r="BT40" s="85"/>
      <c r="BU40" s="85"/>
      <c r="BV40" s="85"/>
      <c r="BW40" s="85"/>
      <c r="BX40" s="85"/>
      <c r="BY40" s="85"/>
      <c r="BZ40" s="85"/>
      <c r="CA40" s="85"/>
      <c r="CB40" s="85"/>
      <c r="CC40" s="85"/>
      <c r="CD40" s="85"/>
      <c r="CE40" s="85"/>
    </row>
    <row r="41" spans="1:83" ht="23.25" customHeight="1" x14ac:dyDescent="0.2">
      <c r="A41" s="17">
        <v>4</v>
      </c>
      <c r="B41" s="7" t="s">
        <v>222</v>
      </c>
      <c r="C41" s="8">
        <v>43</v>
      </c>
      <c r="D41" s="8">
        <v>4</v>
      </c>
      <c r="E41" s="8">
        <v>12</v>
      </c>
      <c r="F41" s="8">
        <v>55</v>
      </c>
      <c r="G41" s="8">
        <v>19</v>
      </c>
      <c r="H41" s="8">
        <v>80</v>
      </c>
      <c r="I41" s="4">
        <f t="shared" si="3"/>
        <v>2.9955956414206923</v>
      </c>
      <c r="J41" s="6">
        <f t="shared" si="4"/>
        <v>2.9932748926757458</v>
      </c>
      <c r="K41" s="5">
        <f t="shared" ref="K41:K98" si="7">((C41/20)+(D41/12.15))*50</f>
        <v>123.96090534979423</v>
      </c>
      <c r="L41" s="24">
        <f t="shared" si="5"/>
        <v>65.586885245901641</v>
      </c>
      <c r="M41" s="5">
        <f t="shared" ref="M41:M98" si="8">(L41-((C41*0.7143)+(D41*0.5879)))</f>
        <v>32.520385245901636</v>
      </c>
      <c r="N41" s="4">
        <f t="shared" si="6"/>
        <v>2.8947368421052633</v>
      </c>
      <c r="O41" s="590" t="s">
        <v>343</v>
      </c>
      <c r="P41" s="591"/>
      <c r="Q41" s="591"/>
      <c r="R41" s="591"/>
      <c r="S41" s="592"/>
      <c r="U41" s="319" t="s">
        <v>54</v>
      </c>
      <c r="V41" s="359">
        <f>10^(V40-V35)</f>
        <v>34.673685045253208</v>
      </c>
      <c r="W41" s="355">
        <f>(N($I$19)+N($K$19))/($T$17+$U$17)*61.5*3.785/$V$14</f>
        <v>0</v>
      </c>
      <c r="X41" s="355">
        <f>(N($I$19)+N($K$19))/($T$17+$U$17)*147.43*3.785/$V$14</f>
        <v>0</v>
      </c>
      <c r="Y41" s="355">
        <f>W41+W45+W46+W47</f>
        <v>0</v>
      </c>
      <c r="Z41" s="355">
        <f>(N($I$19))/($T$17)*61.5*3.785/$V$14</f>
        <v>0</v>
      </c>
      <c r="AA41" s="355">
        <f>(N($I$19))/($T$17)*147.43*3.785/$V$14</f>
        <v>0</v>
      </c>
      <c r="AB41" s="355">
        <f>Z41+Z45+Z46+Z47</f>
        <v>0</v>
      </c>
      <c r="AC41" s="85" t="s">
        <v>395</v>
      </c>
      <c r="AF41" s="319" t="s">
        <v>54</v>
      </c>
      <c r="AG41" s="359">
        <f>10^(V40-AP34)</f>
        <v>251188.64315095844</v>
      </c>
      <c r="BG41" s="85"/>
      <c r="BH41" s="85"/>
      <c r="BI41" s="85"/>
      <c r="BJ41" s="87"/>
      <c r="BK41" s="87"/>
      <c r="BL41" s="87"/>
      <c r="BM41" s="85"/>
      <c r="BN41" s="85"/>
      <c r="BO41" s="85"/>
      <c r="BP41" s="85"/>
      <c r="BQ41" s="85"/>
      <c r="BR41" s="85"/>
      <c r="BS41" s="85"/>
      <c r="BT41" s="85"/>
      <c r="BU41" s="85"/>
      <c r="BV41" s="85"/>
      <c r="BW41" s="85"/>
      <c r="BX41" s="85"/>
      <c r="BY41" s="85"/>
      <c r="BZ41" s="85"/>
      <c r="CA41" s="85"/>
      <c r="CB41" s="85"/>
      <c r="CC41" s="85"/>
      <c r="CD41" s="85"/>
      <c r="CE41" s="85"/>
    </row>
    <row r="42" spans="1:83" ht="23.25" customHeight="1" x14ac:dyDescent="0.2">
      <c r="A42" s="17">
        <v>5</v>
      </c>
      <c r="B42" s="7" t="s">
        <v>114</v>
      </c>
      <c r="C42" s="8">
        <v>100</v>
      </c>
      <c r="D42" s="8">
        <v>20</v>
      </c>
      <c r="E42" s="8">
        <v>55</v>
      </c>
      <c r="F42" s="8">
        <v>140</v>
      </c>
      <c r="G42" s="8">
        <v>50</v>
      </c>
      <c r="H42" s="8">
        <v>285</v>
      </c>
      <c r="I42" s="4">
        <f t="shared" si="3"/>
        <v>9.0249260548753369</v>
      </c>
      <c r="J42" s="6">
        <f t="shared" si="4"/>
        <v>8.9992350497506681</v>
      </c>
      <c r="K42" s="5">
        <f t="shared" si="7"/>
        <v>332.30452674897117</v>
      </c>
      <c r="L42" s="24">
        <f t="shared" si="5"/>
        <v>233.65327868852461</v>
      </c>
      <c r="M42" s="5">
        <f t="shared" si="8"/>
        <v>150.46527868852462</v>
      </c>
      <c r="N42" s="4">
        <f t="shared" si="6"/>
        <v>2.8</v>
      </c>
      <c r="O42" s="590" t="s">
        <v>346</v>
      </c>
      <c r="P42" s="591"/>
      <c r="Q42" s="591"/>
      <c r="R42" s="591"/>
      <c r="S42" s="592"/>
      <c r="T42" s="360"/>
      <c r="U42" s="319" t="s">
        <v>55</v>
      </c>
      <c r="V42" s="320">
        <f>10^(V40-W35)</f>
        <v>2.5118864315095734E-15</v>
      </c>
      <c r="W42" s="355">
        <f>(N($I$21)+N($K$21))/($T$17+$U$17)*26.05*3.785/$V$14</f>
        <v>0</v>
      </c>
      <c r="X42" s="355">
        <f>(N($I$21)+N($K$21))/($T$17+$U$17)*102.96*3.785/$V$14</f>
        <v>0</v>
      </c>
      <c r="Y42" s="355">
        <f>W42+W48</f>
        <v>0</v>
      </c>
      <c r="Z42" s="355">
        <f>(N($I$21))/($T$17)*26.05*3.785/$V$14</f>
        <v>0</v>
      </c>
      <c r="AA42" s="355">
        <f>(N($I$21))/($T$17)*102.96*3.785/$V$14</f>
        <v>0</v>
      </c>
      <c r="AB42" s="355">
        <f>Z42+Z48</f>
        <v>0</v>
      </c>
      <c r="AC42" s="85" t="s">
        <v>314</v>
      </c>
      <c r="AF42" s="319" t="s">
        <v>55</v>
      </c>
      <c r="AG42" s="320">
        <f>10^(V40-AQ34)</f>
        <v>251188.64315095844</v>
      </c>
      <c r="BG42" s="85"/>
      <c r="BH42" s="85"/>
      <c r="BI42" s="85"/>
      <c r="BJ42" s="87"/>
      <c r="BK42" s="87"/>
      <c r="BL42" s="87"/>
      <c r="BM42" s="85"/>
      <c r="BN42" s="85"/>
      <c r="BO42" s="85"/>
      <c r="BP42" s="85"/>
      <c r="BQ42" s="85"/>
      <c r="BR42" s="85"/>
      <c r="BS42" s="85"/>
      <c r="BT42" s="85"/>
      <c r="BU42" s="85"/>
      <c r="BV42" s="85"/>
      <c r="BW42" s="85"/>
      <c r="BX42" s="85"/>
      <c r="BY42" s="85"/>
      <c r="BZ42" s="85"/>
      <c r="CA42" s="85"/>
      <c r="CB42" s="85"/>
      <c r="CC42" s="85"/>
      <c r="CD42" s="85"/>
      <c r="CE42" s="85"/>
    </row>
    <row r="43" spans="1:83" ht="23.25" customHeight="1" x14ac:dyDescent="0.2">
      <c r="A43" s="17">
        <v>6</v>
      </c>
      <c r="B43" s="7" t="s">
        <v>223</v>
      </c>
      <c r="C43" s="8">
        <v>33</v>
      </c>
      <c r="D43" s="8">
        <v>20</v>
      </c>
      <c r="E43" s="8">
        <v>55</v>
      </c>
      <c r="F43" s="8">
        <v>140</v>
      </c>
      <c r="G43" s="8">
        <v>50</v>
      </c>
      <c r="H43" s="8">
        <v>80</v>
      </c>
      <c r="I43" s="4">
        <f t="shared" si="3"/>
        <v>5.6832801695885529</v>
      </c>
      <c r="J43" s="6">
        <f t="shared" si="4"/>
        <v>5.6385793120457501</v>
      </c>
      <c r="K43" s="5">
        <f t="shared" si="7"/>
        <v>164.8045267489712</v>
      </c>
      <c r="L43" s="24">
        <f t="shared" si="5"/>
        <v>65.586885245901641</v>
      </c>
      <c r="M43" s="5">
        <f t="shared" si="8"/>
        <v>30.256985245901639</v>
      </c>
      <c r="N43" s="4">
        <f t="shared" si="6"/>
        <v>2.8</v>
      </c>
      <c r="O43" s="590" t="s">
        <v>343</v>
      </c>
      <c r="P43" s="591"/>
      <c r="Q43" s="591"/>
      <c r="R43" s="591"/>
      <c r="S43" s="592"/>
      <c r="T43" s="361"/>
      <c r="U43" s="319" t="s">
        <v>56</v>
      </c>
      <c r="V43" s="320">
        <f>10^(V40-X35)</f>
        <v>2.5118864315095734E-15</v>
      </c>
      <c r="W43" s="355">
        <f>(N($I$23)+N($K$23))/($T$17+$U$17)*103.94*3.785/$V$14</f>
        <v>0</v>
      </c>
      <c r="X43" s="355">
        <f>(N($I$23)+N($K$23))/($T$17+$U$17)*160.26*3.785/$V$14</f>
        <v>0</v>
      </c>
      <c r="Y43" s="355">
        <f>W43+W44</f>
        <v>0</v>
      </c>
      <c r="Z43" s="355">
        <f>(N($I$23))/($T$17)*103.94*3.785/$V$14</f>
        <v>0</v>
      </c>
      <c r="AA43" s="355">
        <f>(N($I$23))/($T$17)*160.26*3.785/$V$14</f>
        <v>0</v>
      </c>
      <c r="AB43" s="355">
        <f>Z43+Z44</f>
        <v>0</v>
      </c>
      <c r="AC43" s="85" t="s">
        <v>394</v>
      </c>
      <c r="AF43" s="319" t="s">
        <v>56</v>
      </c>
      <c r="AG43" s="320">
        <f>10^(V40-AR34)</f>
        <v>251188.64315095844</v>
      </c>
      <c r="AH43" s="362"/>
      <c r="AI43" s="362"/>
      <c r="AJ43" s="362"/>
      <c r="AK43" s="362"/>
      <c r="AL43" s="362"/>
      <c r="AM43" s="362"/>
      <c r="BG43" s="85"/>
      <c r="BH43" s="85"/>
      <c r="BI43" s="85"/>
      <c r="BJ43" s="87"/>
      <c r="BK43" s="87"/>
      <c r="BL43" s="87"/>
      <c r="BM43" s="85"/>
      <c r="BN43" s="85"/>
      <c r="BO43" s="85"/>
      <c r="BP43" s="85"/>
      <c r="BQ43" s="85"/>
      <c r="BR43" s="85"/>
      <c r="BS43" s="85"/>
      <c r="BT43" s="85"/>
      <c r="BU43" s="85"/>
      <c r="BV43" s="85"/>
      <c r="BW43" s="85"/>
      <c r="BX43" s="85"/>
      <c r="BY43" s="85"/>
      <c r="BZ43" s="85"/>
      <c r="CA43" s="85"/>
      <c r="CB43" s="85"/>
      <c r="CC43" s="85"/>
      <c r="CD43" s="85"/>
      <c r="CE43" s="85"/>
    </row>
    <row r="44" spans="1:83" ht="23.25" customHeight="1" x14ac:dyDescent="0.2">
      <c r="A44" s="17">
        <v>7</v>
      </c>
      <c r="B44" s="7" t="s">
        <v>115</v>
      </c>
      <c r="C44" s="8">
        <v>70</v>
      </c>
      <c r="D44" s="8">
        <v>6</v>
      </c>
      <c r="E44" s="8">
        <v>15</v>
      </c>
      <c r="F44" s="8">
        <v>40</v>
      </c>
      <c r="G44" s="8">
        <v>38</v>
      </c>
      <c r="H44" s="8">
        <v>166</v>
      </c>
      <c r="I44" s="4">
        <f t="shared" si="3"/>
        <v>4.6372728939861831</v>
      </c>
      <c r="J44" s="6">
        <f t="shared" si="4"/>
        <v>4.6265771077558631</v>
      </c>
      <c r="K44" s="5">
        <f t="shared" si="7"/>
        <v>199.69135802469137</v>
      </c>
      <c r="L44" s="24">
        <f t="shared" si="5"/>
        <v>136.09278688524589</v>
      </c>
      <c r="M44" s="5">
        <f t="shared" si="8"/>
        <v>82.564386885245881</v>
      </c>
      <c r="N44" s="4">
        <f t="shared" si="6"/>
        <v>1.0526315789473684</v>
      </c>
      <c r="O44" s="590" t="s">
        <v>347</v>
      </c>
      <c r="P44" s="591"/>
      <c r="Q44" s="591"/>
      <c r="R44" s="591"/>
      <c r="S44" s="592"/>
      <c r="T44" s="361"/>
      <c r="U44" s="319" t="s">
        <v>57</v>
      </c>
      <c r="V44" s="320">
        <f>1/(1+V41+(V41*V42)+(V41*V42*V43))</f>
        <v>2.8031867151696432E-2</v>
      </c>
      <c r="W44" s="355">
        <f>(N($I$26))/($T$17+$U$17)*72.31*3.785/$V$14</f>
        <v>0</v>
      </c>
      <c r="X44" s="355">
        <f>(N($I$26))/($T$17+$U$17)*191.88*3.785/$V$14</f>
        <v>0</v>
      </c>
      <c r="Y44" s="355">
        <f>((((X41+X42+$F$29)*V14*T17)+(('2. Sparge Acidification'!B13)*V14*U17))/((T17+U17)*V14))</f>
        <v>0</v>
      </c>
      <c r="Z44" s="355">
        <f>(N($I$24))/($T$17)*72.31*3.785/$V$14</f>
        <v>0</v>
      </c>
      <c r="AA44" s="355">
        <f ca="1">(N($I$24))/($T$17)*(191.88*(2-((0.0349*B16^4)-(0.5697*B16^3)+(3.4089*B16^2)-(8.7207*B16)+(8.8231))))*3.785/$V$14</f>
        <v>0</v>
      </c>
      <c r="AB44" s="355">
        <f>(AA41+AA42+$F$29)</f>
        <v>0</v>
      </c>
      <c r="AC44" s="85" t="s">
        <v>311</v>
      </c>
      <c r="AF44" s="319" t="s">
        <v>57</v>
      </c>
      <c r="AG44" s="320">
        <f>1/(1+AG41+(AG41*AG42)+(AG41*AG42*AG43))</f>
        <v>6.3095483259375853E-17</v>
      </c>
      <c r="AH44" s="362"/>
      <c r="AI44" s="362"/>
      <c r="AJ44" s="362"/>
      <c r="AK44" s="362"/>
      <c r="AL44" s="362"/>
      <c r="AM44" s="362"/>
      <c r="BG44" s="85"/>
      <c r="BH44" s="85"/>
      <c r="BI44" s="85"/>
      <c r="BJ44" s="87"/>
      <c r="BK44" s="87"/>
      <c r="BL44" s="87"/>
      <c r="BM44" s="85"/>
      <c r="BN44" s="85"/>
      <c r="BO44" s="85"/>
      <c r="BP44" s="85"/>
      <c r="BQ44" s="85"/>
      <c r="BR44" s="85"/>
      <c r="BS44" s="85"/>
      <c r="BT44" s="85"/>
      <c r="BU44" s="85"/>
      <c r="BV44" s="85"/>
      <c r="BW44" s="85"/>
      <c r="BX44" s="85"/>
      <c r="BY44" s="85"/>
      <c r="BZ44" s="85"/>
      <c r="CA44" s="85"/>
      <c r="CB44" s="85"/>
      <c r="CC44" s="85"/>
      <c r="CD44" s="85"/>
      <c r="CE44" s="85"/>
    </row>
    <row r="45" spans="1:83" ht="23.25" customHeight="1" x14ac:dyDescent="0.2">
      <c r="A45" s="17">
        <v>8</v>
      </c>
      <c r="B45" s="7" t="s">
        <v>224</v>
      </c>
      <c r="C45" s="8">
        <v>42</v>
      </c>
      <c r="D45" s="8">
        <v>6</v>
      </c>
      <c r="E45" s="8">
        <v>15</v>
      </c>
      <c r="F45" s="8">
        <v>40</v>
      </c>
      <c r="G45" s="8">
        <v>38</v>
      </c>
      <c r="H45" s="8">
        <v>80</v>
      </c>
      <c r="I45" s="4">
        <f t="shared" si="3"/>
        <v>3.240764165806632</v>
      </c>
      <c r="J45" s="6">
        <f t="shared" si="4"/>
        <v>3.2167410421820923</v>
      </c>
      <c r="K45" s="5">
        <f t="shared" si="7"/>
        <v>129.69135802469137</v>
      </c>
      <c r="L45" s="24">
        <f t="shared" si="5"/>
        <v>65.586885245901641</v>
      </c>
      <c r="M45" s="5">
        <f t="shared" si="8"/>
        <v>32.058885245901635</v>
      </c>
      <c r="N45" s="4">
        <f t="shared" si="6"/>
        <v>1.0526315789473684</v>
      </c>
      <c r="O45" s="590" t="s">
        <v>343</v>
      </c>
      <c r="P45" s="591"/>
      <c r="Q45" s="591"/>
      <c r="R45" s="591"/>
      <c r="S45" s="592"/>
      <c r="T45" s="361"/>
      <c r="U45" s="319" t="s">
        <v>58</v>
      </c>
      <c r="V45" s="320">
        <f>V44</f>
        <v>2.8031867151696432E-2</v>
      </c>
      <c r="W45" s="335">
        <f>((N($I$20)+N($K$20))/($T$17+$U$17))*95.4*(3.785/$V$14)</f>
        <v>0</v>
      </c>
      <c r="X45" s="335">
        <f>((N($I$20)+N($K$20))/($T$17+$U$17))*168.79*(3.785/$V$14)</f>
        <v>0</v>
      </c>
      <c r="Y45" s="355">
        <f>((((X43+X45+X48+$G$29)*V14*T17)+(('2. Sparge Acidification'!B14)*V14*U17))/((T17+U17)*V14))</f>
        <v>0</v>
      </c>
      <c r="Z45" s="335">
        <f>(N($I$20)/($T$17))*95.4*(3.785/$V$14)</f>
        <v>0</v>
      </c>
      <c r="AA45" s="355">
        <f>((N($I$20))/($T$17))*168.79*(3.785/$V$14)</f>
        <v>0</v>
      </c>
      <c r="AB45" s="355">
        <f>(AA43+AA45+AA48+$G$29)</f>
        <v>0</v>
      </c>
      <c r="AC45" s="85" t="s">
        <v>312</v>
      </c>
      <c r="AF45" s="319" t="s">
        <v>58</v>
      </c>
      <c r="AG45" s="320">
        <f>AG44</f>
        <v>6.3095483259375853E-17</v>
      </c>
      <c r="AH45" s="362"/>
      <c r="AI45" s="362"/>
      <c r="AJ45" s="362"/>
      <c r="AK45" s="362"/>
      <c r="AL45" s="362"/>
      <c r="AM45" s="362"/>
      <c r="BG45" s="85"/>
      <c r="BH45" s="85"/>
      <c r="BI45" s="85"/>
      <c r="BJ45" s="87"/>
      <c r="BK45" s="87"/>
      <c r="BL45" s="87"/>
      <c r="BM45" s="85"/>
      <c r="BN45" s="85"/>
      <c r="BO45" s="85"/>
      <c r="BP45" s="85"/>
      <c r="BQ45" s="85"/>
      <c r="BR45" s="85"/>
      <c r="BS45" s="85"/>
      <c r="BT45" s="85"/>
      <c r="BU45" s="85"/>
      <c r="BV45" s="85"/>
      <c r="BW45" s="85"/>
      <c r="BX45" s="85"/>
      <c r="BY45" s="85"/>
      <c r="BZ45" s="85"/>
      <c r="CA45" s="85"/>
      <c r="CB45" s="85"/>
      <c r="CC45" s="85"/>
      <c r="CD45" s="85"/>
      <c r="CE45" s="85"/>
    </row>
    <row r="46" spans="1:83" ht="23.25" customHeight="1" x14ac:dyDescent="0.2">
      <c r="A46" s="17">
        <v>9</v>
      </c>
      <c r="B46" s="7" t="s">
        <v>116</v>
      </c>
      <c r="C46" s="8">
        <v>77</v>
      </c>
      <c r="D46" s="8">
        <v>17</v>
      </c>
      <c r="E46" s="8">
        <v>4</v>
      </c>
      <c r="F46" s="8">
        <v>18</v>
      </c>
      <c r="G46" s="8">
        <v>8</v>
      </c>
      <c r="H46" s="8">
        <v>295</v>
      </c>
      <c r="I46" s="4">
        <f t="shared" si="3"/>
        <v>5.4134890007045362</v>
      </c>
      <c r="J46" s="6">
        <f t="shared" si="4"/>
        <v>5.4367355314573746</v>
      </c>
      <c r="K46" s="5">
        <f t="shared" si="7"/>
        <v>262.4588477366255</v>
      </c>
      <c r="L46" s="24">
        <f t="shared" si="5"/>
        <v>241.85163934426228</v>
      </c>
      <c r="M46" s="5">
        <f t="shared" si="8"/>
        <v>176.85623934426229</v>
      </c>
      <c r="N46" s="4">
        <f t="shared" si="6"/>
        <v>2.25</v>
      </c>
      <c r="O46" s="590" t="s">
        <v>348</v>
      </c>
      <c r="P46" s="591"/>
      <c r="Q46" s="591"/>
      <c r="R46" s="591"/>
      <c r="S46" s="592"/>
      <c r="T46" s="361"/>
      <c r="U46" s="319" t="s">
        <v>59</v>
      </c>
      <c r="V46" s="320">
        <f>V44*V41</f>
        <v>0.97196813284830119</v>
      </c>
      <c r="W46" s="355">
        <f>(N($I$24))/($T$17+$U$17)*105.8*3.785/$V$14</f>
        <v>0</v>
      </c>
      <c r="X46" s="355">
        <f>(N($I$24))/($T$17+$U$17)*322.27*3.785/$V$14</f>
        <v>0</v>
      </c>
      <c r="Y46" s="355">
        <f>X44+X46+X47</f>
        <v>0</v>
      </c>
      <c r="Z46" s="355">
        <f>(N($I$25))/($T$17)*105.8*3.785/$V$14</f>
        <v>0</v>
      </c>
      <c r="AA46" s="355">
        <f>(N($I$25))/($T$17)*322.27*3.785/$V$14</f>
        <v>0</v>
      </c>
      <c r="AB46" s="355">
        <f ca="1">AA44+AA46+AA47+$H$29</f>
        <v>0</v>
      </c>
      <c r="AC46" s="85" t="s">
        <v>316</v>
      </c>
      <c r="AF46" s="319" t="s">
        <v>59</v>
      </c>
      <c r="AG46" s="320">
        <f>AG44*AG41</f>
        <v>1.5848868828876631E-11</v>
      </c>
      <c r="AH46" s="362"/>
      <c r="AI46" s="362"/>
      <c r="AJ46" s="362"/>
      <c r="AK46" s="362"/>
      <c r="AL46" s="362"/>
      <c r="AM46" s="362"/>
      <c r="BG46" s="85"/>
      <c r="BH46" s="85"/>
      <c r="BI46" s="85"/>
      <c r="BJ46" s="87"/>
      <c r="BK46" s="87"/>
      <c r="BL46" s="87"/>
      <c r="BM46" s="85"/>
      <c r="BN46" s="85"/>
      <c r="BO46" s="85"/>
      <c r="BP46" s="85"/>
      <c r="BQ46" s="85"/>
      <c r="BR46" s="85"/>
      <c r="BS46" s="85"/>
      <c r="BT46" s="85"/>
      <c r="BU46" s="85"/>
      <c r="BV46" s="85"/>
      <c r="BW46" s="85"/>
      <c r="BX46" s="85"/>
      <c r="BY46" s="85"/>
      <c r="BZ46" s="85"/>
      <c r="CA46" s="85"/>
      <c r="CB46" s="85"/>
      <c r="CC46" s="85"/>
      <c r="CD46" s="85"/>
      <c r="CE46" s="85"/>
    </row>
    <row r="47" spans="1:83" ht="23.25" customHeight="1" x14ac:dyDescent="0.2">
      <c r="A47" s="17">
        <v>10</v>
      </c>
      <c r="B47" s="7" t="s">
        <v>242</v>
      </c>
      <c r="C47" s="8">
        <v>12</v>
      </c>
      <c r="D47" s="8">
        <v>17</v>
      </c>
      <c r="E47" s="8">
        <v>4</v>
      </c>
      <c r="F47" s="8">
        <v>18</v>
      </c>
      <c r="G47" s="8">
        <v>8</v>
      </c>
      <c r="H47" s="8">
        <v>100</v>
      </c>
      <c r="I47" s="4">
        <f t="shared" si="3"/>
        <v>2.17159373885915</v>
      </c>
      <c r="J47" s="6">
        <f t="shared" si="4"/>
        <v>2.240014219981965</v>
      </c>
      <c r="K47" s="5">
        <f t="shared" si="7"/>
        <v>99.958847736625515</v>
      </c>
      <c r="L47" s="24">
        <f t="shared" si="5"/>
        <v>81.983606557377058</v>
      </c>
      <c r="M47" s="5">
        <f t="shared" si="8"/>
        <v>63.417706557377059</v>
      </c>
      <c r="N47" s="4">
        <f t="shared" si="6"/>
        <v>2.25</v>
      </c>
      <c r="O47" s="590" t="s">
        <v>343</v>
      </c>
      <c r="P47" s="591"/>
      <c r="Q47" s="591"/>
      <c r="R47" s="591"/>
      <c r="S47" s="592"/>
      <c r="T47" s="361"/>
      <c r="U47" s="319" t="s">
        <v>60</v>
      </c>
      <c r="V47" s="320">
        <f>V41*V42*V44</f>
        <v>2.4414735647613423E-15</v>
      </c>
      <c r="W47" s="355">
        <f>(N($I$25))/($T$17+$U$17)*142.93*3.785/$V$14</f>
        <v>0</v>
      </c>
      <c r="X47" s="355">
        <f>(N($I$25))/($T$17+$U$17)*434.75*3.785/$V$14</f>
        <v>0</v>
      </c>
      <c r="Y47" s="355"/>
      <c r="Z47" s="355">
        <f>(N($I$26))/($T$17)*142.93*3.785/$V$14</f>
        <v>0</v>
      </c>
      <c r="AA47" s="355">
        <f>(N($I$26))/($T$17)*434.75*3.785/$V$14</f>
        <v>0</v>
      </c>
      <c r="AB47" s="355"/>
      <c r="AF47" s="319" t="s">
        <v>60</v>
      </c>
      <c r="AG47" s="320">
        <f>AG41*AG42*AG44</f>
        <v>3.9810558566030416E-6</v>
      </c>
      <c r="AH47" s="362"/>
      <c r="AI47" s="362"/>
      <c r="AJ47" s="362"/>
      <c r="AK47" s="362"/>
      <c r="AL47" s="362"/>
      <c r="AM47" s="362"/>
      <c r="BG47" s="85"/>
      <c r="BH47" s="85"/>
      <c r="BI47" s="85"/>
      <c r="BJ47" s="87"/>
      <c r="BK47" s="87"/>
      <c r="BL47" s="87"/>
      <c r="BM47" s="85"/>
      <c r="BN47" s="85"/>
      <c r="BO47" s="85"/>
      <c r="BP47" s="85"/>
      <c r="BQ47" s="85"/>
      <c r="BR47" s="85"/>
      <c r="BS47" s="85"/>
      <c r="BT47" s="85"/>
      <c r="BU47" s="85"/>
      <c r="BV47" s="85"/>
      <c r="BW47" s="85"/>
      <c r="BX47" s="85"/>
      <c r="BY47" s="85"/>
      <c r="BZ47" s="85"/>
      <c r="CA47" s="85"/>
      <c r="CB47" s="85"/>
      <c r="CC47" s="85"/>
      <c r="CD47" s="85"/>
      <c r="CE47" s="85"/>
    </row>
    <row r="48" spans="1:83" ht="23.25" customHeight="1" x14ac:dyDescent="0.2">
      <c r="A48" s="17">
        <v>11</v>
      </c>
      <c r="B48" s="7" t="s">
        <v>117</v>
      </c>
      <c r="C48" s="8">
        <v>7</v>
      </c>
      <c r="D48" s="8">
        <v>2</v>
      </c>
      <c r="E48" s="8">
        <v>2</v>
      </c>
      <c r="F48" s="8">
        <v>8</v>
      </c>
      <c r="G48" s="8">
        <v>6</v>
      </c>
      <c r="H48" s="8">
        <v>16</v>
      </c>
      <c r="I48" s="4">
        <f t="shared" si="3"/>
        <v>0.60069275728196048</v>
      </c>
      <c r="J48" s="6">
        <f t="shared" si="4"/>
        <v>0.59821421689904197</v>
      </c>
      <c r="K48" s="5">
        <f t="shared" si="7"/>
        <v>25.730452674897119</v>
      </c>
      <c r="L48" s="24">
        <f t="shared" si="5"/>
        <v>13.117377049180329</v>
      </c>
      <c r="M48" s="5">
        <f t="shared" si="8"/>
        <v>6.9414770491803282</v>
      </c>
      <c r="N48" s="4">
        <f t="shared" si="6"/>
        <v>1.3333333333333333</v>
      </c>
      <c r="O48" s="590" t="s">
        <v>349</v>
      </c>
      <c r="P48" s="591"/>
      <c r="Q48" s="591"/>
      <c r="R48" s="591"/>
      <c r="S48" s="592"/>
      <c r="T48" s="361"/>
      <c r="U48" s="319" t="s">
        <v>61</v>
      </c>
      <c r="V48" s="320">
        <f>V41*V42*V43*V44</f>
        <v>6.1327043202133262E-30</v>
      </c>
      <c r="W48" s="355">
        <f>(N($I$22)+N($K$22))/($T$17+$U$17)*31.57*3.785/$V$14</f>
        <v>0</v>
      </c>
      <c r="X48" s="355">
        <f>(N($I$22)+N($K$22))/($T$17+$U$17)*92.12*3.785/$V$14</f>
        <v>0</v>
      </c>
      <c r="Y48" s="355"/>
      <c r="Z48" s="355">
        <f>(N($I$22))/($T$17)*31.57*3.785/$V$14</f>
        <v>0</v>
      </c>
      <c r="AA48" s="355">
        <f>(N($I$22))/($T$17)*92.12*3.785/$V$14</f>
        <v>0</v>
      </c>
      <c r="AB48" s="355"/>
      <c r="AF48" s="319" t="s">
        <v>61</v>
      </c>
      <c r="AG48" s="320">
        <f>AG41*AG42*AG43*AG44</f>
        <v>0.99999601892829448</v>
      </c>
      <c r="BG48" s="85"/>
      <c r="BH48" s="85"/>
      <c r="BI48" s="85"/>
      <c r="BJ48" s="87"/>
      <c r="BK48" s="87"/>
      <c r="BL48" s="87"/>
      <c r="BM48" s="85"/>
      <c r="BN48" s="85"/>
      <c r="BO48" s="85"/>
      <c r="BP48" s="85"/>
      <c r="BQ48" s="85"/>
      <c r="BR48" s="85"/>
      <c r="BS48" s="85"/>
      <c r="BT48" s="85"/>
      <c r="BU48" s="85"/>
      <c r="BV48" s="85"/>
      <c r="BW48" s="85"/>
      <c r="BX48" s="85"/>
      <c r="BY48" s="85"/>
      <c r="BZ48" s="85"/>
      <c r="CA48" s="85"/>
      <c r="CB48" s="85"/>
      <c r="CC48" s="85"/>
      <c r="CD48" s="85"/>
      <c r="CE48" s="85"/>
    </row>
    <row r="49" spans="1:83" ht="23.25" customHeight="1" x14ac:dyDescent="0.2">
      <c r="A49" s="17">
        <v>12</v>
      </c>
      <c r="B49" s="9" t="s">
        <v>118</v>
      </c>
      <c r="C49" s="8">
        <v>75</v>
      </c>
      <c r="D49" s="8">
        <v>15</v>
      </c>
      <c r="E49" s="8">
        <v>10</v>
      </c>
      <c r="F49" s="8">
        <v>60</v>
      </c>
      <c r="G49" s="8">
        <v>15</v>
      </c>
      <c r="H49" s="8">
        <v>225</v>
      </c>
      <c r="I49" s="4">
        <f t="shared" si="3"/>
        <v>5.4099988889825887</v>
      </c>
      <c r="J49" s="6">
        <f t="shared" si="4"/>
        <v>5.3616557608268405</v>
      </c>
      <c r="K49" s="5">
        <f t="shared" si="7"/>
        <v>249.22839506172841</v>
      </c>
      <c r="L49" s="24">
        <f t="shared" si="5"/>
        <v>184.46311475409834</v>
      </c>
      <c r="M49" s="5">
        <f t="shared" si="8"/>
        <v>122.07211475409834</v>
      </c>
      <c r="N49" s="4">
        <f t="shared" si="6"/>
        <v>4</v>
      </c>
      <c r="O49" s="590" t="s">
        <v>350</v>
      </c>
      <c r="P49" s="591"/>
      <c r="Q49" s="591"/>
      <c r="R49" s="591"/>
      <c r="S49" s="592"/>
      <c r="T49" s="361"/>
      <c r="U49" s="319" t="s">
        <v>62</v>
      </c>
      <c r="V49" s="320">
        <f>V46+(2*V47)+(3*V48)</f>
        <v>0.97196813284830608</v>
      </c>
      <c r="AF49" s="319" t="s">
        <v>62</v>
      </c>
      <c r="AG49" s="320">
        <f>AG46+(2*AG47)+(3*AG48)</f>
        <v>2.9999960189124457</v>
      </c>
      <c r="BG49" s="85"/>
      <c r="BH49" s="85"/>
      <c r="BI49" s="85"/>
      <c r="BJ49" s="87"/>
      <c r="BK49" s="87"/>
      <c r="BL49" s="87"/>
      <c r="BM49" s="85"/>
      <c r="BN49" s="85"/>
      <c r="BO49" s="85"/>
      <c r="BP49" s="85"/>
      <c r="BQ49" s="85"/>
      <c r="BR49" s="85"/>
      <c r="BS49" s="85"/>
      <c r="BT49" s="85"/>
      <c r="BU49" s="85"/>
      <c r="BV49" s="85"/>
      <c r="BW49" s="85"/>
      <c r="BX49" s="85"/>
      <c r="BY49" s="85"/>
      <c r="BZ49" s="85"/>
      <c r="CA49" s="85"/>
      <c r="CB49" s="85"/>
      <c r="CC49" s="85"/>
      <c r="CD49" s="85"/>
      <c r="CE49" s="85"/>
    </row>
    <row r="50" spans="1:83" ht="23.25" customHeight="1" x14ac:dyDescent="0.2">
      <c r="A50" s="17">
        <v>13</v>
      </c>
      <c r="B50" s="9" t="s">
        <v>225</v>
      </c>
      <c r="C50" s="8">
        <v>27</v>
      </c>
      <c r="D50" s="8">
        <v>15</v>
      </c>
      <c r="E50" s="8">
        <v>10</v>
      </c>
      <c r="F50" s="8">
        <v>60</v>
      </c>
      <c r="G50" s="8">
        <v>15</v>
      </c>
      <c r="H50" s="8">
        <v>80</v>
      </c>
      <c r="I50" s="4">
        <f t="shared" si="3"/>
        <v>3.0159839263890733</v>
      </c>
      <c r="J50" s="6">
        <f t="shared" si="4"/>
        <v>2.9846065804989705</v>
      </c>
      <c r="K50" s="5">
        <f t="shared" si="7"/>
        <v>129.22839506172838</v>
      </c>
      <c r="L50" s="24">
        <f t="shared" si="5"/>
        <v>65.586885245901641</v>
      </c>
      <c r="M50" s="5">
        <f t="shared" si="8"/>
        <v>37.482285245901636</v>
      </c>
      <c r="N50" s="4">
        <f t="shared" si="6"/>
        <v>4</v>
      </c>
      <c r="O50" s="590" t="s">
        <v>343</v>
      </c>
      <c r="P50" s="591"/>
      <c r="Q50" s="591"/>
      <c r="R50" s="591"/>
      <c r="S50" s="592"/>
      <c r="T50" s="361"/>
      <c r="U50" s="319"/>
      <c r="V50" s="363"/>
      <c r="AH50" s="362"/>
      <c r="BG50" s="85"/>
      <c r="BH50" s="85"/>
      <c r="BI50" s="85"/>
      <c r="BJ50" s="87"/>
      <c r="BK50" s="87"/>
      <c r="BL50" s="87"/>
      <c r="BM50" s="85"/>
      <c r="BN50" s="85"/>
      <c r="BO50" s="85"/>
      <c r="BP50" s="85"/>
      <c r="BQ50" s="85"/>
      <c r="BR50" s="85"/>
      <c r="BS50" s="85"/>
      <c r="BT50" s="85"/>
      <c r="BU50" s="85"/>
      <c r="BV50" s="85"/>
      <c r="BW50" s="85"/>
      <c r="BX50" s="85"/>
      <c r="BY50" s="85"/>
      <c r="BZ50" s="85"/>
      <c r="CA50" s="85"/>
      <c r="CB50" s="85"/>
      <c r="CC50" s="85"/>
      <c r="CD50" s="85"/>
      <c r="CE50" s="85"/>
    </row>
    <row r="51" spans="1:83" ht="23.25" customHeight="1" x14ac:dyDescent="0.2">
      <c r="A51" s="17">
        <v>14</v>
      </c>
      <c r="B51" s="9" t="s">
        <v>86</v>
      </c>
      <c r="C51" s="8">
        <v>40</v>
      </c>
      <c r="D51" s="8">
        <v>15</v>
      </c>
      <c r="E51" s="8">
        <v>25</v>
      </c>
      <c r="F51" s="8">
        <v>80</v>
      </c>
      <c r="G51" s="8">
        <v>45</v>
      </c>
      <c r="H51" s="8">
        <v>81</v>
      </c>
      <c r="I51" s="99">
        <f t="shared" si="3"/>
        <v>4.3165368918016283</v>
      </c>
      <c r="J51" s="100">
        <f t="shared" si="4"/>
        <v>4.2639290311143991</v>
      </c>
      <c r="K51" s="5">
        <f t="shared" si="7"/>
        <v>161.72839506172841</v>
      </c>
      <c r="L51" s="24">
        <f t="shared" si="5"/>
        <v>66.406721311475408</v>
      </c>
      <c r="M51" s="5">
        <f t="shared" si="8"/>
        <v>29.016221311475405</v>
      </c>
      <c r="N51" s="4">
        <f t="shared" si="6"/>
        <v>1.7777777777777777</v>
      </c>
      <c r="O51" s="590" t="s">
        <v>351</v>
      </c>
      <c r="P51" s="591"/>
      <c r="Q51" s="591"/>
      <c r="R51" s="591"/>
      <c r="S51" s="592"/>
      <c r="T51" s="361"/>
      <c r="U51" s="319"/>
      <c r="V51" s="355"/>
      <c r="Z51" s="85" t="s">
        <v>556</v>
      </c>
      <c r="AH51" s="362"/>
      <c r="BG51" s="85"/>
      <c r="BH51" s="85"/>
      <c r="BI51" s="85"/>
      <c r="BJ51" s="87"/>
      <c r="BK51" s="87"/>
      <c r="BL51" s="87"/>
      <c r="BM51" s="85"/>
      <c r="BN51" s="85"/>
      <c r="BO51" s="85"/>
      <c r="BP51" s="85"/>
      <c r="BQ51" s="85"/>
      <c r="BR51" s="85"/>
      <c r="BS51" s="85"/>
      <c r="BT51" s="85"/>
      <c r="BU51" s="85"/>
      <c r="BV51" s="85"/>
      <c r="BW51" s="85"/>
      <c r="BX51" s="85"/>
      <c r="BY51" s="85"/>
      <c r="BZ51" s="85"/>
      <c r="CA51" s="85"/>
      <c r="CB51" s="85"/>
      <c r="CC51" s="85"/>
      <c r="CD51" s="85"/>
      <c r="CE51" s="85"/>
    </row>
    <row r="52" spans="1:83" ht="23.25" customHeight="1" x14ac:dyDescent="0.2">
      <c r="A52" s="17">
        <v>15</v>
      </c>
      <c r="B52" s="9" t="s">
        <v>226</v>
      </c>
      <c r="C52" s="8">
        <v>39</v>
      </c>
      <c r="D52" s="8">
        <v>15</v>
      </c>
      <c r="E52" s="8">
        <v>25</v>
      </c>
      <c r="F52" s="8">
        <v>80</v>
      </c>
      <c r="G52" s="8">
        <v>45</v>
      </c>
      <c r="H52" s="8">
        <v>80</v>
      </c>
      <c r="I52" s="99">
        <f t="shared" si="3"/>
        <v>4.26666158008093</v>
      </c>
      <c r="J52" s="100">
        <f t="shared" si="4"/>
        <v>4.2475355884914485</v>
      </c>
      <c r="K52" s="5">
        <f t="shared" si="7"/>
        <v>159.22839506172838</v>
      </c>
      <c r="L52" s="24">
        <f t="shared" si="5"/>
        <v>65.586885245901641</v>
      </c>
      <c r="M52" s="5">
        <f t="shared" si="8"/>
        <v>28.910685245901639</v>
      </c>
      <c r="N52" s="4">
        <f t="shared" si="6"/>
        <v>1.7777777777777777</v>
      </c>
      <c r="O52" s="590" t="s">
        <v>343</v>
      </c>
      <c r="P52" s="591"/>
      <c r="Q52" s="591"/>
      <c r="R52" s="591"/>
      <c r="S52" s="592"/>
      <c r="T52" s="361"/>
      <c r="V52" s="364"/>
      <c r="AH52" s="362"/>
      <c r="BG52" s="85"/>
      <c r="BH52" s="85"/>
      <c r="BI52" s="85"/>
      <c r="BJ52" s="87"/>
      <c r="BK52" s="87"/>
      <c r="BL52" s="87"/>
      <c r="BM52" s="85"/>
      <c r="BN52" s="85"/>
      <c r="BO52" s="85"/>
      <c r="BP52" s="85"/>
      <c r="BQ52" s="85"/>
      <c r="BR52" s="85"/>
      <c r="BS52" s="85"/>
      <c r="BT52" s="85"/>
      <c r="BU52" s="85"/>
      <c r="BV52" s="85"/>
      <c r="BW52" s="85"/>
      <c r="BX52" s="85"/>
      <c r="BY52" s="85"/>
      <c r="BZ52" s="85"/>
      <c r="CA52" s="85"/>
      <c r="CB52" s="85"/>
      <c r="CC52" s="85"/>
      <c r="CD52" s="85"/>
      <c r="CE52" s="85"/>
    </row>
    <row r="53" spans="1:83" ht="23.25" customHeight="1" x14ac:dyDescent="0.2">
      <c r="A53" s="17">
        <v>16</v>
      </c>
      <c r="B53" s="10" t="s">
        <v>83</v>
      </c>
      <c r="C53" s="8">
        <v>73</v>
      </c>
      <c r="D53" s="8">
        <v>13</v>
      </c>
      <c r="E53" s="8">
        <v>52</v>
      </c>
      <c r="F53" s="8">
        <v>125</v>
      </c>
      <c r="G53" s="8">
        <v>80</v>
      </c>
      <c r="H53" s="8">
        <v>128</v>
      </c>
      <c r="I53" s="4">
        <f t="shared" si="3"/>
        <v>6.9717261685649881</v>
      </c>
      <c r="J53" s="6">
        <f t="shared" si="4"/>
        <v>6.9592268992732009</v>
      </c>
      <c r="K53" s="5">
        <f t="shared" si="7"/>
        <v>235.99794238683128</v>
      </c>
      <c r="L53" s="24">
        <f t="shared" si="5"/>
        <v>104.93901639344263</v>
      </c>
      <c r="M53" s="5">
        <f t="shared" si="8"/>
        <v>45.152416393442628</v>
      </c>
      <c r="N53" s="4">
        <f t="shared" si="6"/>
        <v>1.5625</v>
      </c>
      <c r="O53" s="590"/>
      <c r="P53" s="591"/>
      <c r="Q53" s="591"/>
      <c r="R53" s="591"/>
      <c r="S53" s="592"/>
      <c r="T53" s="361"/>
      <c r="AH53" s="362"/>
      <c r="BG53" s="85"/>
      <c r="BH53" s="85"/>
      <c r="BI53" s="85"/>
      <c r="BJ53" s="87"/>
      <c r="BK53" s="87"/>
      <c r="BL53" s="87"/>
      <c r="BM53" s="85"/>
      <c r="BN53" s="85"/>
      <c r="BO53" s="85"/>
      <c r="BP53" s="85"/>
      <c r="BQ53" s="85"/>
      <c r="BR53" s="85"/>
      <c r="BS53" s="85"/>
      <c r="BT53" s="85"/>
      <c r="BU53" s="85"/>
      <c r="BV53" s="85"/>
      <c r="BW53" s="85"/>
      <c r="BX53" s="85"/>
      <c r="BY53" s="85"/>
      <c r="BZ53" s="85"/>
      <c r="CA53" s="85"/>
      <c r="CB53" s="85"/>
      <c r="CC53" s="85"/>
      <c r="CD53" s="85"/>
      <c r="CE53" s="85"/>
    </row>
    <row r="54" spans="1:83" ht="23.25" customHeight="1" x14ac:dyDescent="0.2">
      <c r="A54" s="17">
        <v>17</v>
      </c>
      <c r="B54" s="9" t="s">
        <v>227</v>
      </c>
      <c r="C54" s="8">
        <v>57</v>
      </c>
      <c r="D54" s="8">
        <v>13</v>
      </c>
      <c r="E54" s="8">
        <v>52</v>
      </c>
      <c r="F54" s="8">
        <v>125</v>
      </c>
      <c r="G54" s="8">
        <v>80</v>
      </c>
      <c r="H54" s="8">
        <v>80</v>
      </c>
      <c r="I54" s="4">
        <f t="shared" si="3"/>
        <v>6.1737211810338168</v>
      </c>
      <c r="J54" s="6">
        <f t="shared" si="4"/>
        <v>6.1723416533715607</v>
      </c>
      <c r="K54" s="5">
        <f t="shared" si="7"/>
        <v>195.99794238683128</v>
      </c>
      <c r="L54" s="24">
        <f t="shared" si="5"/>
        <v>65.586885245901641</v>
      </c>
      <c r="M54" s="5">
        <f t="shared" si="8"/>
        <v>17.229085245901643</v>
      </c>
      <c r="N54" s="4">
        <f t="shared" si="6"/>
        <v>1.5625</v>
      </c>
      <c r="O54" s="590" t="s">
        <v>343</v>
      </c>
      <c r="P54" s="591"/>
      <c r="Q54" s="591"/>
      <c r="R54" s="591"/>
      <c r="S54" s="592"/>
      <c r="T54" s="361"/>
      <c r="AI54" s="365"/>
      <c r="BG54" s="85"/>
      <c r="BH54" s="85"/>
      <c r="BI54" s="85"/>
      <c r="BJ54" s="87"/>
      <c r="BK54" s="87"/>
      <c r="BL54" s="87"/>
      <c r="BM54" s="85"/>
      <c r="BN54" s="85"/>
      <c r="BO54" s="85"/>
      <c r="BP54" s="85"/>
      <c r="BQ54" s="85"/>
      <c r="BR54" s="85"/>
      <c r="BS54" s="85"/>
      <c r="BT54" s="85"/>
      <c r="BU54" s="85"/>
      <c r="BV54" s="85"/>
      <c r="BW54" s="85"/>
      <c r="BX54" s="85"/>
      <c r="BY54" s="85"/>
      <c r="BZ54" s="85"/>
      <c r="CA54" s="85"/>
      <c r="CB54" s="85"/>
      <c r="CC54" s="85"/>
      <c r="CD54" s="85"/>
      <c r="CE54" s="85"/>
    </row>
    <row r="55" spans="1:83" ht="23.25" customHeight="1" x14ac:dyDescent="0.2">
      <c r="A55" s="17">
        <v>18</v>
      </c>
      <c r="B55" s="10" t="s">
        <v>84</v>
      </c>
      <c r="C55" s="8">
        <v>132</v>
      </c>
      <c r="D55" s="8">
        <v>13</v>
      </c>
      <c r="E55" s="8">
        <v>20</v>
      </c>
      <c r="F55" s="8">
        <v>99</v>
      </c>
      <c r="G55" s="8">
        <v>38</v>
      </c>
      <c r="H55" s="8">
        <v>326</v>
      </c>
      <c r="I55" s="4">
        <f t="shared" si="3"/>
        <v>8.5230652122600983</v>
      </c>
      <c r="J55" s="6">
        <f t="shared" si="4"/>
        <v>8.4786945940946605</v>
      </c>
      <c r="K55" s="5">
        <f t="shared" si="7"/>
        <v>383.49794238683126</v>
      </c>
      <c r="L55" s="24">
        <f t="shared" si="5"/>
        <v>267.26655737704914</v>
      </c>
      <c r="M55" s="5">
        <f t="shared" si="8"/>
        <v>165.33625737704912</v>
      </c>
      <c r="N55" s="4">
        <f t="shared" si="6"/>
        <v>2.6052631578947367</v>
      </c>
      <c r="O55" s="590"/>
      <c r="P55" s="591"/>
      <c r="Q55" s="591"/>
      <c r="R55" s="591"/>
      <c r="S55" s="592"/>
      <c r="T55" s="361"/>
      <c r="AI55" s="362"/>
      <c r="BG55" s="85"/>
      <c r="BH55" s="85"/>
      <c r="BI55" s="85"/>
      <c r="BJ55" s="87"/>
      <c r="BK55" s="87"/>
      <c r="BL55" s="87"/>
      <c r="BM55" s="85"/>
      <c r="BN55" s="85"/>
      <c r="BO55" s="85"/>
      <c r="BP55" s="85"/>
      <c r="BQ55" s="85"/>
      <c r="BR55" s="85"/>
      <c r="BS55" s="85"/>
      <c r="BT55" s="85"/>
      <c r="BU55" s="85"/>
      <c r="BV55" s="85"/>
      <c r="BW55" s="85"/>
      <c r="BX55" s="85"/>
      <c r="BY55" s="85"/>
      <c r="BZ55" s="85"/>
      <c r="CA55" s="85"/>
      <c r="CB55" s="85"/>
      <c r="CC55" s="85"/>
      <c r="CD55" s="85"/>
      <c r="CE55" s="85"/>
    </row>
    <row r="56" spans="1:83" ht="23.25" customHeight="1" x14ac:dyDescent="0.2">
      <c r="A56" s="17">
        <v>19</v>
      </c>
      <c r="B56" s="10" t="s">
        <v>228</v>
      </c>
      <c r="C56" s="8">
        <v>51</v>
      </c>
      <c r="D56" s="8">
        <v>13</v>
      </c>
      <c r="E56" s="8">
        <v>20</v>
      </c>
      <c r="F56" s="8">
        <v>99</v>
      </c>
      <c r="G56" s="8">
        <v>38</v>
      </c>
      <c r="H56" s="8">
        <v>80</v>
      </c>
      <c r="I56" s="4">
        <f t="shared" si="3"/>
        <v>4.4831649628835413</v>
      </c>
      <c r="J56" s="6">
        <f t="shared" si="4"/>
        <v>4.4459077088487593</v>
      </c>
      <c r="K56" s="5">
        <f t="shared" si="7"/>
        <v>180.99794238683126</v>
      </c>
      <c r="L56" s="24">
        <f t="shared" si="5"/>
        <v>65.586885245901641</v>
      </c>
      <c r="M56" s="5">
        <f t="shared" si="8"/>
        <v>21.514885245901638</v>
      </c>
      <c r="N56" s="4">
        <f t="shared" si="6"/>
        <v>2.6052631578947367</v>
      </c>
      <c r="O56" s="590" t="s">
        <v>343</v>
      </c>
      <c r="P56" s="591"/>
      <c r="Q56" s="591"/>
      <c r="R56" s="591"/>
      <c r="S56" s="592"/>
      <c r="T56" s="361"/>
      <c r="AI56" s="362"/>
      <c r="BG56" s="85"/>
      <c r="BH56" s="85"/>
      <c r="BI56" s="85"/>
      <c r="BJ56" s="87"/>
      <c r="BK56" s="87"/>
      <c r="BL56" s="87"/>
      <c r="BM56" s="85"/>
      <c r="BN56" s="85"/>
      <c r="BO56" s="85"/>
      <c r="BP56" s="85"/>
      <c r="BQ56" s="85"/>
      <c r="BR56" s="85"/>
      <c r="BS56" s="85"/>
      <c r="BT56" s="85"/>
      <c r="BU56" s="85"/>
      <c r="BV56" s="85"/>
      <c r="BW56" s="85"/>
      <c r="BX56" s="85"/>
      <c r="BY56" s="85"/>
      <c r="BZ56" s="85"/>
      <c r="CA56" s="85"/>
      <c r="CB56" s="85"/>
      <c r="CC56" s="85"/>
      <c r="CD56" s="85"/>
      <c r="CE56" s="85"/>
    </row>
    <row r="57" spans="1:83" ht="23.25" customHeight="1" x14ac:dyDescent="0.2">
      <c r="A57" s="17">
        <v>20</v>
      </c>
      <c r="B57" s="10" t="s">
        <v>85</v>
      </c>
      <c r="C57" s="8">
        <v>100</v>
      </c>
      <c r="D57" s="8">
        <v>11</v>
      </c>
      <c r="E57" s="8">
        <v>18</v>
      </c>
      <c r="F57" s="8">
        <v>70</v>
      </c>
      <c r="G57" s="8">
        <v>41</v>
      </c>
      <c r="H57" s="8">
        <v>250</v>
      </c>
      <c r="I57" s="4">
        <f t="shared" si="3"/>
        <v>6.6754896619606825</v>
      </c>
      <c r="J57" s="6">
        <f t="shared" si="4"/>
        <v>6.7132525222163126</v>
      </c>
      <c r="K57" s="5">
        <f t="shared" si="7"/>
        <v>295.26748971193416</v>
      </c>
      <c r="L57" s="24">
        <f t="shared" si="5"/>
        <v>204.95901639344262</v>
      </c>
      <c r="M57" s="5">
        <f t="shared" si="8"/>
        <v>127.06211639344262</v>
      </c>
      <c r="N57" s="4">
        <f t="shared" si="6"/>
        <v>1.7073170731707317</v>
      </c>
      <c r="O57" s="590"/>
      <c r="P57" s="591"/>
      <c r="Q57" s="591"/>
      <c r="R57" s="591"/>
      <c r="S57" s="592"/>
      <c r="T57" s="361"/>
      <c r="BG57" s="87"/>
      <c r="BH57" s="87"/>
      <c r="BI57" s="87"/>
      <c r="BJ57" s="87"/>
      <c r="BK57" s="87"/>
      <c r="BL57" s="87"/>
      <c r="BM57" s="85"/>
      <c r="BN57" s="85"/>
      <c r="BO57" s="85"/>
      <c r="BP57" s="85"/>
      <c r="BQ57" s="85"/>
      <c r="BR57" s="85"/>
      <c r="BS57" s="85"/>
      <c r="BT57" s="85"/>
      <c r="BU57" s="85"/>
      <c r="BV57" s="85"/>
      <c r="BW57" s="85"/>
      <c r="BX57" s="85"/>
      <c r="BY57" s="85"/>
      <c r="BZ57" s="85"/>
      <c r="CA57" s="85"/>
      <c r="CB57" s="85"/>
      <c r="CC57" s="85"/>
      <c r="CD57" s="85"/>
      <c r="CE57" s="85"/>
    </row>
    <row r="58" spans="1:83" ht="23.25" customHeight="1" x14ac:dyDescent="0.2">
      <c r="A58" s="17">
        <v>21</v>
      </c>
      <c r="B58" s="10" t="s">
        <v>229</v>
      </c>
      <c r="C58" s="8">
        <v>44</v>
      </c>
      <c r="D58" s="8">
        <v>11</v>
      </c>
      <c r="E58" s="8">
        <v>18</v>
      </c>
      <c r="F58" s="8">
        <v>70</v>
      </c>
      <c r="G58" s="8">
        <v>41</v>
      </c>
      <c r="H58" s="8">
        <v>80</v>
      </c>
      <c r="I58" s="4">
        <f t="shared" si="3"/>
        <v>3.8824722056015801</v>
      </c>
      <c r="J58" s="6">
        <f t="shared" si="4"/>
        <v>3.9263672763146737</v>
      </c>
      <c r="K58" s="5">
        <f t="shared" si="7"/>
        <v>155.26748971193416</v>
      </c>
      <c r="L58" s="24">
        <f t="shared" si="5"/>
        <v>65.586885245901641</v>
      </c>
      <c r="M58" s="5">
        <f t="shared" si="8"/>
        <v>27.690785245901637</v>
      </c>
      <c r="N58" s="4">
        <f t="shared" si="6"/>
        <v>1.7073170731707317</v>
      </c>
      <c r="O58" s="590" t="s">
        <v>343</v>
      </c>
      <c r="P58" s="591"/>
      <c r="Q58" s="591"/>
      <c r="R58" s="591"/>
      <c r="S58" s="592"/>
      <c r="T58" s="361"/>
      <c r="BG58" s="87"/>
      <c r="BH58" s="87"/>
      <c r="BI58" s="87"/>
      <c r="BJ58" s="87"/>
      <c r="BK58" s="87"/>
      <c r="BL58" s="87"/>
      <c r="BM58" s="85"/>
      <c r="BN58" s="85"/>
      <c r="BO58" s="85"/>
      <c r="BP58" s="85"/>
      <c r="BQ58" s="85"/>
      <c r="BR58" s="85"/>
      <c r="BS58" s="85"/>
      <c r="BT58" s="85"/>
      <c r="BU58" s="85"/>
      <c r="BV58" s="85"/>
      <c r="BW58" s="85"/>
      <c r="BX58" s="85"/>
      <c r="BY58" s="85"/>
      <c r="BZ58" s="85"/>
      <c r="CA58" s="85"/>
      <c r="CB58" s="85"/>
      <c r="CC58" s="85"/>
      <c r="CD58" s="85"/>
      <c r="CE58" s="85"/>
    </row>
    <row r="59" spans="1:83" ht="23.25" customHeight="1" x14ac:dyDescent="0.2">
      <c r="A59" s="17">
        <v>22</v>
      </c>
      <c r="B59" s="10" t="s">
        <v>88</v>
      </c>
      <c r="C59" s="8">
        <v>90</v>
      </c>
      <c r="D59" s="8">
        <v>11</v>
      </c>
      <c r="E59" s="8">
        <v>16</v>
      </c>
      <c r="F59" s="8">
        <v>82</v>
      </c>
      <c r="G59" s="8">
        <v>53</v>
      </c>
      <c r="H59" s="8">
        <v>171</v>
      </c>
      <c r="I59" s="4">
        <f t="shared" si="3"/>
        <v>6.0897800230145691</v>
      </c>
      <c r="J59" s="6">
        <f t="shared" si="4"/>
        <v>6.0066754915335228</v>
      </c>
      <c r="K59" s="5">
        <f t="shared" si="7"/>
        <v>270.26748971193416</v>
      </c>
      <c r="L59" s="24">
        <f t="shared" si="5"/>
        <v>140.19196721311474</v>
      </c>
      <c r="M59" s="5">
        <f t="shared" si="8"/>
        <v>69.438067213114735</v>
      </c>
      <c r="N59" s="4">
        <f t="shared" si="6"/>
        <v>1.5471698113207548</v>
      </c>
      <c r="O59" s="590"/>
      <c r="P59" s="591"/>
      <c r="Q59" s="591"/>
      <c r="R59" s="591"/>
      <c r="S59" s="592"/>
      <c r="T59" s="361"/>
      <c r="BG59" s="87"/>
      <c r="BH59" s="87"/>
      <c r="BI59" s="87"/>
      <c r="BJ59" s="87"/>
      <c r="BK59" s="87"/>
      <c r="BL59" s="87"/>
      <c r="BM59" s="85"/>
      <c r="BN59" s="85"/>
      <c r="BO59" s="85"/>
      <c r="BP59" s="85"/>
      <c r="BQ59" s="85"/>
      <c r="BR59" s="85"/>
      <c r="BS59" s="85"/>
      <c r="BT59" s="85"/>
      <c r="BU59" s="85"/>
      <c r="BV59" s="85"/>
      <c r="BW59" s="85"/>
      <c r="BX59" s="85"/>
      <c r="BY59" s="85"/>
      <c r="BZ59" s="85"/>
      <c r="CA59" s="85"/>
      <c r="CB59" s="85"/>
      <c r="CC59" s="85"/>
      <c r="CD59" s="85"/>
      <c r="CE59" s="85"/>
    </row>
    <row r="60" spans="1:83" ht="23.25" customHeight="1" x14ac:dyDescent="0.2">
      <c r="A60" s="17">
        <v>23</v>
      </c>
      <c r="B60" s="10" t="s">
        <v>230</v>
      </c>
      <c r="C60" s="8">
        <v>60</v>
      </c>
      <c r="D60" s="8">
        <v>11</v>
      </c>
      <c r="E60" s="8">
        <v>16</v>
      </c>
      <c r="F60" s="8">
        <v>82</v>
      </c>
      <c r="G60" s="8">
        <v>53</v>
      </c>
      <c r="H60" s="8">
        <v>80</v>
      </c>
      <c r="I60" s="4">
        <f t="shared" si="3"/>
        <v>4.5935206713936214</v>
      </c>
      <c r="J60" s="6">
        <f t="shared" si="4"/>
        <v>4.5148722128449981</v>
      </c>
      <c r="K60" s="5">
        <f t="shared" si="7"/>
        <v>195.26748971193416</v>
      </c>
      <c r="L60" s="24">
        <f t="shared" si="5"/>
        <v>65.586885245901641</v>
      </c>
      <c r="M60" s="5">
        <f t="shared" si="8"/>
        <v>16.261985245901634</v>
      </c>
      <c r="N60" s="4">
        <f t="shared" si="6"/>
        <v>1.5471698113207548</v>
      </c>
      <c r="O60" s="590" t="s">
        <v>343</v>
      </c>
      <c r="P60" s="591"/>
      <c r="Q60" s="591"/>
      <c r="R60" s="591"/>
      <c r="S60" s="592"/>
      <c r="T60" s="361"/>
      <c r="BG60" s="87"/>
      <c r="BH60" s="87"/>
      <c r="BI60" s="87"/>
      <c r="BJ60" s="87"/>
      <c r="BK60" s="87"/>
      <c r="BL60" s="87"/>
      <c r="BM60" s="85"/>
      <c r="BN60" s="85"/>
      <c r="BO60" s="85"/>
      <c r="BP60" s="85"/>
      <c r="BQ60" s="85"/>
      <c r="BR60" s="85"/>
      <c r="BS60" s="85"/>
      <c r="BT60" s="85"/>
      <c r="BU60" s="85"/>
      <c r="BV60" s="85"/>
      <c r="BW60" s="85"/>
      <c r="BX60" s="85"/>
      <c r="BY60" s="85"/>
      <c r="BZ60" s="85"/>
      <c r="CA60" s="85"/>
      <c r="CB60" s="85"/>
      <c r="CC60" s="85"/>
      <c r="CD60" s="85"/>
      <c r="CE60" s="85"/>
    </row>
    <row r="61" spans="1:83" ht="23.25" customHeight="1" x14ac:dyDescent="0.2">
      <c r="A61" s="17">
        <v>24</v>
      </c>
      <c r="B61" s="10" t="s">
        <v>87</v>
      </c>
      <c r="C61" s="8">
        <v>68</v>
      </c>
      <c r="D61" s="8">
        <v>8</v>
      </c>
      <c r="E61" s="8">
        <v>33</v>
      </c>
      <c r="F61" s="8">
        <v>70</v>
      </c>
      <c r="G61" s="8">
        <v>60</v>
      </c>
      <c r="H61" s="8">
        <v>143</v>
      </c>
      <c r="I61" s="4">
        <f t="shared" si="3"/>
        <v>5.484740019694903</v>
      </c>
      <c r="J61" s="6">
        <f t="shared" si="4"/>
        <v>5.4951203110669224</v>
      </c>
      <c r="K61" s="5">
        <f t="shared" si="7"/>
        <v>202.92181069958849</v>
      </c>
      <c r="L61" s="24">
        <f t="shared" si="5"/>
        <v>117.23655737704918</v>
      </c>
      <c r="M61" s="5">
        <f t="shared" si="8"/>
        <v>63.960957377049176</v>
      </c>
      <c r="N61" s="4">
        <f t="shared" si="6"/>
        <v>1.1666666666666667</v>
      </c>
      <c r="O61" s="590"/>
      <c r="P61" s="591"/>
      <c r="Q61" s="591"/>
      <c r="R61" s="591"/>
      <c r="S61" s="592"/>
      <c r="T61" s="361"/>
      <c r="BG61" s="87"/>
      <c r="BH61" s="87"/>
      <c r="BI61" s="87"/>
      <c r="BJ61" s="87"/>
      <c r="BK61" s="87"/>
      <c r="BL61" s="87"/>
      <c r="BM61" s="85"/>
      <c r="BN61" s="85"/>
      <c r="BO61" s="85"/>
      <c r="BP61" s="85"/>
      <c r="BQ61" s="85"/>
      <c r="BR61" s="85"/>
      <c r="BS61" s="85"/>
      <c r="BT61" s="85"/>
      <c r="BU61" s="85"/>
      <c r="BV61" s="85"/>
      <c r="BW61" s="85"/>
      <c r="BX61" s="85"/>
      <c r="BY61" s="85"/>
      <c r="BZ61" s="85"/>
      <c r="CA61" s="85"/>
      <c r="CB61" s="85"/>
      <c r="CC61" s="85"/>
      <c r="CD61" s="85"/>
      <c r="CE61" s="85"/>
    </row>
    <row r="62" spans="1:83" ht="23.25" customHeight="1" x14ac:dyDescent="0.2">
      <c r="A62" s="17">
        <v>25</v>
      </c>
      <c r="B62" s="10" t="s">
        <v>231</v>
      </c>
      <c r="C62" s="8">
        <v>48</v>
      </c>
      <c r="D62" s="8">
        <v>8</v>
      </c>
      <c r="E62" s="8">
        <v>33</v>
      </c>
      <c r="F62" s="8">
        <v>70</v>
      </c>
      <c r="G62" s="8">
        <v>60</v>
      </c>
      <c r="H62" s="8">
        <v>80</v>
      </c>
      <c r="I62" s="4">
        <f t="shared" si="3"/>
        <v>4.4872337852809379</v>
      </c>
      <c r="J62" s="6">
        <f t="shared" si="4"/>
        <v>4.4623334258210203</v>
      </c>
      <c r="K62" s="5">
        <f t="shared" si="7"/>
        <v>152.92181069958849</v>
      </c>
      <c r="L62" s="24">
        <f t="shared" si="5"/>
        <v>65.586885245901641</v>
      </c>
      <c r="M62" s="5">
        <f t="shared" si="8"/>
        <v>26.597285245901638</v>
      </c>
      <c r="N62" s="4">
        <f t="shared" si="6"/>
        <v>1.1666666666666667</v>
      </c>
      <c r="O62" s="590" t="s">
        <v>343</v>
      </c>
      <c r="P62" s="591"/>
      <c r="Q62" s="591"/>
      <c r="R62" s="591"/>
      <c r="S62" s="592"/>
      <c r="T62" s="361"/>
      <c r="BG62" s="87"/>
      <c r="BH62" s="87"/>
      <c r="BI62" s="87"/>
      <c r="BJ62" s="87"/>
      <c r="BK62" s="87"/>
      <c r="BL62" s="87"/>
      <c r="BM62" s="85"/>
      <c r="BN62" s="85"/>
      <c r="BO62" s="85"/>
      <c r="BP62" s="85"/>
      <c r="BQ62" s="85"/>
      <c r="BR62" s="85"/>
      <c r="BS62" s="85"/>
      <c r="BT62" s="85"/>
      <c r="BU62" s="85"/>
      <c r="BV62" s="85"/>
      <c r="BW62" s="85"/>
      <c r="BX62" s="85"/>
      <c r="BY62" s="85"/>
      <c r="BZ62" s="85"/>
      <c r="CA62" s="85"/>
      <c r="CB62" s="85"/>
      <c r="CC62" s="85"/>
      <c r="CD62" s="85"/>
      <c r="CE62" s="85"/>
    </row>
    <row r="63" spans="1:83" ht="23.25" customHeight="1" x14ac:dyDescent="0.2">
      <c r="A63" s="17">
        <v>26</v>
      </c>
      <c r="B63" s="10" t="s">
        <v>95</v>
      </c>
      <c r="C63" s="8">
        <v>65</v>
      </c>
      <c r="D63" s="8">
        <v>7</v>
      </c>
      <c r="E63" s="8">
        <v>16</v>
      </c>
      <c r="F63" s="8">
        <v>48</v>
      </c>
      <c r="G63" s="8">
        <v>30</v>
      </c>
      <c r="H63" s="8">
        <v>159</v>
      </c>
      <c r="I63" s="4">
        <f t="shared" si="3"/>
        <v>4.5136791230012285</v>
      </c>
      <c r="J63" s="6">
        <f t="shared" si="4"/>
        <v>4.4528197183749914</v>
      </c>
      <c r="K63" s="5">
        <f t="shared" si="7"/>
        <v>191.30658436213992</v>
      </c>
      <c r="L63" s="24">
        <f t="shared" si="5"/>
        <v>130.35393442622953</v>
      </c>
      <c r="M63" s="5">
        <f t="shared" si="8"/>
        <v>79.809134426229519</v>
      </c>
      <c r="N63" s="4">
        <f t="shared" si="6"/>
        <v>1.6</v>
      </c>
      <c r="O63" s="590"/>
      <c r="P63" s="591"/>
      <c r="Q63" s="591"/>
      <c r="R63" s="591"/>
      <c r="S63" s="592"/>
      <c r="T63" s="361"/>
      <c r="BG63" s="87"/>
      <c r="BH63" s="87"/>
      <c r="BI63" s="87"/>
      <c r="BJ63" s="87"/>
      <c r="BK63" s="87"/>
      <c r="BL63" s="87"/>
      <c r="BM63" s="85"/>
      <c r="BN63" s="85"/>
      <c r="BO63" s="85"/>
      <c r="BP63" s="85"/>
      <c r="BQ63" s="85"/>
      <c r="BR63" s="85"/>
      <c r="BS63" s="85"/>
      <c r="BT63" s="85"/>
      <c r="BU63" s="85"/>
      <c r="BV63" s="85"/>
      <c r="BW63" s="85"/>
      <c r="BX63" s="85"/>
      <c r="BY63" s="85"/>
      <c r="BZ63" s="85"/>
      <c r="CA63" s="85"/>
      <c r="CB63" s="85"/>
      <c r="CC63" s="85"/>
      <c r="CD63" s="85"/>
      <c r="CE63" s="85"/>
    </row>
    <row r="64" spans="1:83" ht="23.25" customHeight="1" x14ac:dyDescent="0.2">
      <c r="A64" s="17">
        <v>27</v>
      </c>
      <c r="B64" s="10" t="s">
        <v>232</v>
      </c>
      <c r="C64" s="8">
        <v>39</v>
      </c>
      <c r="D64" s="8">
        <v>7</v>
      </c>
      <c r="E64" s="8">
        <v>16</v>
      </c>
      <c r="F64" s="8">
        <v>48</v>
      </c>
      <c r="G64" s="8">
        <v>30</v>
      </c>
      <c r="H64" s="8">
        <v>80</v>
      </c>
      <c r="I64" s="4">
        <f t="shared" si="3"/>
        <v>3.2169210182630734</v>
      </c>
      <c r="J64" s="6">
        <f t="shared" si="4"/>
        <v>3.1577377511618763</v>
      </c>
      <c r="K64" s="5">
        <f t="shared" si="7"/>
        <v>126.3065843621399</v>
      </c>
      <c r="L64" s="24">
        <f t="shared" si="5"/>
        <v>65.586885245901641</v>
      </c>
      <c r="M64" s="5">
        <f t="shared" si="8"/>
        <v>33.613885245901642</v>
      </c>
      <c r="N64" s="4">
        <f t="shared" si="6"/>
        <v>1.6</v>
      </c>
      <c r="O64" s="590" t="s">
        <v>343</v>
      </c>
      <c r="P64" s="591"/>
      <c r="Q64" s="591"/>
      <c r="R64" s="591"/>
      <c r="S64" s="592"/>
      <c r="T64" s="361"/>
      <c r="BG64" s="87"/>
      <c r="BH64" s="87"/>
      <c r="BI64" s="87"/>
      <c r="BJ64" s="87"/>
      <c r="BK64" s="87"/>
      <c r="BL64" s="87"/>
      <c r="BM64" s="85"/>
      <c r="BN64" s="85"/>
      <c r="BO64" s="85"/>
      <c r="BP64" s="85"/>
      <c r="BQ64" s="85"/>
      <c r="BR64" s="85"/>
      <c r="BS64" s="85"/>
      <c r="BT64" s="85"/>
      <c r="BU64" s="85"/>
      <c r="BV64" s="85"/>
      <c r="BW64" s="85"/>
      <c r="BX64" s="85"/>
      <c r="BY64" s="85"/>
      <c r="BZ64" s="85"/>
      <c r="CA64" s="85"/>
      <c r="CB64" s="85"/>
      <c r="CC64" s="85"/>
      <c r="CD64" s="85"/>
      <c r="CE64" s="85"/>
    </row>
    <row r="65" spans="1:83" ht="23.25" customHeight="1" x14ac:dyDescent="0.2">
      <c r="A65" s="17">
        <v>28</v>
      </c>
      <c r="B65" s="10" t="s">
        <v>89</v>
      </c>
      <c r="C65" s="8">
        <v>111</v>
      </c>
      <c r="D65" s="8">
        <v>12</v>
      </c>
      <c r="E65" s="8">
        <v>14</v>
      </c>
      <c r="F65" s="8">
        <v>74</v>
      </c>
      <c r="G65" s="8">
        <v>40</v>
      </c>
      <c r="H65" s="8">
        <v>270</v>
      </c>
      <c r="I65" s="4">
        <f t="shared" si="3"/>
        <v>7.1325095741590738</v>
      </c>
      <c r="J65" s="6">
        <f t="shared" si="4"/>
        <v>7.096245963297803</v>
      </c>
      <c r="K65" s="5">
        <f t="shared" si="7"/>
        <v>326.88271604938268</v>
      </c>
      <c r="L65" s="24">
        <f t="shared" si="5"/>
        <v>221.35573770491803</v>
      </c>
      <c r="M65" s="5">
        <f t="shared" si="8"/>
        <v>135.01363770491804</v>
      </c>
      <c r="N65" s="4">
        <f t="shared" si="6"/>
        <v>1.85</v>
      </c>
      <c r="O65" s="590"/>
      <c r="P65" s="591"/>
      <c r="Q65" s="591"/>
      <c r="R65" s="591"/>
      <c r="S65" s="592"/>
      <c r="T65" s="361"/>
      <c r="BG65" s="87"/>
      <c r="BH65" s="87"/>
      <c r="BI65" s="87"/>
      <c r="BJ65" s="87"/>
      <c r="BK65" s="87"/>
      <c r="BL65" s="87"/>
      <c r="BM65" s="85"/>
      <c r="BN65" s="85"/>
      <c r="BO65" s="85"/>
      <c r="BP65" s="85"/>
      <c r="BQ65" s="85"/>
      <c r="BR65" s="85"/>
      <c r="BS65" s="85"/>
      <c r="BT65" s="85"/>
      <c r="BU65" s="85"/>
      <c r="BV65" s="85"/>
      <c r="BW65" s="85"/>
      <c r="BX65" s="85"/>
      <c r="BY65" s="85"/>
      <c r="BZ65" s="85"/>
      <c r="CA65" s="85"/>
      <c r="CB65" s="85"/>
      <c r="CC65" s="85"/>
      <c r="CD65" s="85"/>
      <c r="CE65" s="85"/>
    </row>
    <row r="66" spans="1:83" ht="23.25" customHeight="1" x14ac:dyDescent="0.2">
      <c r="A66" s="17">
        <v>29</v>
      </c>
      <c r="B66" s="10" t="s">
        <v>233</v>
      </c>
      <c r="C66" s="8">
        <v>49</v>
      </c>
      <c r="D66" s="8">
        <v>12</v>
      </c>
      <c r="E66" s="8">
        <v>14</v>
      </c>
      <c r="F66" s="8">
        <v>74</v>
      </c>
      <c r="G66" s="8">
        <v>40</v>
      </c>
      <c r="H66" s="8">
        <v>80</v>
      </c>
      <c r="I66" s="4">
        <f t="shared" si="3"/>
        <v>4.0402402474757819</v>
      </c>
      <c r="J66" s="6">
        <f t="shared" si="4"/>
        <v>3.9814918649371469</v>
      </c>
      <c r="K66" s="5">
        <f t="shared" si="7"/>
        <v>171.88271604938274</v>
      </c>
      <c r="L66" s="24">
        <f t="shared" si="5"/>
        <v>65.586885245901641</v>
      </c>
      <c r="M66" s="5">
        <f t="shared" si="8"/>
        <v>23.531385245901639</v>
      </c>
      <c r="N66" s="4">
        <f t="shared" si="6"/>
        <v>1.85</v>
      </c>
      <c r="O66" s="590" t="s">
        <v>343</v>
      </c>
      <c r="P66" s="591"/>
      <c r="Q66" s="591"/>
      <c r="R66" s="591"/>
      <c r="S66" s="592"/>
      <c r="T66" s="361"/>
      <c r="BG66" s="87"/>
      <c r="BH66" s="87"/>
      <c r="BI66" s="87"/>
      <c r="BJ66" s="87"/>
      <c r="BK66" s="87"/>
      <c r="BL66" s="87"/>
      <c r="BM66" s="85"/>
      <c r="BN66" s="85"/>
      <c r="BO66" s="85"/>
      <c r="BP66" s="85"/>
      <c r="BQ66" s="85"/>
      <c r="BR66" s="85"/>
      <c r="BS66" s="85"/>
      <c r="BT66" s="85"/>
      <c r="BU66" s="85"/>
      <c r="BV66" s="85"/>
      <c r="BW66" s="85"/>
      <c r="BX66" s="85"/>
      <c r="BY66" s="85"/>
      <c r="BZ66" s="85"/>
      <c r="CA66" s="85"/>
      <c r="CB66" s="85"/>
      <c r="CC66" s="85"/>
      <c r="CD66" s="85"/>
      <c r="CE66" s="85"/>
    </row>
    <row r="67" spans="1:83" ht="23.25" customHeight="1" x14ac:dyDescent="0.2">
      <c r="A67" s="17">
        <v>30</v>
      </c>
      <c r="B67" s="10" t="s">
        <v>96</v>
      </c>
      <c r="C67" s="8">
        <v>113</v>
      </c>
      <c r="D67" s="8">
        <v>17</v>
      </c>
      <c r="E67" s="8">
        <v>15</v>
      </c>
      <c r="F67" s="8">
        <v>65</v>
      </c>
      <c r="G67" s="8">
        <v>41</v>
      </c>
      <c r="H67" s="8">
        <v>315</v>
      </c>
      <c r="I67" s="4">
        <f t="shared" si="3"/>
        <v>7.6872610922148912</v>
      </c>
      <c r="J67" s="6">
        <f t="shared" si="4"/>
        <v>7.6746596260414499</v>
      </c>
      <c r="K67" s="5">
        <f t="shared" si="7"/>
        <v>352.45884773662556</v>
      </c>
      <c r="L67" s="24">
        <f t="shared" si="5"/>
        <v>258.24836065573771</v>
      </c>
      <c r="M67" s="5">
        <f t="shared" si="8"/>
        <v>167.53816065573773</v>
      </c>
      <c r="N67" s="4">
        <f t="shared" si="6"/>
        <v>1.5853658536585367</v>
      </c>
      <c r="O67" s="590"/>
      <c r="P67" s="591"/>
      <c r="Q67" s="591"/>
      <c r="R67" s="591"/>
      <c r="S67" s="592"/>
      <c r="T67" s="361"/>
      <c r="BG67" s="87"/>
      <c r="BH67" s="87"/>
      <c r="BI67" s="87"/>
      <c r="BJ67" s="87"/>
      <c r="BK67" s="87"/>
      <c r="BL67" s="87"/>
      <c r="BM67" s="85"/>
      <c r="BN67" s="85"/>
      <c r="BO67" s="85"/>
      <c r="BP67" s="85"/>
      <c r="BQ67" s="85"/>
      <c r="BR67" s="85"/>
      <c r="BS67" s="85"/>
      <c r="BT67" s="85"/>
      <c r="BU67" s="85"/>
      <c r="BV67" s="85"/>
      <c r="BW67" s="85"/>
      <c r="BX67" s="85"/>
      <c r="BY67" s="85"/>
      <c r="BZ67" s="85"/>
      <c r="CA67" s="85"/>
      <c r="CB67" s="85"/>
      <c r="CC67" s="85"/>
      <c r="CD67" s="85"/>
      <c r="CE67" s="85"/>
    </row>
    <row r="68" spans="1:83" ht="23.25" customHeight="1" x14ac:dyDescent="0.2">
      <c r="A68" s="17">
        <v>31</v>
      </c>
      <c r="B68" s="10" t="s">
        <v>234</v>
      </c>
      <c r="C68" s="8">
        <v>36</v>
      </c>
      <c r="D68" s="8">
        <v>17</v>
      </c>
      <c r="E68" s="8">
        <v>15</v>
      </c>
      <c r="F68" s="8">
        <v>65</v>
      </c>
      <c r="G68" s="8">
        <v>41</v>
      </c>
      <c r="H68" s="8">
        <v>80</v>
      </c>
      <c r="I68" s="4">
        <f t="shared" si="3"/>
        <v>3.8468620897211254</v>
      </c>
      <c r="J68" s="6">
        <f t="shared" si="4"/>
        <v>3.8222006096480072</v>
      </c>
      <c r="K68" s="5">
        <f t="shared" si="7"/>
        <v>159.95884773662553</v>
      </c>
      <c r="L68" s="24">
        <f t="shared" si="5"/>
        <v>65.586885245901641</v>
      </c>
      <c r="M68" s="5">
        <f t="shared" si="8"/>
        <v>29.877785245901642</v>
      </c>
      <c r="N68" s="4">
        <f t="shared" si="6"/>
        <v>1.5853658536585367</v>
      </c>
      <c r="O68" s="590" t="s">
        <v>343</v>
      </c>
      <c r="P68" s="591"/>
      <c r="Q68" s="591"/>
      <c r="R68" s="591"/>
      <c r="S68" s="592"/>
      <c r="T68" s="361"/>
      <c r="BG68" s="87"/>
      <c r="BH68" s="87"/>
      <c r="BI68" s="87"/>
      <c r="BJ68" s="87"/>
      <c r="BK68" s="87"/>
      <c r="BL68" s="87"/>
      <c r="BM68" s="85"/>
      <c r="BN68" s="85"/>
      <c r="BO68" s="85"/>
      <c r="BP68" s="85"/>
      <c r="BQ68" s="85"/>
      <c r="BR68" s="85"/>
      <c r="BS68" s="85"/>
      <c r="BT68" s="85"/>
      <c r="BU68" s="85"/>
      <c r="BV68" s="85"/>
      <c r="BW68" s="85"/>
      <c r="BX68" s="85"/>
      <c r="BY68" s="85"/>
      <c r="BZ68" s="85"/>
      <c r="CA68" s="85"/>
      <c r="CB68" s="85"/>
      <c r="CC68" s="85"/>
      <c r="CD68" s="85"/>
      <c r="CE68" s="85"/>
    </row>
    <row r="69" spans="1:83" ht="23.25" customHeight="1" x14ac:dyDescent="0.2">
      <c r="A69" s="17">
        <v>32</v>
      </c>
      <c r="B69" s="10" t="s">
        <v>90</v>
      </c>
      <c r="C69" s="8">
        <v>29</v>
      </c>
      <c r="D69" s="8">
        <v>4</v>
      </c>
      <c r="E69" s="8">
        <v>12</v>
      </c>
      <c r="F69" s="8">
        <v>12</v>
      </c>
      <c r="G69" s="8">
        <v>35</v>
      </c>
      <c r="H69" s="8">
        <v>70</v>
      </c>
      <c r="I69" s="4">
        <f t="shared" si="3"/>
        <v>2.2973412773309168</v>
      </c>
      <c r="J69" s="6">
        <f t="shared" si="4"/>
        <v>2.38484704848667</v>
      </c>
      <c r="K69" s="5">
        <f t="shared" si="7"/>
        <v>88.960905349794245</v>
      </c>
      <c r="L69" s="24">
        <f t="shared" si="5"/>
        <v>57.388524590163939</v>
      </c>
      <c r="M69" s="5">
        <f t="shared" si="8"/>
        <v>34.322224590163941</v>
      </c>
      <c r="N69" s="4">
        <f t="shared" si="6"/>
        <v>0.34285714285714286</v>
      </c>
      <c r="O69" s="590"/>
      <c r="P69" s="591"/>
      <c r="Q69" s="591"/>
      <c r="R69" s="591"/>
      <c r="S69" s="592"/>
      <c r="T69" s="361"/>
      <c r="BG69" s="87"/>
      <c r="BH69" s="87"/>
      <c r="BI69" s="87"/>
      <c r="BJ69" s="87"/>
      <c r="BK69" s="87"/>
      <c r="BL69" s="87"/>
      <c r="BM69" s="85"/>
      <c r="BN69" s="85"/>
      <c r="BO69" s="85"/>
      <c r="BP69" s="85"/>
      <c r="BQ69" s="85"/>
      <c r="BR69" s="85"/>
      <c r="BS69" s="85"/>
      <c r="BT69" s="85"/>
      <c r="BU69" s="85"/>
      <c r="BV69" s="85"/>
      <c r="BW69" s="85"/>
      <c r="BX69" s="85"/>
      <c r="BY69" s="85"/>
      <c r="BZ69" s="85"/>
      <c r="CA69" s="85"/>
      <c r="CB69" s="85"/>
      <c r="CC69" s="85"/>
      <c r="CD69" s="85"/>
      <c r="CE69" s="85"/>
    </row>
    <row r="70" spans="1:83" ht="23.25" customHeight="1" x14ac:dyDescent="0.2">
      <c r="A70" s="17">
        <v>33</v>
      </c>
      <c r="B70" s="10" t="s">
        <v>91</v>
      </c>
      <c r="C70" s="8">
        <v>96</v>
      </c>
      <c r="D70" s="8">
        <v>4</v>
      </c>
      <c r="E70" s="8">
        <v>5</v>
      </c>
      <c r="F70" s="8">
        <v>25</v>
      </c>
      <c r="G70" s="8">
        <v>13</v>
      </c>
      <c r="H70" s="8">
        <v>270</v>
      </c>
      <c r="I70" s="4">
        <f t="shared" si="3"/>
        <v>5.3346393365307438</v>
      </c>
      <c r="J70" s="6">
        <f t="shared" si="4"/>
        <v>5.3137765227712395</v>
      </c>
      <c r="K70" s="5">
        <f t="shared" si="7"/>
        <v>256.46090534979425</v>
      </c>
      <c r="L70" s="24">
        <f t="shared" si="5"/>
        <v>221.35573770491803</v>
      </c>
      <c r="M70" s="5">
        <f t="shared" si="8"/>
        <v>150.43133770491801</v>
      </c>
      <c r="N70" s="4">
        <f t="shared" si="6"/>
        <v>1.9230769230769231</v>
      </c>
      <c r="O70" s="590"/>
      <c r="P70" s="591"/>
      <c r="Q70" s="591"/>
      <c r="R70" s="591"/>
      <c r="S70" s="592"/>
      <c r="T70" s="361"/>
      <c r="BG70" s="87"/>
      <c r="BH70" s="87"/>
      <c r="BI70" s="87"/>
      <c r="BJ70" s="87"/>
      <c r="BK70" s="87"/>
      <c r="BL70" s="87"/>
      <c r="BM70" s="85"/>
      <c r="BN70" s="85"/>
      <c r="BO70" s="85"/>
      <c r="BP70" s="85"/>
      <c r="BQ70" s="85"/>
      <c r="BR70" s="85"/>
      <c r="BS70" s="85"/>
      <c r="BT70" s="85"/>
      <c r="BU70" s="85"/>
      <c r="BV70" s="85"/>
      <c r="BW70" s="85"/>
      <c r="BX70" s="85"/>
      <c r="BY70" s="85"/>
      <c r="BZ70" s="85"/>
      <c r="CA70" s="85"/>
      <c r="CB70" s="85"/>
      <c r="CC70" s="85"/>
      <c r="CD70" s="85"/>
      <c r="CE70" s="85"/>
    </row>
    <row r="71" spans="1:83" ht="23.25" customHeight="1" x14ac:dyDescent="0.2">
      <c r="A71" s="17">
        <v>34</v>
      </c>
      <c r="B71" s="10" t="s">
        <v>235</v>
      </c>
      <c r="C71" s="8">
        <v>34</v>
      </c>
      <c r="D71" s="8">
        <v>4</v>
      </c>
      <c r="E71" s="8">
        <v>5</v>
      </c>
      <c r="F71" s="8">
        <v>25</v>
      </c>
      <c r="G71" s="8">
        <v>13</v>
      </c>
      <c r="H71" s="8">
        <v>80</v>
      </c>
      <c r="I71" s="4">
        <f t="shared" si="3"/>
        <v>2.2423700098474515</v>
      </c>
      <c r="J71" s="6">
        <f t="shared" si="4"/>
        <v>2.1990224244105834</v>
      </c>
      <c r="K71" s="5">
        <f t="shared" si="7"/>
        <v>101.46090534979425</v>
      </c>
      <c r="L71" s="24">
        <f t="shared" si="5"/>
        <v>65.586885245901641</v>
      </c>
      <c r="M71" s="5">
        <f t="shared" si="8"/>
        <v>38.949085245901642</v>
      </c>
      <c r="N71" s="4">
        <f t="shared" si="6"/>
        <v>1.9230769230769231</v>
      </c>
      <c r="O71" s="590" t="s">
        <v>343</v>
      </c>
      <c r="P71" s="591"/>
      <c r="Q71" s="591"/>
      <c r="R71" s="591"/>
      <c r="S71" s="592"/>
      <c r="T71" s="361"/>
      <c r="BG71" s="87"/>
      <c r="BH71" s="87"/>
      <c r="BI71" s="87"/>
      <c r="BJ71" s="87"/>
      <c r="BK71" s="87"/>
      <c r="BL71" s="87"/>
      <c r="BM71" s="85"/>
      <c r="BN71" s="85"/>
      <c r="BO71" s="85"/>
      <c r="BP71" s="85"/>
      <c r="BQ71" s="85"/>
      <c r="BR71" s="85"/>
      <c r="BS71" s="85"/>
      <c r="BT71" s="85"/>
      <c r="BU71" s="85"/>
      <c r="BV71" s="85"/>
      <c r="BW71" s="85"/>
      <c r="BX71" s="85"/>
      <c r="BY71" s="85"/>
      <c r="BZ71" s="85"/>
      <c r="CA71" s="85"/>
      <c r="CB71" s="85"/>
      <c r="CC71" s="85"/>
      <c r="CD71" s="85"/>
      <c r="CE71" s="85"/>
    </row>
    <row r="72" spans="1:83" ht="23.25" customHeight="1" x14ac:dyDescent="0.2">
      <c r="A72" s="17">
        <v>35</v>
      </c>
      <c r="B72" s="10" t="s">
        <v>92</v>
      </c>
      <c r="C72" s="8">
        <v>82</v>
      </c>
      <c r="D72" s="8">
        <v>10</v>
      </c>
      <c r="E72" s="8">
        <v>6</v>
      </c>
      <c r="F72" s="8">
        <v>32</v>
      </c>
      <c r="G72" s="8">
        <v>17</v>
      </c>
      <c r="H72" s="8">
        <v>245</v>
      </c>
      <c r="I72" s="4">
        <f t="shared" si="3"/>
        <v>5.1736903938043604</v>
      </c>
      <c r="J72" s="6">
        <f t="shared" si="4"/>
        <v>5.162608769374244</v>
      </c>
      <c r="K72" s="5">
        <f t="shared" si="7"/>
        <v>246.15226337448556</v>
      </c>
      <c r="L72" s="24">
        <f t="shared" si="5"/>
        <v>200.85983606557377</v>
      </c>
      <c r="M72" s="5">
        <f t="shared" si="8"/>
        <v>136.40823606557376</v>
      </c>
      <c r="N72" s="4">
        <f t="shared" si="6"/>
        <v>1.8823529411764706</v>
      </c>
      <c r="O72" s="590"/>
      <c r="P72" s="591"/>
      <c r="Q72" s="591"/>
      <c r="R72" s="591"/>
      <c r="S72" s="592"/>
      <c r="T72" s="361"/>
      <c r="BG72" s="87"/>
      <c r="BH72" s="87"/>
      <c r="BI72" s="87"/>
      <c r="BJ72" s="87"/>
      <c r="BK72" s="87"/>
      <c r="BL72" s="87"/>
      <c r="BM72" s="85"/>
      <c r="BN72" s="85"/>
      <c r="BO72" s="85"/>
      <c r="BP72" s="85"/>
      <c r="BQ72" s="85"/>
      <c r="BR72" s="85"/>
      <c r="BS72" s="85"/>
      <c r="BT72" s="85"/>
      <c r="BU72" s="85"/>
      <c r="BV72" s="85"/>
      <c r="BW72" s="85"/>
      <c r="BX72" s="85"/>
      <c r="BY72" s="85"/>
      <c r="BZ72" s="85"/>
      <c r="CA72" s="85"/>
      <c r="CB72" s="85"/>
      <c r="CC72" s="85"/>
      <c r="CD72" s="85"/>
      <c r="CE72" s="85"/>
    </row>
    <row r="73" spans="1:83" ht="23.25" customHeight="1" x14ac:dyDescent="0.2">
      <c r="A73" s="17">
        <v>36</v>
      </c>
      <c r="B73" s="10" t="s">
        <v>236</v>
      </c>
      <c r="C73" s="8">
        <v>28</v>
      </c>
      <c r="D73" s="8">
        <v>10</v>
      </c>
      <c r="E73" s="8">
        <v>6</v>
      </c>
      <c r="F73" s="8">
        <v>32</v>
      </c>
      <c r="G73" s="8">
        <v>17</v>
      </c>
      <c r="H73" s="8">
        <v>80</v>
      </c>
      <c r="I73" s="4">
        <f t="shared" si="3"/>
        <v>2.4804235608866541</v>
      </c>
      <c r="J73" s="6">
        <f t="shared" si="4"/>
        <v>2.4576907365873586</v>
      </c>
      <c r="K73" s="5">
        <f t="shared" si="7"/>
        <v>111.1522633744856</v>
      </c>
      <c r="L73" s="24">
        <f t="shared" si="5"/>
        <v>65.586885245901641</v>
      </c>
      <c r="M73" s="5">
        <f t="shared" si="8"/>
        <v>39.707485245901637</v>
      </c>
      <c r="N73" s="4">
        <f t="shared" si="6"/>
        <v>1.8823529411764706</v>
      </c>
      <c r="O73" s="590" t="s">
        <v>343</v>
      </c>
      <c r="P73" s="591"/>
      <c r="Q73" s="591"/>
      <c r="R73" s="591"/>
      <c r="S73" s="592"/>
      <c r="T73" s="361"/>
      <c r="BG73" s="87"/>
      <c r="BH73" s="87"/>
      <c r="BI73" s="87"/>
      <c r="BJ73" s="87"/>
      <c r="BK73" s="87"/>
      <c r="BL73" s="87"/>
      <c r="BM73" s="85"/>
      <c r="BN73" s="85"/>
      <c r="BO73" s="85"/>
      <c r="BP73" s="85"/>
      <c r="BQ73" s="85"/>
      <c r="BR73" s="85"/>
      <c r="BS73" s="85"/>
      <c r="BT73" s="85"/>
      <c r="BU73" s="85"/>
      <c r="BV73" s="85"/>
      <c r="BW73" s="85"/>
      <c r="BX73" s="85"/>
      <c r="BY73" s="85"/>
      <c r="BZ73" s="85"/>
      <c r="CA73" s="85"/>
      <c r="CB73" s="85"/>
      <c r="CC73" s="85"/>
      <c r="CD73" s="85"/>
      <c r="CE73" s="85"/>
    </row>
    <row r="74" spans="1:83" ht="23.25" customHeight="1" x14ac:dyDescent="0.2">
      <c r="A74" s="17">
        <v>37</v>
      </c>
      <c r="B74" s="10" t="s">
        <v>93</v>
      </c>
      <c r="C74" s="8">
        <v>70</v>
      </c>
      <c r="D74" s="8">
        <v>7</v>
      </c>
      <c r="E74" s="8">
        <v>7</v>
      </c>
      <c r="F74" s="8">
        <v>21</v>
      </c>
      <c r="G74" s="8">
        <v>21</v>
      </c>
      <c r="H74" s="8">
        <v>205</v>
      </c>
      <c r="I74" s="4">
        <f t="shared" si="3"/>
        <v>4.3717513337786329</v>
      </c>
      <c r="J74" s="6">
        <f t="shared" si="4"/>
        <v>4.3905393766329857</v>
      </c>
      <c r="K74" s="5">
        <f t="shared" si="7"/>
        <v>203.80658436213989</v>
      </c>
      <c r="L74" s="24">
        <f t="shared" si="5"/>
        <v>168.06639344262297</v>
      </c>
      <c r="M74" s="5">
        <f t="shared" si="8"/>
        <v>113.95009344262297</v>
      </c>
      <c r="N74" s="4">
        <f t="shared" si="6"/>
        <v>1</v>
      </c>
      <c r="O74" s="590"/>
      <c r="P74" s="591"/>
      <c r="Q74" s="591"/>
      <c r="R74" s="591"/>
      <c r="S74" s="592"/>
      <c r="T74" s="361"/>
      <c r="BG74" s="87"/>
      <c r="BH74" s="87"/>
      <c r="BI74" s="87"/>
      <c r="BJ74" s="87"/>
      <c r="BK74" s="87"/>
      <c r="BL74" s="87"/>
      <c r="BM74" s="85"/>
      <c r="BN74" s="85"/>
      <c r="BO74" s="85"/>
      <c r="BP74" s="85"/>
      <c r="BQ74" s="85"/>
      <c r="BR74" s="85"/>
      <c r="BS74" s="85"/>
      <c r="BT74" s="85"/>
      <c r="BU74" s="85"/>
      <c r="BV74" s="85"/>
      <c r="BW74" s="85"/>
      <c r="BX74" s="85"/>
      <c r="BY74" s="85"/>
      <c r="BZ74" s="85"/>
      <c r="CA74" s="85"/>
      <c r="CB74" s="85"/>
      <c r="CC74" s="85"/>
      <c r="CD74" s="85"/>
      <c r="CE74" s="85"/>
    </row>
    <row r="75" spans="1:83" ht="23.25" customHeight="1" x14ac:dyDescent="0.2">
      <c r="A75" s="17">
        <v>38</v>
      </c>
      <c r="B75" s="10" t="s">
        <v>237</v>
      </c>
      <c r="C75" s="8">
        <v>29</v>
      </c>
      <c r="D75" s="8">
        <v>7</v>
      </c>
      <c r="E75" s="8">
        <v>7</v>
      </c>
      <c r="F75" s="8">
        <v>21</v>
      </c>
      <c r="G75" s="8">
        <v>21</v>
      </c>
      <c r="H75" s="8">
        <v>80</v>
      </c>
      <c r="I75" s="4">
        <f t="shared" si="3"/>
        <v>2.3268635532300039</v>
      </c>
      <c r="J75" s="6">
        <f t="shared" si="4"/>
        <v>2.3413590487641329</v>
      </c>
      <c r="K75" s="5">
        <f t="shared" si="7"/>
        <v>101.3065843621399</v>
      </c>
      <c r="L75" s="24">
        <f t="shared" si="5"/>
        <v>65.586885245901641</v>
      </c>
      <c r="M75" s="5">
        <f t="shared" si="8"/>
        <v>40.756885245901643</v>
      </c>
      <c r="N75" s="4">
        <f t="shared" si="6"/>
        <v>1</v>
      </c>
      <c r="O75" s="590" t="s">
        <v>343</v>
      </c>
      <c r="P75" s="591"/>
      <c r="Q75" s="591"/>
      <c r="R75" s="591"/>
      <c r="S75" s="592"/>
      <c r="T75" s="361"/>
      <c r="BG75" s="87"/>
      <c r="BH75" s="87"/>
      <c r="BI75" s="87"/>
      <c r="BJ75" s="87"/>
      <c r="BK75" s="87"/>
      <c r="BL75" s="87"/>
      <c r="BM75" s="85"/>
      <c r="BN75" s="85"/>
      <c r="BO75" s="85"/>
      <c r="BP75" s="85"/>
      <c r="BQ75" s="85"/>
      <c r="BR75" s="85"/>
      <c r="BS75" s="85"/>
      <c r="BT75" s="85"/>
      <c r="BU75" s="85"/>
      <c r="BV75" s="85"/>
      <c r="BW75" s="85"/>
      <c r="BX75" s="85"/>
      <c r="BY75" s="85"/>
      <c r="BZ75" s="85"/>
      <c r="CA75" s="85"/>
      <c r="CB75" s="85"/>
      <c r="CC75" s="85"/>
      <c r="CD75" s="85"/>
      <c r="CE75" s="85"/>
    </row>
    <row r="76" spans="1:83" ht="23.25" customHeight="1" x14ac:dyDescent="0.2">
      <c r="A76" s="17">
        <v>39</v>
      </c>
      <c r="B76" s="10" t="s">
        <v>97</v>
      </c>
      <c r="C76" s="8">
        <v>60</v>
      </c>
      <c r="D76" s="8">
        <v>15</v>
      </c>
      <c r="E76" s="8">
        <v>11</v>
      </c>
      <c r="F76" s="8">
        <v>28</v>
      </c>
      <c r="G76" s="8">
        <v>24</v>
      </c>
      <c r="H76" s="8">
        <v>210</v>
      </c>
      <c r="I76" s="4">
        <f t="shared" si="3"/>
        <v>4.7053474740416803</v>
      </c>
      <c r="J76" s="6">
        <f t="shared" si="4"/>
        <v>4.7029661572136536</v>
      </c>
      <c r="K76" s="5">
        <f t="shared" si="7"/>
        <v>211.72839506172841</v>
      </c>
      <c r="L76" s="24">
        <f t="shared" si="5"/>
        <v>172.16557377049182</v>
      </c>
      <c r="M76" s="5">
        <f t="shared" si="8"/>
        <v>120.48907377049181</v>
      </c>
      <c r="N76" s="4">
        <f t="shared" si="6"/>
        <v>1.1666666666666667</v>
      </c>
      <c r="O76" s="590"/>
      <c r="P76" s="591"/>
      <c r="Q76" s="591"/>
      <c r="R76" s="591"/>
      <c r="S76" s="592"/>
      <c r="T76" s="361"/>
      <c r="BG76" s="87"/>
      <c r="BH76" s="87"/>
      <c r="BI76" s="87"/>
      <c r="BJ76" s="87"/>
      <c r="BK76" s="87"/>
      <c r="BL76" s="87"/>
      <c r="BM76" s="85"/>
      <c r="BN76" s="85"/>
      <c r="BO76" s="85"/>
      <c r="BP76" s="85"/>
      <c r="BQ76" s="85"/>
      <c r="BR76" s="85"/>
      <c r="BS76" s="85"/>
      <c r="BT76" s="85"/>
      <c r="BU76" s="85"/>
      <c r="BV76" s="85"/>
      <c r="BW76" s="85"/>
      <c r="BX76" s="85"/>
      <c r="BY76" s="85"/>
      <c r="BZ76" s="85"/>
      <c r="CA76" s="85"/>
      <c r="CB76" s="85"/>
      <c r="CC76" s="85"/>
      <c r="CD76" s="85"/>
      <c r="CE76" s="85"/>
    </row>
    <row r="77" spans="1:83" ht="23.25" customHeight="1" x14ac:dyDescent="0.2">
      <c r="A77" s="17">
        <v>40</v>
      </c>
      <c r="B77" s="10" t="s">
        <v>240</v>
      </c>
      <c r="C77" s="8">
        <v>18</v>
      </c>
      <c r="D77" s="8">
        <v>15</v>
      </c>
      <c r="E77" s="8">
        <v>11</v>
      </c>
      <c r="F77" s="8">
        <v>28</v>
      </c>
      <c r="G77" s="8">
        <v>24</v>
      </c>
      <c r="H77" s="8">
        <v>80</v>
      </c>
      <c r="I77" s="4">
        <f t="shared" si="3"/>
        <v>2.6105843817723535</v>
      </c>
      <c r="J77" s="6">
        <f t="shared" si="4"/>
        <v>2.5718186162300474</v>
      </c>
      <c r="K77" s="5">
        <f t="shared" si="7"/>
        <v>106.72839506172839</v>
      </c>
      <c r="L77" s="24">
        <f t="shared" si="5"/>
        <v>65.586885245901641</v>
      </c>
      <c r="M77" s="5">
        <f t="shared" si="8"/>
        <v>43.910985245901642</v>
      </c>
      <c r="N77" s="4">
        <f t="shared" si="6"/>
        <v>1.1666666666666667</v>
      </c>
      <c r="O77" s="590" t="s">
        <v>343</v>
      </c>
      <c r="P77" s="591"/>
      <c r="Q77" s="591"/>
      <c r="R77" s="591"/>
      <c r="S77" s="592"/>
      <c r="T77" s="361"/>
      <c r="BG77" s="87"/>
      <c r="BH77" s="87"/>
      <c r="BI77" s="87"/>
      <c r="BJ77" s="87"/>
      <c r="BK77" s="87"/>
      <c r="BL77" s="87"/>
      <c r="BM77" s="85"/>
      <c r="BN77" s="85"/>
      <c r="BO77" s="85"/>
      <c r="BP77" s="85"/>
      <c r="BQ77" s="85"/>
      <c r="BR77" s="85"/>
      <c r="BS77" s="85"/>
      <c r="BT77" s="85"/>
      <c r="BU77" s="85"/>
      <c r="BV77" s="85"/>
      <c r="BW77" s="85"/>
      <c r="BX77" s="85"/>
      <c r="BY77" s="85"/>
      <c r="BZ77" s="85"/>
      <c r="CA77" s="85"/>
      <c r="CB77" s="85"/>
      <c r="CC77" s="85"/>
      <c r="CD77" s="85"/>
      <c r="CE77" s="85"/>
    </row>
    <row r="78" spans="1:83" ht="23.25" customHeight="1" x14ac:dyDescent="0.2">
      <c r="A78" s="17">
        <v>41</v>
      </c>
      <c r="B78" s="10" t="s">
        <v>98</v>
      </c>
      <c r="C78" s="8">
        <v>134</v>
      </c>
      <c r="D78" s="8">
        <v>22</v>
      </c>
      <c r="E78" s="8">
        <v>52</v>
      </c>
      <c r="F78" s="8">
        <v>76</v>
      </c>
      <c r="G78" s="8">
        <v>47</v>
      </c>
      <c r="H78" s="8">
        <v>475</v>
      </c>
      <c r="I78" s="4">
        <f t="shared" si="3"/>
        <v>10.754860924268323</v>
      </c>
      <c r="J78" s="6">
        <f t="shared" si="4"/>
        <v>10.69602958064541</v>
      </c>
      <c r="K78" s="5">
        <f t="shared" si="7"/>
        <v>425.53497942386838</v>
      </c>
      <c r="L78" s="24">
        <f t="shared" si="5"/>
        <v>389.42213114754099</v>
      </c>
      <c r="M78" s="5">
        <f t="shared" si="8"/>
        <v>280.77213114754102</v>
      </c>
      <c r="N78" s="4">
        <f t="shared" si="6"/>
        <v>1.6170212765957446</v>
      </c>
      <c r="O78" s="590"/>
      <c r="P78" s="591"/>
      <c r="Q78" s="591"/>
      <c r="R78" s="591"/>
      <c r="S78" s="592"/>
      <c r="T78" s="361"/>
      <c r="BG78" s="87"/>
      <c r="BH78" s="87"/>
      <c r="BI78" s="87"/>
      <c r="BJ78" s="87"/>
      <c r="BK78" s="87"/>
      <c r="BL78" s="87"/>
      <c r="BM78" s="85"/>
      <c r="BN78" s="85"/>
      <c r="BO78" s="85"/>
      <c r="BP78" s="85"/>
      <c r="BQ78" s="85"/>
      <c r="BR78" s="85"/>
      <c r="BS78" s="85"/>
      <c r="BT78" s="85"/>
      <c r="BU78" s="85"/>
      <c r="BV78" s="85"/>
      <c r="BW78" s="85"/>
      <c r="BX78" s="85"/>
      <c r="BY78" s="85"/>
      <c r="BZ78" s="85"/>
      <c r="CA78" s="85"/>
      <c r="CB78" s="85"/>
      <c r="CC78" s="85"/>
      <c r="CD78" s="85"/>
      <c r="CE78" s="85"/>
    </row>
    <row r="79" spans="1:83" ht="23.25" customHeight="1" x14ac:dyDescent="0.2">
      <c r="A79" s="17">
        <v>42</v>
      </c>
      <c r="B79" s="10" t="s">
        <v>239</v>
      </c>
      <c r="C79" s="8">
        <v>4</v>
      </c>
      <c r="D79" s="8">
        <v>22</v>
      </c>
      <c r="E79" s="8">
        <v>52</v>
      </c>
      <c r="F79" s="8">
        <v>76</v>
      </c>
      <c r="G79" s="8">
        <v>47</v>
      </c>
      <c r="H79" s="8">
        <v>80</v>
      </c>
      <c r="I79" s="4">
        <f t="shared" si="3"/>
        <v>4.2710704005775497</v>
      </c>
      <c r="J79" s="6">
        <f t="shared" si="4"/>
        <v>4.2206197445798361</v>
      </c>
      <c r="K79" s="5">
        <f t="shared" si="7"/>
        <v>100.53497942386831</v>
      </c>
      <c r="L79" s="24">
        <f t="shared" si="5"/>
        <v>65.586885245901641</v>
      </c>
      <c r="M79" s="5">
        <f t="shared" si="8"/>
        <v>49.795885245901644</v>
      </c>
      <c r="N79" s="4">
        <f t="shared" si="6"/>
        <v>1.6170212765957446</v>
      </c>
      <c r="O79" s="590" t="s">
        <v>343</v>
      </c>
      <c r="P79" s="591"/>
      <c r="Q79" s="591"/>
      <c r="R79" s="591"/>
      <c r="S79" s="592"/>
      <c r="T79" s="361"/>
      <c r="BG79" s="87"/>
      <c r="BH79" s="87"/>
      <c r="BI79" s="87"/>
      <c r="BJ79" s="87"/>
      <c r="BK79" s="87"/>
      <c r="BL79" s="87"/>
      <c r="BM79" s="85"/>
      <c r="BN79" s="85"/>
      <c r="BO79" s="85"/>
      <c r="BP79" s="85"/>
      <c r="BQ79" s="85"/>
      <c r="BR79" s="85"/>
      <c r="BS79" s="85"/>
      <c r="BT79" s="85"/>
      <c r="BU79" s="85"/>
      <c r="BV79" s="85"/>
      <c r="BW79" s="85"/>
      <c r="BX79" s="85"/>
      <c r="BY79" s="85"/>
      <c r="BZ79" s="85"/>
      <c r="CA79" s="85"/>
      <c r="CB79" s="85"/>
      <c r="CC79" s="85"/>
      <c r="CD79" s="85"/>
      <c r="CE79" s="85"/>
    </row>
    <row r="80" spans="1:83" ht="23.25" customHeight="1" x14ac:dyDescent="0.2">
      <c r="A80" s="17">
        <v>43</v>
      </c>
      <c r="B80" s="10" t="s">
        <v>99</v>
      </c>
      <c r="C80" s="8">
        <v>114</v>
      </c>
      <c r="D80" s="8">
        <v>10</v>
      </c>
      <c r="E80" s="8">
        <v>125</v>
      </c>
      <c r="F80" s="8">
        <v>145</v>
      </c>
      <c r="G80" s="8">
        <v>139</v>
      </c>
      <c r="H80" s="8">
        <v>305</v>
      </c>
      <c r="I80" s="4">
        <f t="shared" si="3"/>
        <v>11.943613412344964</v>
      </c>
      <c r="J80" s="6">
        <f t="shared" si="4"/>
        <v>11.941848848142925</v>
      </c>
      <c r="K80" s="5">
        <f t="shared" si="7"/>
        <v>326.15226337448559</v>
      </c>
      <c r="L80" s="24">
        <f t="shared" si="5"/>
        <v>250.04999999999998</v>
      </c>
      <c r="M80" s="5">
        <f t="shared" si="8"/>
        <v>162.74079999999998</v>
      </c>
      <c r="N80" s="4">
        <f t="shared" si="6"/>
        <v>1.0431654676258992</v>
      </c>
      <c r="O80" s="590"/>
      <c r="P80" s="591"/>
      <c r="Q80" s="591"/>
      <c r="R80" s="591"/>
      <c r="S80" s="592"/>
      <c r="T80" s="361"/>
      <c r="BG80" s="87"/>
      <c r="BH80" s="87"/>
      <c r="BI80" s="87"/>
      <c r="BJ80" s="87"/>
      <c r="BK80" s="87"/>
      <c r="BL80" s="87"/>
      <c r="BM80" s="85"/>
      <c r="BN80" s="85"/>
      <c r="BO80" s="85"/>
      <c r="BP80" s="85"/>
      <c r="BQ80" s="85"/>
      <c r="BR80" s="85"/>
      <c r="BS80" s="85"/>
      <c r="BT80" s="85"/>
      <c r="BU80" s="85"/>
      <c r="BV80" s="85"/>
      <c r="BW80" s="85"/>
      <c r="BX80" s="85"/>
      <c r="BY80" s="85"/>
      <c r="BZ80" s="85"/>
      <c r="CA80" s="85"/>
      <c r="CB80" s="85"/>
      <c r="CC80" s="85"/>
      <c r="CD80" s="85"/>
      <c r="CE80" s="85"/>
    </row>
    <row r="81" spans="1:83" ht="23.25" customHeight="1" x14ac:dyDescent="0.2">
      <c r="A81" s="17">
        <v>44</v>
      </c>
      <c r="B81" s="10" t="s">
        <v>238</v>
      </c>
      <c r="C81" s="8">
        <v>40</v>
      </c>
      <c r="D81" s="8">
        <v>10</v>
      </c>
      <c r="E81" s="8">
        <v>125</v>
      </c>
      <c r="F81" s="8">
        <v>145</v>
      </c>
      <c r="G81" s="8">
        <v>139</v>
      </c>
      <c r="H81" s="8">
        <v>80</v>
      </c>
      <c r="I81" s="4">
        <f t="shared" si="3"/>
        <v>8.2528403450132934</v>
      </c>
      <c r="J81" s="6">
        <f t="shared" si="4"/>
        <v>8.2533242579789903</v>
      </c>
      <c r="K81" s="5">
        <f t="shared" si="7"/>
        <v>141.15226337448559</v>
      </c>
      <c r="L81" s="24">
        <f t="shared" si="5"/>
        <v>65.586885245901641</v>
      </c>
      <c r="M81" s="5">
        <f t="shared" si="8"/>
        <v>31.13588524590164</v>
      </c>
      <c r="N81" s="4">
        <f t="shared" si="6"/>
        <v>1.0431654676258992</v>
      </c>
      <c r="O81" s="590" t="s">
        <v>343</v>
      </c>
      <c r="P81" s="591"/>
      <c r="Q81" s="591"/>
      <c r="R81" s="591"/>
      <c r="S81" s="592"/>
      <c r="T81" s="361"/>
      <c r="BG81" s="87"/>
      <c r="BH81" s="87"/>
      <c r="BI81" s="87"/>
      <c r="BJ81" s="87"/>
      <c r="BK81" s="87"/>
      <c r="BL81" s="87"/>
      <c r="BM81" s="85"/>
      <c r="BN81" s="85"/>
      <c r="BO81" s="85"/>
      <c r="BP81" s="85"/>
      <c r="BQ81" s="85"/>
      <c r="BR81" s="85"/>
      <c r="BS81" s="85"/>
      <c r="BT81" s="85"/>
      <c r="BU81" s="85"/>
      <c r="BV81" s="85"/>
      <c r="BW81" s="85"/>
      <c r="BX81" s="85"/>
      <c r="BY81" s="85"/>
      <c r="BZ81" s="85"/>
      <c r="CA81" s="85"/>
      <c r="CB81" s="85"/>
      <c r="CC81" s="85"/>
      <c r="CD81" s="85"/>
      <c r="CE81" s="85"/>
    </row>
    <row r="82" spans="1:83" ht="23.25" customHeight="1" x14ac:dyDescent="0.2">
      <c r="A82" s="17">
        <v>45</v>
      </c>
      <c r="B82" s="10" t="s">
        <v>94</v>
      </c>
      <c r="C82" s="8">
        <v>60</v>
      </c>
      <c r="D82" s="8">
        <v>13</v>
      </c>
      <c r="E82" s="8">
        <v>11</v>
      </c>
      <c r="F82" s="8">
        <v>25</v>
      </c>
      <c r="G82" s="8">
        <v>24</v>
      </c>
      <c r="H82" s="8">
        <v>200</v>
      </c>
      <c r="I82" s="4">
        <f t="shared" si="3"/>
        <v>4.5407384205437387</v>
      </c>
      <c r="J82" s="6">
        <f t="shared" si="4"/>
        <v>4.4765317309841466</v>
      </c>
      <c r="K82" s="5">
        <f t="shared" si="7"/>
        <v>203.49794238683128</v>
      </c>
      <c r="L82" s="24">
        <f t="shared" si="5"/>
        <v>163.96721311475412</v>
      </c>
      <c r="M82" s="5">
        <f t="shared" si="8"/>
        <v>113.46651311475412</v>
      </c>
      <c r="N82" s="4">
        <f t="shared" si="6"/>
        <v>1.0416666666666667</v>
      </c>
      <c r="O82" s="590"/>
      <c r="P82" s="591"/>
      <c r="Q82" s="591"/>
      <c r="R82" s="591"/>
      <c r="S82" s="592"/>
      <c r="T82" s="361"/>
      <c r="BG82" s="87"/>
      <c r="BH82" s="87"/>
      <c r="BI82" s="87"/>
      <c r="BJ82" s="87"/>
      <c r="BK82" s="87"/>
      <c r="BL82" s="87"/>
      <c r="BM82" s="85"/>
      <c r="BN82" s="85"/>
      <c r="BO82" s="85"/>
      <c r="BP82" s="85"/>
      <c r="BQ82" s="85"/>
      <c r="BR82" s="85"/>
      <c r="BS82" s="85"/>
      <c r="BT82" s="85"/>
      <c r="BU82" s="85"/>
      <c r="BV82" s="85"/>
      <c r="BW82" s="85"/>
      <c r="BX82" s="85"/>
      <c r="BY82" s="85"/>
      <c r="BZ82" s="85"/>
      <c r="CA82" s="85"/>
      <c r="CB82" s="85"/>
      <c r="CC82" s="85"/>
      <c r="CD82" s="85"/>
      <c r="CE82" s="85"/>
    </row>
    <row r="83" spans="1:83" ht="23.25" customHeight="1" x14ac:dyDescent="0.2">
      <c r="A83" s="17">
        <v>46</v>
      </c>
      <c r="B83" s="10" t="s">
        <v>241</v>
      </c>
      <c r="C83" s="8">
        <v>20</v>
      </c>
      <c r="D83" s="8">
        <v>13</v>
      </c>
      <c r="E83" s="8">
        <v>11</v>
      </c>
      <c r="F83" s="8">
        <v>25</v>
      </c>
      <c r="G83" s="8">
        <v>24</v>
      </c>
      <c r="H83" s="8">
        <v>80</v>
      </c>
      <c r="I83" s="4">
        <f t="shared" si="3"/>
        <v>2.545725951715808</v>
      </c>
      <c r="J83" s="6">
        <f t="shared" si="4"/>
        <v>2.5093186162300474</v>
      </c>
      <c r="K83" s="5">
        <f t="shared" si="7"/>
        <v>103.49794238683128</v>
      </c>
      <c r="L83" s="24">
        <f t="shared" si="5"/>
        <v>65.586885245901641</v>
      </c>
      <c r="M83" s="5">
        <f t="shared" si="8"/>
        <v>43.658185245901642</v>
      </c>
      <c r="N83" s="4">
        <f t="shared" si="6"/>
        <v>1.0416666666666667</v>
      </c>
      <c r="O83" s="590" t="s">
        <v>343</v>
      </c>
      <c r="P83" s="591"/>
      <c r="Q83" s="591"/>
      <c r="R83" s="591"/>
      <c r="S83" s="592"/>
      <c r="T83" s="361"/>
      <c r="BG83" s="87"/>
      <c r="BH83" s="87"/>
      <c r="BI83" s="87"/>
      <c r="BJ83" s="87"/>
      <c r="BK83" s="87"/>
      <c r="BL83" s="87"/>
      <c r="BM83" s="85"/>
      <c r="BN83" s="85"/>
      <c r="BO83" s="85"/>
      <c r="BP83" s="85"/>
      <c r="BQ83" s="85"/>
      <c r="BR83" s="85"/>
      <c r="BS83" s="85"/>
      <c r="BT83" s="85"/>
      <c r="BU83" s="85"/>
      <c r="BV83" s="85"/>
      <c r="BW83" s="85"/>
      <c r="BX83" s="85"/>
      <c r="BY83" s="85"/>
      <c r="BZ83" s="85"/>
      <c r="CA83" s="85"/>
      <c r="CB83" s="85"/>
      <c r="CC83" s="85"/>
      <c r="CD83" s="85"/>
      <c r="CE83" s="85"/>
    </row>
    <row r="84" spans="1:83" ht="23.25" customHeight="1" x14ac:dyDescent="0.2">
      <c r="A84" s="17">
        <v>47</v>
      </c>
      <c r="B84" s="10" t="s">
        <v>131</v>
      </c>
      <c r="C84" s="8">
        <v>140</v>
      </c>
      <c r="D84" s="8">
        <v>18</v>
      </c>
      <c r="E84" s="8">
        <v>25</v>
      </c>
      <c r="F84" s="8">
        <v>300</v>
      </c>
      <c r="G84" s="8">
        <v>55</v>
      </c>
      <c r="H84" s="8">
        <v>110</v>
      </c>
      <c r="I84" s="4">
        <f t="shared" si="3"/>
        <v>9.5509816441183677</v>
      </c>
      <c r="J84" s="6">
        <f t="shared" si="4"/>
        <v>9.6047596476219113</v>
      </c>
      <c r="K84" s="5">
        <f t="shared" si="7"/>
        <v>424.07407407407402</v>
      </c>
      <c r="L84" s="24">
        <f t="shared" si="5"/>
        <v>90.18196721311476</v>
      </c>
      <c r="M84" s="5">
        <f t="shared" si="8"/>
        <v>-20.40223278688525</v>
      </c>
      <c r="N84" s="4">
        <f t="shared" si="6"/>
        <v>5.4545454545454541</v>
      </c>
      <c r="O84" s="590" t="s">
        <v>352</v>
      </c>
      <c r="P84" s="591"/>
      <c r="Q84" s="591"/>
      <c r="R84" s="591"/>
      <c r="S84" s="592"/>
      <c r="T84" s="361"/>
      <c r="BG84" s="87"/>
      <c r="BH84" s="87"/>
      <c r="BI84" s="87"/>
      <c r="BJ84" s="87"/>
      <c r="BK84" s="87"/>
      <c r="BL84" s="87"/>
      <c r="BM84" s="85"/>
      <c r="BN84" s="85"/>
      <c r="BO84" s="85"/>
      <c r="BP84" s="85"/>
      <c r="BQ84" s="85"/>
      <c r="BR84" s="85"/>
      <c r="BS84" s="85"/>
      <c r="BT84" s="85"/>
      <c r="BU84" s="85"/>
      <c r="BV84" s="85"/>
      <c r="BW84" s="85"/>
      <c r="BX84" s="85"/>
      <c r="BY84" s="85"/>
      <c r="BZ84" s="85"/>
      <c r="CA84" s="85"/>
      <c r="CB84" s="85"/>
      <c r="CC84" s="85"/>
      <c r="CD84" s="85"/>
      <c r="CE84" s="85"/>
    </row>
    <row r="85" spans="1:83" ht="23.25" customHeight="1" x14ac:dyDescent="0.2">
      <c r="A85" s="17">
        <v>48</v>
      </c>
      <c r="B85" s="10" t="s">
        <v>132</v>
      </c>
      <c r="C85" s="8">
        <v>50</v>
      </c>
      <c r="D85" s="8">
        <v>0</v>
      </c>
      <c r="E85" s="8">
        <v>20</v>
      </c>
      <c r="F85" s="8">
        <v>40</v>
      </c>
      <c r="G85" s="8">
        <v>65</v>
      </c>
      <c r="H85" s="8">
        <v>45</v>
      </c>
      <c r="I85" s="4">
        <f t="shared" si="3"/>
        <v>3.363330803426217</v>
      </c>
      <c r="J85" s="6">
        <f t="shared" si="4"/>
        <v>3.4046066575720442</v>
      </c>
      <c r="K85" s="5">
        <f t="shared" si="7"/>
        <v>125</v>
      </c>
      <c r="L85" s="24">
        <f t="shared" si="5"/>
        <v>36.892622950819671</v>
      </c>
      <c r="M85" s="5">
        <f t="shared" si="8"/>
        <v>1.1776229508196678</v>
      </c>
      <c r="N85" s="4">
        <f t="shared" si="6"/>
        <v>0.61538461538461542</v>
      </c>
      <c r="O85" s="590" t="s">
        <v>353</v>
      </c>
      <c r="P85" s="591"/>
      <c r="Q85" s="591"/>
      <c r="R85" s="591"/>
      <c r="S85" s="592"/>
      <c r="T85" s="361"/>
      <c r="BG85" s="87"/>
      <c r="BH85" s="87"/>
      <c r="BI85" s="87"/>
      <c r="BJ85" s="87"/>
      <c r="BK85" s="87"/>
      <c r="BL85" s="87"/>
      <c r="BM85" s="85"/>
      <c r="BN85" s="85"/>
      <c r="BO85" s="85"/>
      <c r="BP85" s="85"/>
      <c r="BQ85" s="85"/>
      <c r="BR85" s="85"/>
      <c r="BS85" s="85"/>
      <c r="BT85" s="85"/>
      <c r="BU85" s="85"/>
      <c r="BV85" s="85"/>
      <c r="BW85" s="85"/>
      <c r="BX85" s="85"/>
      <c r="BY85" s="85"/>
      <c r="BZ85" s="85"/>
      <c r="CA85" s="85"/>
      <c r="CB85" s="85"/>
      <c r="CC85" s="85"/>
      <c r="CD85" s="85"/>
      <c r="CE85" s="85"/>
    </row>
    <row r="86" spans="1:83" ht="23.25" customHeight="1" x14ac:dyDescent="0.2">
      <c r="A86" s="17">
        <v>49</v>
      </c>
      <c r="B86" s="10" t="s">
        <v>136</v>
      </c>
      <c r="C86" s="8">
        <v>13</v>
      </c>
      <c r="D86" s="8">
        <v>6</v>
      </c>
      <c r="E86" s="8">
        <v>8</v>
      </c>
      <c r="F86" s="8">
        <v>37</v>
      </c>
      <c r="G86" s="8">
        <v>13</v>
      </c>
      <c r="H86" s="8">
        <v>20</v>
      </c>
      <c r="I86" s="4">
        <f t="shared" si="3"/>
        <v>1.4900322998194262</v>
      </c>
      <c r="J86" s="6">
        <f t="shared" si="4"/>
        <v>1.4654158670335344</v>
      </c>
      <c r="K86" s="5">
        <f t="shared" si="7"/>
        <v>57.191358024691354</v>
      </c>
      <c r="L86" s="24">
        <f t="shared" si="5"/>
        <v>16.39672131147541</v>
      </c>
      <c r="M86" s="5">
        <f t="shared" si="8"/>
        <v>3.5834213114754103</v>
      </c>
      <c r="N86" s="4">
        <f t="shared" si="6"/>
        <v>2.8461538461538463</v>
      </c>
      <c r="O86" s="590" t="s">
        <v>344</v>
      </c>
      <c r="P86" s="591"/>
      <c r="Q86" s="591"/>
      <c r="R86" s="591"/>
      <c r="S86" s="592"/>
      <c r="T86" s="361"/>
      <c r="BG86" s="87"/>
      <c r="BH86" s="87"/>
      <c r="BI86" s="87"/>
      <c r="BJ86" s="87"/>
      <c r="BK86" s="87"/>
      <c r="BL86" s="87"/>
      <c r="BM86" s="85"/>
      <c r="BN86" s="85"/>
      <c r="BO86" s="85"/>
      <c r="BP86" s="85"/>
      <c r="BQ86" s="85"/>
      <c r="BR86" s="85"/>
      <c r="BS86" s="85"/>
      <c r="BT86" s="85"/>
      <c r="BU86" s="85"/>
      <c r="BV86" s="85"/>
      <c r="BW86" s="85"/>
      <c r="BX86" s="85"/>
      <c r="BY86" s="85"/>
      <c r="BZ86" s="85"/>
      <c r="CA86" s="85"/>
      <c r="CB86" s="85"/>
      <c r="CC86" s="85"/>
      <c r="CD86" s="85"/>
      <c r="CE86" s="85"/>
    </row>
    <row r="87" spans="1:83" ht="23.25" customHeight="1" x14ac:dyDescent="0.2">
      <c r="A87" s="17">
        <v>50</v>
      </c>
      <c r="B87" s="10" t="s">
        <v>478</v>
      </c>
      <c r="C87" s="8">
        <v>50</v>
      </c>
      <c r="D87" s="8">
        <v>5</v>
      </c>
      <c r="E87" s="8">
        <v>5</v>
      </c>
      <c r="F87" s="8">
        <v>55</v>
      </c>
      <c r="G87" s="8">
        <v>70</v>
      </c>
      <c r="H87" s="8">
        <v>0</v>
      </c>
      <c r="I87" s="4">
        <f t="shared" si="3"/>
        <v>3.1226795241275949</v>
      </c>
      <c r="J87" s="6">
        <f t="shared" si="4"/>
        <v>3.1204454630935587</v>
      </c>
      <c r="K87" s="5">
        <f t="shared" si="7"/>
        <v>145.57613168724279</v>
      </c>
      <c r="L87" s="24">
        <f t="shared" si="5"/>
        <v>0</v>
      </c>
      <c r="M87" s="5">
        <f t="shared" si="8"/>
        <v>-38.654500000000006</v>
      </c>
      <c r="N87" s="4">
        <f t="shared" si="6"/>
        <v>0.7857142857142857</v>
      </c>
      <c r="O87" s="590"/>
      <c r="P87" s="591"/>
      <c r="Q87" s="591"/>
      <c r="R87" s="591"/>
      <c r="S87" s="592"/>
      <c r="T87" s="361"/>
      <c r="BG87" s="87"/>
      <c r="BH87" s="87"/>
      <c r="BI87" s="87"/>
      <c r="BJ87" s="87"/>
      <c r="BK87" s="87"/>
      <c r="BL87" s="87"/>
      <c r="BM87" s="85"/>
      <c r="BN87" s="85"/>
      <c r="BO87" s="85"/>
      <c r="BP87" s="85"/>
      <c r="BQ87" s="85"/>
      <c r="BR87" s="85"/>
      <c r="BS87" s="85"/>
      <c r="BT87" s="85"/>
      <c r="BU87" s="85"/>
      <c r="BV87" s="85"/>
      <c r="BW87" s="85"/>
      <c r="BX87" s="85"/>
      <c r="BY87" s="85"/>
      <c r="BZ87" s="85"/>
      <c r="CA87" s="85"/>
      <c r="CB87" s="85"/>
      <c r="CC87" s="85"/>
      <c r="CD87" s="85"/>
      <c r="CE87" s="85"/>
    </row>
    <row r="88" spans="1:83" ht="23.25" customHeight="1" x14ac:dyDescent="0.2">
      <c r="A88" s="17">
        <v>51</v>
      </c>
      <c r="B88" s="10" t="s">
        <v>181</v>
      </c>
      <c r="C88" s="8">
        <v>50</v>
      </c>
      <c r="D88" s="8">
        <v>7</v>
      </c>
      <c r="E88" s="8">
        <v>5</v>
      </c>
      <c r="F88" s="8">
        <v>75</v>
      </c>
      <c r="G88" s="8">
        <v>60</v>
      </c>
      <c r="H88" s="8">
        <v>0</v>
      </c>
      <c r="I88" s="4">
        <f t="shared" si="3"/>
        <v>3.2872885776255374</v>
      </c>
      <c r="J88" s="6">
        <f t="shared" si="4"/>
        <v>3.255024682651622</v>
      </c>
      <c r="K88" s="5">
        <f t="shared" si="7"/>
        <v>153.80658436213992</v>
      </c>
      <c r="L88" s="24">
        <f t="shared" si="5"/>
        <v>0</v>
      </c>
      <c r="M88" s="5">
        <f t="shared" si="8"/>
        <v>-39.830300000000001</v>
      </c>
      <c r="N88" s="4">
        <f t="shared" si="6"/>
        <v>1.25</v>
      </c>
      <c r="O88" s="590"/>
      <c r="P88" s="591"/>
      <c r="Q88" s="591"/>
      <c r="R88" s="591"/>
      <c r="S88" s="592"/>
      <c r="T88" s="361"/>
      <c r="BG88" s="87"/>
      <c r="BH88" s="87"/>
      <c r="BI88" s="87"/>
      <c r="BJ88" s="87"/>
      <c r="BK88" s="87"/>
      <c r="BL88" s="87"/>
      <c r="BM88" s="85"/>
      <c r="BN88" s="85"/>
      <c r="BO88" s="85"/>
      <c r="BP88" s="85"/>
      <c r="BQ88" s="85"/>
      <c r="BR88" s="85"/>
      <c r="BS88" s="85"/>
      <c r="BT88" s="85"/>
      <c r="BU88" s="85"/>
      <c r="BV88" s="85"/>
      <c r="BW88" s="85"/>
      <c r="BX88" s="85"/>
      <c r="BY88" s="85"/>
      <c r="BZ88" s="85"/>
      <c r="CA88" s="85"/>
      <c r="CB88" s="85"/>
      <c r="CC88" s="85"/>
      <c r="CD88" s="85"/>
      <c r="CE88" s="85"/>
    </row>
    <row r="89" spans="1:83" ht="23.25" customHeight="1" x14ac:dyDescent="0.2">
      <c r="A89" s="17">
        <v>52</v>
      </c>
      <c r="B89" s="10" t="s">
        <v>479</v>
      </c>
      <c r="C89" s="8">
        <v>50</v>
      </c>
      <c r="D89" s="8">
        <v>10</v>
      </c>
      <c r="E89" s="8">
        <v>5</v>
      </c>
      <c r="F89" s="8">
        <v>105</v>
      </c>
      <c r="G89" s="8">
        <v>45</v>
      </c>
      <c r="H89" s="8">
        <v>0</v>
      </c>
      <c r="I89" s="4">
        <f t="shared" si="3"/>
        <v>3.5342021578724507</v>
      </c>
      <c r="J89" s="6">
        <f t="shared" si="4"/>
        <v>3.4568935119887163</v>
      </c>
      <c r="K89" s="5">
        <f t="shared" si="7"/>
        <v>166.15226337448559</v>
      </c>
      <c r="L89" s="24">
        <f t="shared" si="5"/>
        <v>0</v>
      </c>
      <c r="M89" s="5">
        <f t="shared" si="8"/>
        <v>-41.594000000000001</v>
      </c>
      <c r="N89" s="4">
        <f t="shared" si="6"/>
        <v>2.3333333333333335</v>
      </c>
      <c r="O89" s="590"/>
      <c r="P89" s="591"/>
      <c r="Q89" s="591"/>
      <c r="R89" s="591"/>
      <c r="S89" s="592"/>
      <c r="T89" s="361"/>
      <c r="BG89" s="87"/>
      <c r="BH89" s="87"/>
      <c r="BI89" s="87"/>
      <c r="BJ89" s="87"/>
      <c r="BK89" s="87"/>
      <c r="BL89" s="87"/>
      <c r="BM89" s="85"/>
      <c r="BN89" s="85"/>
      <c r="BO89" s="85"/>
      <c r="BP89" s="85"/>
      <c r="BQ89" s="85"/>
      <c r="BR89" s="85"/>
      <c r="BS89" s="85"/>
      <c r="BT89" s="85"/>
      <c r="BU89" s="85"/>
      <c r="BV89" s="85"/>
      <c r="BW89" s="85"/>
      <c r="BX89" s="85"/>
      <c r="BY89" s="85"/>
      <c r="BZ89" s="85"/>
      <c r="CA89" s="85"/>
      <c r="CB89" s="85"/>
      <c r="CC89" s="85"/>
      <c r="CD89" s="85"/>
      <c r="CE89" s="85"/>
    </row>
    <row r="90" spans="1:83" ht="23.25" customHeight="1" x14ac:dyDescent="0.2">
      <c r="A90" s="17">
        <v>53</v>
      </c>
      <c r="B90" s="10" t="s">
        <v>480</v>
      </c>
      <c r="C90" s="8">
        <v>50</v>
      </c>
      <c r="D90" s="8">
        <v>5</v>
      </c>
      <c r="E90" s="8">
        <v>15</v>
      </c>
      <c r="F90" s="8">
        <v>55</v>
      </c>
      <c r="G90" s="8">
        <v>65</v>
      </c>
      <c r="H90" s="8">
        <v>35</v>
      </c>
      <c r="I90" s="4">
        <f t="shared" si="3"/>
        <v>3.5574621328232467</v>
      </c>
      <c r="J90" s="6">
        <f t="shared" si="4"/>
        <v>3.5531722313425353</v>
      </c>
      <c r="K90" s="5">
        <f t="shared" si="7"/>
        <v>145.57613168724279</v>
      </c>
      <c r="L90" s="24">
        <f t="shared" si="5"/>
        <v>28.69426229508197</v>
      </c>
      <c r="M90" s="5">
        <f t="shared" si="8"/>
        <v>-9.9602377049180362</v>
      </c>
      <c r="N90" s="4">
        <f t="shared" si="6"/>
        <v>0.84615384615384615</v>
      </c>
      <c r="O90" s="590"/>
      <c r="P90" s="591"/>
      <c r="Q90" s="591"/>
      <c r="R90" s="591"/>
      <c r="S90" s="592"/>
      <c r="T90" s="361"/>
      <c r="BG90" s="87"/>
      <c r="BH90" s="87"/>
      <c r="BI90" s="87"/>
      <c r="BJ90" s="87"/>
      <c r="BK90" s="87"/>
      <c r="BL90" s="87"/>
      <c r="BM90" s="85"/>
      <c r="BN90" s="85"/>
      <c r="BO90" s="85"/>
      <c r="BP90" s="85"/>
      <c r="BQ90" s="85"/>
      <c r="BR90" s="85"/>
      <c r="BS90" s="85"/>
      <c r="BT90" s="85"/>
      <c r="BU90" s="85"/>
      <c r="BV90" s="85"/>
      <c r="BW90" s="85"/>
      <c r="BX90" s="85"/>
      <c r="BY90" s="85"/>
      <c r="BZ90" s="85"/>
      <c r="CA90" s="85"/>
      <c r="CB90" s="85"/>
      <c r="CC90" s="85"/>
      <c r="CD90" s="85"/>
      <c r="CE90" s="85"/>
    </row>
    <row r="91" spans="1:83" ht="23.25" customHeight="1" x14ac:dyDescent="0.2">
      <c r="A91" s="17">
        <v>54</v>
      </c>
      <c r="B91" s="10" t="s">
        <v>133</v>
      </c>
      <c r="C91" s="8">
        <v>50</v>
      </c>
      <c r="D91" s="8">
        <v>10</v>
      </c>
      <c r="E91" s="8">
        <v>15</v>
      </c>
      <c r="F91" s="8">
        <v>75</v>
      </c>
      <c r="G91" s="8">
        <v>63</v>
      </c>
      <c r="H91" s="8">
        <v>40</v>
      </c>
      <c r="I91" s="4">
        <f t="shared" si="3"/>
        <v>3.9689847665681031</v>
      </c>
      <c r="J91" s="6">
        <f t="shared" si="4"/>
        <v>3.9953886217022356</v>
      </c>
      <c r="K91" s="5">
        <f t="shared" si="7"/>
        <v>166.15226337448559</v>
      </c>
      <c r="L91" s="24">
        <f t="shared" si="5"/>
        <v>32.79344262295082</v>
      </c>
      <c r="M91" s="5">
        <f t="shared" si="8"/>
        <v>-8.8005573770491807</v>
      </c>
      <c r="N91" s="4">
        <f t="shared" si="6"/>
        <v>1.1904761904761905</v>
      </c>
      <c r="O91" s="590"/>
      <c r="P91" s="591"/>
      <c r="Q91" s="591"/>
      <c r="R91" s="591"/>
      <c r="S91" s="592"/>
      <c r="T91" s="361"/>
      <c r="BG91" s="87"/>
      <c r="BH91" s="87"/>
      <c r="BI91" s="87"/>
      <c r="BJ91" s="87"/>
      <c r="BK91" s="87"/>
      <c r="BL91" s="87"/>
      <c r="BM91" s="85"/>
      <c r="BN91" s="85"/>
      <c r="BO91" s="85"/>
      <c r="BP91" s="85"/>
      <c r="BQ91" s="85"/>
      <c r="BR91" s="85"/>
      <c r="BS91" s="85"/>
      <c r="BT91" s="85"/>
      <c r="BU91" s="85"/>
      <c r="BV91" s="85"/>
      <c r="BW91" s="85"/>
      <c r="BX91" s="85"/>
      <c r="BY91" s="85"/>
      <c r="BZ91" s="85"/>
      <c r="CA91" s="85"/>
      <c r="CB91" s="85"/>
      <c r="CC91" s="85"/>
      <c r="CD91" s="85"/>
      <c r="CE91" s="85"/>
    </row>
    <row r="92" spans="1:83" ht="23.25" customHeight="1" x14ac:dyDescent="0.2">
      <c r="A92" s="17">
        <v>55</v>
      </c>
      <c r="B92" s="10" t="s">
        <v>483</v>
      </c>
      <c r="C92" s="8">
        <v>50</v>
      </c>
      <c r="D92" s="8">
        <v>15</v>
      </c>
      <c r="E92" s="8">
        <v>15</v>
      </c>
      <c r="F92" s="8">
        <v>110</v>
      </c>
      <c r="G92" s="8">
        <v>50</v>
      </c>
      <c r="H92" s="8">
        <v>45</v>
      </c>
      <c r="I92" s="4">
        <f t="shared" si="3"/>
        <v>4.3805074003129594</v>
      </c>
      <c r="J92" s="6">
        <f t="shared" si="4"/>
        <v>4.4398088202424715</v>
      </c>
      <c r="K92" s="5">
        <f t="shared" si="7"/>
        <v>186.72839506172841</v>
      </c>
      <c r="L92" s="24">
        <f t="shared" si="5"/>
        <v>36.892622950819671</v>
      </c>
      <c r="M92" s="5">
        <f t="shared" si="8"/>
        <v>-7.6408770491803324</v>
      </c>
      <c r="N92" s="4">
        <f t="shared" si="6"/>
        <v>2.2000000000000002</v>
      </c>
      <c r="O92" s="590"/>
      <c r="P92" s="591"/>
      <c r="Q92" s="591"/>
      <c r="R92" s="591"/>
      <c r="S92" s="592"/>
      <c r="T92" s="361"/>
      <c r="BG92" s="87"/>
      <c r="BH92" s="87"/>
      <c r="BI92" s="87"/>
      <c r="BJ92" s="87"/>
      <c r="BK92" s="87"/>
      <c r="BL92" s="87"/>
      <c r="BM92" s="85"/>
      <c r="BN92" s="85"/>
      <c r="BO92" s="85"/>
      <c r="BP92" s="85"/>
      <c r="BQ92" s="85"/>
      <c r="BR92" s="85"/>
      <c r="BS92" s="85"/>
      <c r="BT92" s="85"/>
      <c r="BU92" s="85"/>
      <c r="BV92" s="85"/>
      <c r="BW92" s="85"/>
      <c r="BX92" s="85"/>
      <c r="BY92" s="85"/>
      <c r="BZ92" s="85"/>
      <c r="CA92" s="85"/>
      <c r="CB92" s="85"/>
      <c r="CC92" s="85"/>
      <c r="CD92" s="85"/>
      <c r="CE92" s="85"/>
    </row>
    <row r="93" spans="1:83" ht="23.25" customHeight="1" x14ac:dyDescent="0.2">
      <c r="A93" s="17">
        <v>56</v>
      </c>
      <c r="B93" s="10" t="s">
        <v>481</v>
      </c>
      <c r="C93" s="8">
        <v>50</v>
      </c>
      <c r="D93" s="8">
        <v>5</v>
      </c>
      <c r="E93" s="8">
        <v>27</v>
      </c>
      <c r="F93" s="8">
        <v>50</v>
      </c>
      <c r="G93" s="8">
        <v>60</v>
      </c>
      <c r="H93" s="8">
        <v>85</v>
      </c>
      <c r="I93" s="4">
        <f t="shared" si="3"/>
        <v>4.0792012632580299</v>
      </c>
      <c r="J93" s="6">
        <f t="shared" si="4"/>
        <v>4.1276339722691082</v>
      </c>
      <c r="K93" s="5">
        <f t="shared" si="7"/>
        <v>145.57613168724279</v>
      </c>
      <c r="L93" s="24">
        <f t="shared" si="5"/>
        <v>69.686065573770492</v>
      </c>
      <c r="M93" s="5">
        <f t="shared" si="8"/>
        <v>31.031565573770486</v>
      </c>
      <c r="N93" s="4">
        <f t="shared" si="6"/>
        <v>0.83333333333333337</v>
      </c>
      <c r="O93" s="590"/>
      <c r="P93" s="591"/>
      <c r="Q93" s="591"/>
      <c r="R93" s="591"/>
      <c r="S93" s="592"/>
      <c r="T93" s="361"/>
      <c r="BG93" s="87"/>
      <c r="BH93" s="87"/>
      <c r="BI93" s="87"/>
      <c r="BJ93" s="87"/>
      <c r="BK93" s="87"/>
      <c r="BL93" s="87"/>
      <c r="BM93" s="85"/>
      <c r="BN93" s="85"/>
      <c r="BO93" s="85"/>
      <c r="BP93" s="85"/>
      <c r="BQ93" s="85"/>
      <c r="BR93" s="85"/>
      <c r="BS93" s="85"/>
      <c r="BT93" s="85"/>
      <c r="BU93" s="85"/>
      <c r="BV93" s="85"/>
      <c r="BW93" s="85"/>
      <c r="BX93" s="85"/>
      <c r="BY93" s="85"/>
      <c r="BZ93" s="85"/>
      <c r="CA93" s="85"/>
      <c r="CB93" s="85"/>
      <c r="CC93" s="85"/>
      <c r="CD93" s="85"/>
      <c r="CE93" s="85"/>
    </row>
    <row r="94" spans="1:83" ht="23.25" customHeight="1" x14ac:dyDescent="0.2">
      <c r="A94" s="17">
        <v>57</v>
      </c>
      <c r="B94" s="10" t="s">
        <v>134</v>
      </c>
      <c r="C94" s="8">
        <v>50</v>
      </c>
      <c r="D94" s="8">
        <v>10</v>
      </c>
      <c r="E94" s="8">
        <v>27</v>
      </c>
      <c r="F94" s="8">
        <v>70</v>
      </c>
      <c r="G94" s="8">
        <v>55</v>
      </c>
      <c r="H94" s="8">
        <v>90</v>
      </c>
      <c r="I94" s="4">
        <f t="shared" si="3"/>
        <v>4.4907238970028853</v>
      </c>
      <c r="J94" s="6">
        <f t="shared" si="4"/>
        <v>4.4852241284962275</v>
      </c>
      <c r="K94" s="5">
        <f t="shared" si="7"/>
        <v>166.15226337448559</v>
      </c>
      <c r="L94" s="24">
        <f t="shared" si="5"/>
        <v>73.785245901639342</v>
      </c>
      <c r="M94" s="5">
        <f t="shared" si="8"/>
        <v>32.191245901639341</v>
      </c>
      <c r="N94" s="4">
        <f t="shared" si="6"/>
        <v>1.2727272727272727</v>
      </c>
      <c r="O94" s="590"/>
      <c r="P94" s="591"/>
      <c r="Q94" s="591"/>
      <c r="R94" s="591"/>
      <c r="S94" s="592"/>
      <c r="T94" s="361"/>
      <c r="BG94" s="87"/>
      <c r="BH94" s="87"/>
      <c r="BI94" s="87"/>
      <c r="BJ94" s="87"/>
      <c r="BK94" s="87"/>
      <c r="BL94" s="87"/>
      <c r="BM94" s="85"/>
      <c r="BN94" s="85"/>
      <c r="BO94" s="85"/>
      <c r="BP94" s="85"/>
      <c r="BQ94" s="85"/>
      <c r="BR94" s="85"/>
      <c r="BS94" s="85"/>
      <c r="BT94" s="85"/>
      <c r="BU94" s="85"/>
      <c r="BV94" s="85"/>
      <c r="BW94" s="85"/>
      <c r="BX94" s="85"/>
      <c r="BY94" s="85"/>
      <c r="BZ94" s="85"/>
      <c r="CA94" s="85"/>
      <c r="CB94" s="85"/>
      <c r="CC94" s="85"/>
      <c r="CD94" s="85"/>
      <c r="CE94" s="85"/>
    </row>
    <row r="95" spans="1:83" ht="23.25" customHeight="1" x14ac:dyDescent="0.2">
      <c r="A95" s="17">
        <v>58</v>
      </c>
      <c r="B95" s="10" t="s">
        <v>484</v>
      </c>
      <c r="C95" s="8">
        <v>50</v>
      </c>
      <c r="D95" s="8">
        <v>15</v>
      </c>
      <c r="E95" s="8">
        <v>27</v>
      </c>
      <c r="F95" s="8">
        <v>99</v>
      </c>
      <c r="G95" s="8">
        <v>45</v>
      </c>
      <c r="H95" s="8">
        <v>95</v>
      </c>
      <c r="I95" s="4">
        <f t="shared" si="3"/>
        <v>4.9022465307477416</v>
      </c>
      <c r="J95" s="6">
        <f t="shared" si="4"/>
        <v>4.8892705611690443</v>
      </c>
      <c r="K95" s="5">
        <f t="shared" si="7"/>
        <v>186.72839506172841</v>
      </c>
      <c r="L95" s="24">
        <f t="shared" si="5"/>
        <v>77.884426229508193</v>
      </c>
      <c r="M95" s="5">
        <f t="shared" si="8"/>
        <v>33.35092622950819</v>
      </c>
      <c r="N95" s="4">
        <f t="shared" si="6"/>
        <v>2.2000000000000002</v>
      </c>
      <c r="O95" s="590"/>
      <c r="P95" s="591"/>
      <c r="Q95" s="591"/>
      <c r="R95" s="591"/>
      <c r="S95" s="592"/>
      <c r="T95" s="361"/>
      <c r="BG95" s="87"/>
      <c r="BH95" s="87"/>
      <c r="BI95" s="87"/>
      <c r="BJ95" s="87"/>
      <c r="BK95" s="87"/>
      <c r="BL95" s="87"/>
      <c r="BM95" s="85"/>
      <c r="BN95" s="85"/>
      <c r="BO95" s="85"/>
      <c r="BP95" s="85"/>
      <c r="BQ95" s="85"/>
      <c r="BR95" s="85"/>
      <c r="BS95" s="85"/>
      <c r="BT95" s="85"/>
      <c r="BU95" s="85"/>
      <c r="BV95" s="85"/>
      <c r="BW95" s="85"/>
      <c r="BX95" s="85"/>
      <c r="BY95" s="85"/>
      <c r="BZ95" s="85"/>
      <c r="CA95" s="85"/>
      <c r="CB95" s="85"/>
      <c r="CC95" s="85"/>
      <c r="CD95" s="85"/>
      <c r="CE95" s="85"/>
    </row>
    <row r="96" spans="1:83" ht="23.25" customHeight="1" x14ac:dyDescent="0.2">
      <c r="A96" s="17">
        <v>59</v>
      </c>
      <c r="B96" s="10" t="s">
        <v>482</v>
      </c>
      <c r="C96" s="8">
        <v>50</v>
      </c>
      <c r="D96" s="8">
        <v>5</v>
      </c>
      <c r="E96" s="8">
        <v>33</v>
      </c>
      <c r="F96" s="8">
        <v>35</v>
      </c>
      <c r="G96" s="8">
        <v>45</v>
      </c>
      <c r="H96" s="8">
        <v>140</v>
      </c>
      <c r="I96" s="4">
        <f t="shared" si="3"/>
        <v>4.3400708284754206</v>
      </c>
      <c r="J96" s="6">
        <f t="shared" si="4"/>
        <v>4.2936421458684979</v>
      </c>
      <c r="K96" s="5">
        <f t="shared" si="7"/>
        <v>145.57613168724279</v>
      </c>
      <c r="L96" s="24">
        <f t="shared" si="5"/>
        <v>114.77704918032788</v>
      </c>
      <c r="M96" s="5">
        <f t="shared" si="8"/>
        <v>76.122549180327866</v>
      </c>
      <c r="N96" s="4">
        <f t="shared" si="6"/>
        <v>0.77777777777777779</v>
      </c>
      <c r="O96" s="590"/>
      <c r="P96" s="591"/>
      <c r="Q96" s="591"/>
      <c r="R96" s="591"/>
      <c r="S96" s="592"/>
      <c r="T96" s="361"/>
      <c r="BG96" s="87"/>
      <c r="BH96" s="87"/>
      <c r="BI96" s="87"/>
      <c r="BJ96" s="87"/>
      <c r="BK96" s="87"/>
      <c r="BL96" s="87"/>
      <c r="BM96" s="85"/>
      <c r="BN96" s="85"/>
      <c r="BO96" s="85"/>
      <c r="BP96" s="85"/>
      <c r="BQ96" s="85"/>
      <c r="BR96" s="85"/>
      <c r="BS96" s="85"/>
      <c r="BT96" s="85"/>
      <c r="BU96" s="85"/>
      <c r="BV96" s="85"/>
      <c r="BW96" s="85"/>
      <c r="BX96" s="85"/>
      <c r="BY96" s="85"/>
      <c r="BZ96" s="85"/>
      <c r="CA96" s="85"/>
      <c r="CB96" s="85"/>
      <c r="CC96" s="85"/>
      <c r="CD96" s="85"/>
      <c r="CE96" s="85"/>
    </row>
    <row r="97" spans="1:83" ht="23.25" customHeight="1" x14ac:dyDescent="0.2">
      <c r="A97" s="17">
        <v>60</v>
      </c>
      <c r="B97" s="10" t="s">
        <v>135</v>
      </c>
      <c r="C97" s="8">
        <v>50</v>
      </c>
      <c r="D97" s="8">
        <v>10</v>
      </c>
      <c r="E97" s="8">
        <v>33</v>
      </c>
      <c r="F97" s="8">
        <v>57</v>
      </c>
      <c r="G97" s="8">
        <v>44</v>
      </c>
      <c r="H97" s="8">
        <v>142</v>
      </c>
      <c r="I97" s="4">
        <f t="shared" si="3"/>
        <v>4.7515934622202769</v>
      </c>
      <c r="J97" s="6">
        <f t="shared" si="4"/>
        <v>4.7565536197368719</v>
      </c>
      <c r="K97" s="5">
        <f t="shared" si="7"/>
        <v>166.15226337448559</v>
      </c>
      <c r="L97" s="24">
        <f t="shared" si="5"/>
        <v>116.41672131147541</v>
      </c>
      <c r="M97" s="5">
        <f t="shared" si="8"/>
        <v>74.822721311475419</v>
      </c>
      <c r="N97" s="4">
        <f t="shared" si="6"/>
        <v>1.2954545454545454</v>
      </c>
      <c r="O97" s="590"/>
      <c r="P97" s="591"/>
      <c r="Q97" s="591"/>
      <c r="R97" s="591"/>
      <c r="S97" s="592"/>
      <c r="T97" s="361"/>
      <c r="BG97" s="87"/>
      <c r="BH97" s="87"/>
      <c r="BI97" s="87"/>
      <c r="BJ97" s="87"/>
      <c r="BK97" s="87"/>
      <c r="BL97" s="87"/>
      <c r="BM97" s="85"/>
      <c r="BN97" s="85"/>
      <c r="BO97" s="85"/>
      <c r="BP97" s="85"/>
      <c r="BQ97" s="85"/>
      <c r="BR97" s="85"/>
      <c r="BS97" s="85"/>
      <c r="BT97" s="85"/>
      <c r="BU97" s="85"/>
      <c r="BV97" s="85"/>
      <c r="BW97" s="85"/>
      <c r="BX97" s="85"/>
      <c r="BY97" s="85"/>
      <c r="BZ97" s="85"/>
      <c r="CA97" s="85"/>
      <c r="CB97" s="85"/>
      <c r="CC97" s="85"/>
      <c r="CD97" s="85"/>
      <c r="CE97" s="85"/>
    </row>
    <row r="98" spans="1:83" ht="23.25" customHeight="1" x14ac:dyDescent="0.2">
      <c r="A98" s="17">
        <v>61</v>
      </c>
      <c r="B98" s="10" t="s">
        <v>485</v>
      </c>
      <c r="C98" s="8">
        <v>50</v>
      </c>
      <c r="D98" s="8">
        <v>15</v>
      </c>
      <c r="E98" s="8">
        <v>33</v>
      </c>
      <c r="F98" s="8">
        <v>84</v>
      </c>
      <c r="G98" s="8">
        <v>39</v>
      </c>
      <c r="H98" s="8">
        <v>145</v>
      </c>
      <c r="I98" s="4">
        <f t="shared" si="3"/>
        <v>5.1631160959651332</v>
      </c>
      <c r="J98" s="6">
        <f t="shared" si="4"/>
        <v>5.2271902240514239</v>
      </c>
      <c r="K98" s="5">
        <f t="shared" si="7"/>
        <v>186.72839506172841</v>
      </c>
      <c r="L98" s="24">
        <f t="shared" si="5"/>
        <v>118.87622950819672</v>
      </c>
      <c r="M98" s="5">
        <f t="shared" si="8"/>
        <v>74.342729508196712</v>
      </c>
      <c r="N98" s="4">
        <f t="shared" si="6"/>
        <v>2.1538461538461537</v>
      </c>
      <c r="O98" s="590"/>
      <c r="P98" s="591"/>
      <c r="Q98" s="591"/>
      <c r="R98" s="591"/>
      <c r="S98" s="592"/>
      <c r="T98" s="361"/>
      <c r="BG98" s="87"/>
      <c r="BH98" s="87"/>
      <c r="BI98" s="87"/>
      <c r="BJ98" s="87"/>
      <c r="BK98" s="87"/>
      <c r="BL98" s="87"/>
      <c r="BM98" s="85"/>
      <c r="BN98" s="85"/>
      <c r="BO98" s="85"/>
      <c r="BP98" s="85"/>
      <c r="BQ98" s="85"/>
      <c r="BR98" s="85"/>
      <c r="BS98" s="85"/>
      <c r="BT98" s="85"/>
      <c r="BU98" s="85"/>
      <c r="BV98" s="85"/>
      <c r="BW98" s="85"/>
      <c r="BX98" s="85"/>
      <c r="BY98" s="85"/>
      <c r="BZ98" s="85"/>
      <c r="CA98" s="85"/>
      <c r="CB98" s="85"/>
      <c r="CC98" s="85"/>
      <c r="CD98" s="85"/>
      <c r="CE98" s="85"/>
    </row>
    <row r="99" spans="1:83" ht="23.25" customHeight="1" x14ac:dyDescent="0.2">
      <c r="A99" s="17">
        <v>62</v>
      </c>
      <c r="B99" s="10" t="s">
        <v>340</v>
      </c>
      <c r="C99" s="8">
        <v>20</v>
      </c>
      <c r="D99" s="8">
        <v>0</v>
      </c>
      <c r="E99" s="8">
        <v>8</v>
      </c>
      <c r="F99" s="8">
        <v>15</v>
      </c>
      <c r="G99" s="8">
        <v>35</v>
      </c>
      <c r="H99" s="8">
        <v>0</v>
      </c>
      <c r="I99" s="4">
        <f t="shared" si="3"/>
        <v>1.3453323213704866</v>
      </c>
      <c r="J99" s="6">
        <f t="shared" si="4"/>
        <v>1.2998060648801126</v>
      </c>
      <c r="K99" s="5">
        <f>((C99/20)+(D99/12.15))*50</f>
        <v>50</v>
      </c>
      <c r="L99" s="24">
        <f t="shared" si="5"/>
        <v>0</v>
      </c>
      <c r="M99" s="5">
        <f>(L99-((C99*0.7143)+(D99*0.5879)))</f>
        <v>-14.286000000000001</v>
      </c>
      <c r="N99" s="4">
        <f>IF(G99&lt;=0,0,F99/G99)</f>
        <v>0.42857142857142855</v>
      </c>
      <c r="O99" s="590" t="s">
        <v>404</v>
      </c>
      <c r="P99" s="591"/>
      <c r="Q99" s="591"/>
      <c r="R99" s="591"/>
      <c r="S99" s="592"/>
      <c r="T99" s="361"/>
      <c r="BG99" s="87"/>
      <c r="BH99" s="87"/>
      <c r="BI99" s="87"/>
      <c r="BJ99" s="87"/>
      <c r="BK99" s="87"/>
      <c r="BL99" s="87"/>
    </row>
    <row r="100" spans="1:83" ht="23.25" customHeight="1" x14ac:dyDescent="0.2">
      <c r="A100" s="17">
        <v>63</v>
      </c>
      <c r="B100" s="10" t="s">
        <v>364</v>
      </c>
      <c r="C100" s="8">
        <v>46</v>
      </c>
      <c r="D100" s="8">
        <v>5</v>
      </c>
      <c r="E100" s="8">
        <v>15</v>
      </c>
      <c r="F100" s="8">
        <v>75</v>
      </c>
      <c r="G100" s="8">
        <v>30</v>
      </c>
      <c r="H100" s="8">
        <v>60</v>
      </c>
      <c r="I100" s="4">
        <f t="shared" si="3"/>
        <v>3.3579608859404537</v>
      </c>
      <c r="J100" s="6">
        <f t="shared" si="4"/>
        <v>3.3923688987028604</v>
      </c>
      <c r="K100" s="5">
        <f>((C100/20)+(D100/12.15))*50</f>
        <v>135.57613168724279</v>
      </c>
      <c r="L100" s="24">
        <f t="shared" si="5"/>
        <v>49.190163934426231</v>
      </c>
      <c r="M100" s="5">
        <f>(L100-((C100*0.7143)+(D100*0.5879)))</f>
        <v>13.392863934426224</v>
      </c>
      <c r="N100" s="4">
        <f>IF(G100&lt;=0,0,F100/G100)</f>
        <v>2.5</v>
      </c>
      <c r="O100" s="590" t="s">
        <v>365</v>
      </c>
      <c r="P100" s="591"/>
      <c r="Q100" s="591"/>
      <c r="R100" s="591"/>
      <c r="S100" s="592"/>
      <c r="T100" s="361"/>
      <c r="BG100" s="87"/>
      <c r="BH100" s="87"/>
      <c r="BI100" s="87"/>
      <c r="BJ100" s="87"/>
      <c r="BK100" s="87"/>
      <c r="BL100" s="87"/>
    </row>
    <row r="101" spans="1:83" ht="23.25" customHeight="1" x14ac:dyDescent="0.2">
      <c r="A101" s="17">
        <v>64</v>
      </c>
      <c r="B101" s="10" t="s">
        <v>366</v>
      </c>
      <c r="C101" s="8">
        <v>18</v>
      </c>
      <c r="D101" s="8">
        <v>2</v>
      </c>
      <c r="E101" s="8">
        <v>13</v>
      </c>
      <c r="F101" s="8">
        <v>22</v>
      </c>
      <c r="G101" s="8">
        <v>20</v>
      </c>
      <c r="H101" s="8">
        <v>35</v>
      </c>
      <c r="I101" s="4">
        <f t="shared" si="3"/>
        <v>1.6275820557748588</v>
      </c>
      <c r="J101" s="6">
        <f t="shared" si="4"/>
        <v>1.596278719353819</v>
      </c>
      <c r="K101" s="5">
        <f>((C101/20)+(D101/12.15))*50</f>
        <v>53.230452674897123</v>
      </c>
      <c r="L101" s="24">
        <f t="shared" si="5"/>
        <v>28.69426229508197</v>
      </c>
      <c r="M101" s="5">
        <f>(L101-((C101*0.7143)+(D101*0.5879)))</f>
        <v>14.661062295081969</v>
      </c>
      <c r="N101" s="4">
        <f>IF(G101&lt;=0,0,F101/G101)</f>
        <v>1.1000000000000001</v>
      </c>
      <c r="O101" s="590" t="s">
        <v>496</v>
      </c>
      <c r="P101" s="591"/>
      <c r="Q101" s="591"/>
      <c r="R101" s="591"/>
      <c r="S101" s="592"/>
      <c r="T101" s="361"/>
      <c r="BG101" s="87"/>
      <c r="BH101" s="87"/>
      <c r="BI101" s="87"/>
      <c r="BJ101" s="87"/>
      <c r="BK101" s="87"/>
      <c r="BL101" s="87"/>
    </row>
    <row r="102" spans="1:83" ht="23.25" customHeight="1" x14ac:dyDescent="0.2">
      <c r="A102" s="17">
        <v>65</v>
      </c>
      <c r="B102" s="10" t="s">
        <v>12</v>
      </c>
      <c r="C102" s="8">
        <v>0</v>
      </c>
      <c r="D102" s="8">
        <v>0</v>
      </c>
      <c r="E102" s="8">
        <v>0</v>
      </c>
      <c r="F102" s="8">
        <v>0</v>
      </c>
      <c r="G102" s="8">
        <v>0</v>
      </c>
      <c r="H102" s="8">
        <v>0</v>
      </c>
      <c r="I102" s="4">
        <f>(C102/20.05)+(D102/12.15)+(E102/23)</f>
        <v>0</v>
      </c>
      <c r="J102" s="6">
        <f>(H102/61)+(F102/48)+(G102/35.45)</f>
        <v>0</v>
      </c>
      <c r="K102" s="5">
        <f>((C102/20)+(D102/12.15))*50</f>
        <v>0</v>
      </c>
      <c r="L102" s="24">
        <f>H102*(50/61)*(1+(2*10^-4))</f>
        <v>0</v>
      </c>
      <c r="M102" s="5">
        <f>(L102-((C102*0.7143)+(D102*0.5879)))</f>
        <v>0</v>
      </c>
      <c r="N102" s="4">
        <f>IF(G102&lt;=0,0,F102/G102)</f>
        <v>0</v>
      </c>
      <c r="O102" s="590"/>
      <c r="P102" s="591"/>
      <c r="Q102" s="591"/>
      <c r="R102" s="591"/>
      <c r="S102" s="592"/>
      <c r="T102" s="361"/>
      <c r="BG102" s="87"/>
      <c r="BH102" s="87"/>
      <c r="BI102" s="87"/>
      <c r="BJ102" s="87"/>
      <c r="BK102" s="87"/>
      <c r="BL102" s="87"/>
    </row>
    <row r="103" spans="1:83" ht="23.25" customHeight="1" x14ac:dyDescent="0.2">
      <c r="A103" s="17">
        <v>66</v>
      </c>
      <c r="B103" s="10" t="s">
        <v>330</v>
      </c>
      <c r="C103" s="8">
        <v>255</v>
      </c>
      <c r="D103" s="8">
        <v>40</v>
      </c>
      <c r="E103" s="8">
        <v>25</v>
      </c>
      <c r="F103" s="8">
        <v>610</v>
      </c>
      <c r="G103" s="8">
        <v>35</v>
      </c>
      <c r="H103" s="8">
        <v>210</v>
      </c>
      <c r="I103" s="4">
        <f>(C103/20.05)+(D103/12.15)+(E103/23)</f>
        <v>17.097342080476032</v>
      </c>
      <c r="J103" s="6">
        <f>(H103/61)+(F103/48)+(G103/35.45)</f>
        <v>17.138262349033116</v>
      </c>
      <c r="K103" s="5">
        <f>((C103/20)+(D103/12.15))*50</f>
        <v>802.10905349794234</v>
      </c>
      <c r="L103" s="24">
        <f>H103*(50/61)*(1+(2*10^-4))</f>
        <v>172.16557377049182</v>
      </c>
      <c r="M103" s="5">
        <f>(L103-((C103*0.7143)+(D103*0.5879)))</f>
        <v>-33.496926229508176</v>
      </c>
      <c r="N103" s="4">
        <f>IF(G103&lt;=0,0,F103/G103)</f>
        <v>17.428571428571427</v>
      </c>
      <c r="O103" s="590" t="s">
        <v>343</v>
      </c>
      <c r="P103" s="591"/>
      <c r="Q103" s="591"/>
      <c r="R103" s="591"/>
      <c r="S103" s="592"/>
      <c r="T103" s="361"/>
      <c r="BG103" s="87"/>
      <c r="BH103" s="87"/>
      <c r="BI103" s="87"/>
      <c r="BJ103" s="87"/>
      <c r="BK103" s="87"/>
      <c r="BL103" s="87"/>
    </row>
    <row r="104" spans="1:83" x14ac:dyDescent="0.2">
      <c r="B104" s="17" t="s">
        <v>140</v>
      </c>
      <c r="O104" s="93"/>
      <c r="P104" s="87"/>
      <c r="Q104" s="87"/>
      <c r="T104" s="361"/>
      <c r="BG104" s="87"/>
      <c r="BH104" s="87"/>
      <c r="BI104" s="87"/>
      <c r="BJ104" s="87"/>
      <c r="BK104" s="87"/>
      <c r="BL104" s="87"/>
    </row>
    <row r="105" spans="1:83" x14ac:dyDescent="0.2">
      <c r="O105" s="93"/>
      <c r="P105" s="87"/>
      <c r="Q105" s="87"/>
      <c r="T105" s="361"/>
      <c r="BG105" s="87"/>
      <c r="BH105" s="87"/>
      <c r="BI105" s="87"/>
      <c r="BJ105" s="87"/>
      <c r="BK105" s="87"/>
      <c r="BL105" s="87"/>
    </row>
    <row r="106" spans="1:83" x14ac:dyDescent="0.2">
      <c r="B106" s="17" t="s">
        <v>301</v>
      </c>
      <c r="O106" s="93"/>
      <c r="P106" s="87"/>
      <c r="Q106" s="87"/>
      <c r="T106" s="361"/>
      <c r="BG106" s="87"/>
      <c r="BH106" s="87"/>
      <c r="BI106" s="87"/>
      <c r="BJ106" s="87"/>
      <c r="BK106" s="87"/>
      <c r="BL106" s="87"/>
    </row>
    <row r="107" spans="1:83" ht="22.5" x14ac:dyDescent="0.2">
      <c r="B107" s="27" t="s">
        <v>159</v>
      </c>
      <c r="C107" s="27" t="s">
        <v>74</v>
      </c>
      <c r="D107" s="27" t="s">
        <v>73</v>
      </c>
      <c r="E107" s="27" t="s">
        <v>75</v>
      </c>
      <c r="F107" s="27" t="s">
        <v>76</v>
      </c>
      <c r="G107" s="27" t="s">
        <v>77</v>
      </c>
      <c r="H107" s="27" t="s">
        <v>78</v>
      </c>
      <c r="I107" s="27" t="s">
        <v>80</v>
      </c>
      <c r="J107" s="27" t="s">
        <v>81</v>
      </c>
      <c r="K107" s="28" t="s">
        <v>82</v>
      </c>
      <c r="L107" s="27" t="s">
        <v>129</v>
      </c>
      <c r="M107" s="27" t="s">
        <v>130</v>
      </c>
      <c r="N107" s="25" t="s">
        <v>221</v>
      </c>
      <c r="O107" s="92"/>
      <c r="P107" s="87"/>
      <c r="Q107" s="85"/>
      <c r="T107" s="361"/>
      <c r="BG107" s="87"/>
      <c r="BH107" s="87"/>
      <c r="BI107" s="87"/>
      <c r="BJ107" s="87"/>
      <c r="BK107" s="87"/>
      <c r="BL107" s="87"/>
    </row>
    <row r="108" spans="1:83" ht="16.5" customHeight="1" x14ac:dyDescent="0.2">
      <c r="A108" s="17">
        <v>1</v>
      </c>
      <c r="B108" s="10" t="s">
        <v>144</v>
      </c>
      <c r="C108" s="10">
        <v>0</v>
      </c>
      <c r="D108" s="10">
        <v>0</v>
      </c>
      <c r="E108" s="10">
        <v>0</v>
      </c>
      <c r="F108" s="10">
        <v>0</v>
      </c>
      <c r="G108" s="10">
        <v>0</v>
      </c>
      <c r="H108" s="10">
        <v>0</v>
      </c>
      <c r="I108" s="4">
        <f>(C108/20.05)+(D108/12.15)+(E108/23)</f>
        <v>0</v>
      </c>
      <c r="J108" s="6">
        <f>(H108/61)+(F108/48)+(G108/35.45)</f>
        <v>0</v>
      </c>
      <c r="K108" s="5">
        <f>((C108/20)+(D108/12.15))*50</f>
        <v>0</v>
      </c>
      <c r="L108" s="24">
        <f>H108*(50/61)*(1+(2*10^-4))</f>
        <v>0</v>
      </c>
      <c r="M108" s="5">
        <f>(L108-((C108*0.7143)+(D108*0.5879)))</f>
        <v>0</v>
      </c>
      <c r="N108" s="4">
        <f>IF(F108&lt;=0,0,F108/G108)</f>
        <v>0</v>
      </c>
      <c r="O108" s="599"/>
      <c r="P108" s="599"/>
      <c r="Q108" s="599"/>
      <c r="R108" s="599"/>
      <c r="S108" s="599"/>
      <c r="T108" s="361"/>
      <c r="BG108" s="87"/>
      <c r="BH108" s="87"/>
      <c r="BI108" s="87"/>
      <c r="BJ108" s="87"/>
      <c r="BK108" s="87"/>
      <c r="BL108" s="87"/>
    </row>
    <row r="109" spans="1:83" ht="16.5" customHeight="1" x14ac:dyDescent="0.2">
      <c r="A109" s="17">
        <v>2</v>
      </c>
      <c r="B109" s="10" t="s">
        <v>110</v>
      </c>
      <c r="C109" s="10">
        <v>1</v>
      </c>
      <c r="D109" s="10">
        <v>0</v>
      </c>
      <c r="E109" s="10">
        <v>8</v>
      </c>
      <c r="F109" s="10">
        <v>1</v>
      </c>
      <c r="G109" s="10">
        <v>4</v>
      </c>
      <c r="H109" s="10">
        <v>16</v>
      </c>
      <c r="I109" s="4">
        <f>(C109/20.05)+(D109/12.15)+(E109/23)</f>
        <v>0.39770139867721999</v>
      </c>
      <c r="J109" s="6">
        <f>(H109/61)+(F109/48)+(G109/35.45)</f>
        <v>0.3959633941439879</v>
      </c>
      <c r="K109" s="5">
        <f>((C109/20)+(D109/12.15))*50</f>
        <v>2.5</v>
      </c>
      <c r="L109" s="24">
        <f>H109*(50/61)*(1+(2*10^-4))</f>
        <v>13.117377049180329</v>
      </c>
      <c r="M109" s="5">
        <f>(L109-((C109*0.7143)+(D109*0.5879)))</f>
        <v>12.403077049180329</v>
      </c>
      <c r="N109" s="4">
        <f>IF(F109&lt;=0,0,F109/G109)</f>
        <v>0.25</v>
      </c>
      <c r="O109" s="599"/>
      <c r="P109" s="599"/>
      <c r="Q109" s="599"/>
      <c r="R109" s="599"/>
      <c r="S109" s="599"/>
      <c r="BG109" s="87"/>
      <c r="BH109" s="87"/>
      <c r="BI109" s="87"/>
      <c r="BJ109" s="87"/>
      <c r="BK109" s="87"/>
      <c r="BL109" s="87"/>
    </row>
    <row r="110" spans="1:83" x14ac:dyDescent="0.2">
      <c r="O110" s="87"/>
      <c r="P110" s="87"/>
      <c r="Q110" s="87"/>
      <c r="BG110" s="87"/>
      <c r="BH110" s="87"/>
      <c r="BI110" s="87"/>
      <c r="BJ110" s="87"/>
      <c r="BK110" s="87"/>
      <c r="BL110" s="87"/>
    </row>
    <row r="111" spans="1:83" x14ac:dyDescent="0.2">
      <c r="O111" s="87"/>
      <c r="P111" s="87"/>
      <c r="Q111" s="87"/>
      <c r="BG111" s="87"/>
      <c r="BH111" s="87"/>
      <c r="BI111" s="87"/>
      <c r="BJ111" s="87"/>
      <c r="BK111" s="87"/>
      <c r="BL111" s="87"/>
    </row>
    <row r="112" spans="1:83" ht="13.35" customHeight="1" x14ac:dyDescent="0.2">
      <c r="O112" s="87"/>
      <c r="P112" s="87"/>
      <c r="Q112" s="87"/>
      <c r="U112" s="319"/>
      <c r="V112" s="320"/>
      <c r="BG112" s="87"/>
      <c r="BH112" s="87"/>
      <c r="BI112" s="87"/>
      <c r="BJ112" s="87"/>
      <c r="BK112" s="87"/>
      <c r="BL112" s="87"/>
    </row>
    <row r="113" spans="15:64" ht="13.35" customHeight="1" x14ac:dyDescent="0.2">
      <c r="O113" s="87"/>
      <c r="P113" s="87"/>
      <c r="Q113" s="87"/>
      <c r="BG113" s="87"/>
      <c r="BH113" s="87"/>
      <c r="BI113" s="87"/>
      <c r="BJ113" s="87"/>
      <c r="BK113" s="87"/>
      <c r="BL113" s="87"/>
    </row>
    <row r="114" spans="15:64" x14ac:dyDescent="0.2">
      <c r="BG114" s="87"/>
      <c r="BH114" s="87"/>
      <c r="BI114" s="87"/>
      <c r="BJ114" s="87"/>
      <c r="BK114" s="87"/>
      <c r="BL114" s="87"/>
    </row>
    <row r="115" spans="15:64" x14ac:dyDescent="0.2">
      <c r="BG115" s="87"/>
      <c r="BH115" s="87"/>
      <c r="BI115" s="87"/>
      <c r="BJ115" s="87"/>
      <c r="BK115" s="87"/>
      <c r="BL115" s="87"/>
    </row>
    <row r="116" spans="15:64" x14ac:dyDescent="0.2">
      <c r="BG116" s="87"/>
      <c r="BH116" s="87"/>
      <c r="BI116" s="87"/>
      <c r="BJ116" s="87"/>
      <c r="BK116" s="87"/>
      <c r="BL116" s="87"/>
    </row>
    <row r="117" spans="15:64" x14ac:dyDescent="0.2">
      <c r="BG117" s="87"/>
      <c r="BH117" s="87"/>
      <c r="BI117" s="87"/>
      <c r="BJ117" s="87"/>
      <c r="BK117" s="87"/>
      <c r="BL117" s="87"/>
    </row>
    <row r="118" spans="15:64" x14ac:dyDescent="0.2">
      <c r="BG118" s="87"/>
      <c r="BH118" s="87"/>
      <c r="BI118" s="87"/>
      <c r="BJ118" s="87"/>
      <c r="BK118" s="87"/>
      <c r="BL118" s="87"/>
    </row>
    <row r="119" spans="15:64" x14ac:dyDescent="0.2">
      <c r="BG119" s="87"/>
      <c r="BH119" s="87"/>
      <c r="BI119" s="87"/>
      <c r="BJ119" s="87"/>
      <c r="BK119" s="87"/>
      <c r="BL119" s="87"/>
    </row>
    <row r="120" spans="15:64" x14ac:dyDescent="0.2">
      <c r="BG120" s="87"/>
      <c r="BH120" s="87"/>
      <c r="BI120" s="87"/>
      <c r="BJ120" s="87"/>
      <c r="BK120" s="87"/>
      <c r="BL120" s="87"/>
    </row>
    <row r="121" spans="15:64" x14ac:dyDescent="0.2">
      <c r="BG121" s="87"/>
      <c r="BH121" s="87"/>
      <c r="BI121" s="87"/>
      <c r="BJ121" s="87"/>
      <c r="BK121" s="87"/>
      <c r="BL121" s="87"/>
    </row>
    <row r="122" spans="15:64" x14ac:dyDescent="0.2">
      <c r="BG122" s="87"/>
      <c r="BH122" s="87"/>
      <c r="BI122" s="87"/>
      <c r="BJ122" s="87"/>
      <c r="BK122" s="87"/>
      <c r="BL122" s="87"/>
    </row>
    <row r="123" spans="15:64" x14ac:dyDescent="0.2">
      <c r="BG123" s="87"/>
      <c r="BH123" s="87"/>
      <c r="BI123" s="87"/>
      <c r="BJ123" s="87"/>
      <c r="BK123" s="87"/>
      <c r="BL123" s="87"/>
    </row>
    <row r="124" spans="15:64" x14ac:dyDescent="0.2">
      <c r="BG124" s="87"/>
      <c r="BH124" s="87"/>
      <c r="BI124" s="87"/>
      <c r="BJ124" s="87"/>
      <c r="BK124" s="87"/>
      <c r="BL124" s="87"/>
    </row>
    <row r="125" spans="15:64" x14ac:dyDescent="0.2">
      <c r="BG125" s="87"/>
      <c r="BH125" s="87"/>
      <c r="BI125" s="87"/>
      <c r="BJ125" s="87"/>
      <c r="BK125" s="87"/>
      <c r="BL125" s="87"/>
    </row>
    <row r="126" spans="15:64" x14ac:dyDescent="0.2">
      <c r="BG126" s="87"/>
      <c r="BH126" s="87"/>
      <c r="BI126" s="87"/>
      <c r="BJ126" s="87"/>
      <c r="BK126" s="87"/>
      <c r="BL126" s="87"/>
    </row>
    <row r="127" spans="15:64" x14ac:dyDescent="0.2">
      <c r="BG127" s="87"/>
      <c r="BH127" s="87"/>
      <c r="BI127" s="87"/>
      <c r="BJ127" s="87"/>
      <c r="BK127" s="87"/>
      <c r="BL127" s="87"/>
    </row>
    <row r="128" spans="15:64" x14ac:dyDescent="0.2">
      <c r="BG128" s="87"/>
      <c r="BH128" s="87"/>
      <c r="BI128" s="87"/>
      <c r="BJ128" s="87"/>
      <c r="BK128" s="87"/>
      <c r="BL128" s="87"/>
    </row>
    <row r="129" spans="59:64" x14ac:dyDescent="0.2">
      <c r="BG129" s="87"/>
      <c r="BH129" s="87"/>
      <c r="BI129" s="87"/>
      <c r="BJ129" s="87"/>
      <c r="BK129" s="87"/>
      <c r="BL129" s="87"/>
    </row>
    <row r="130" spans="59:64" x14ac:dyDescent="0.2">
      <c r="BG130" s="87"/>
      <c r="BH130" s="87"/>
      <c r="BI130" s="87"/>
      <c r="BJ130" s="87"/>
      <c r="BK130" s="87"/>
      <c r="BL130" s="87"/>
    </row>
    <row r="131" spans="59:64" x14ac:dyDescent="0.2">
      <c r="BG131" s="87"/>
      <c r="BH131" s="87"/>
      <c r="BI131" s="87"/>
      <c r="BJ131" s="87"/>
      <c r="BK131" s="87"/>
      <c r="BL131" s="87"/>
    </row>
    <row r="132" spans="59:64" x14ac:dyDescent="0.2">
      <c r="BG132" s="87"/>
      <c r="BH132" s="87"/>
      <c r="BI132" s="87"/>
      <c r="BJ132" s="87"/>
      <c r="BK132" s="87"/>
      <c r="BL132" s="87"/>
    </row>
    <row r="133" spans="59:64" x14ac:dyDescent="0.2">
      <c r="BG133" s="87"/>
      <c r="BH133" s="87"/>
      <c r="BI133" s="87"/>
      <c r="BJ133" s="87"/>
      <c r="BK133" s="87"/>
      <c r="BL133" s="87"/>
    </row>
    <row r="134" spans="59:64" x14ac:dyDescent="0.2">
      <c r="BG134" s="87"/>
      <c r="BH134" s="87"/>
      <c r="BI134" s="87"/>
      <c r="BJ134" s="87"/>
      <c r="BK134" s="87"/>
      <c r="BL134" s="87"/>
    </row>
    <row r="135" spans="59:64" x14ac:dyDescent="0.2">
      <c r="BG135" s="87"/>
      <c r="BH135" s="87"/>
      <c r="BI135" s="87"/>
      <c r="BJ135" s="87"/>
      <c r="BK135" s="87"/>
      <c r="BL135" s="87"/>
    </row>
    <row r="136" spans="59:64" x14ac:dyDescent="0.2">
      <c r="BG136" s="87"/>
      <c r="BH136" s="87"/>
      <c r="BI136" s="87"/>
      <c r="BJ136" s="87"/>
      <c r="BK136" s="87"/>
      <c r="BL136" s="87"/>
    </row>
    <row r="137" spans="59:64" x14ac:dyDescent="0.2">
      <c r="BG137" s="87"/>
      <c r="BH137" s="87"/>
      <c r="BI137" s="87"/>
      <c r="BJ137" s="87"/>
      <c r="BK137" s="87"/>
      <c r="BL137" s="87"/>
    </row>
    <row r="138" spans="59:64" x14ac:dyDescent="0.2">
      <c r="BG138" s="87"/>
      <c r="BH138" s="87"/>
      <c r="BI138" s="87"/>
      <c r="BJ138" s="87"/>
      <c r="BK138" s="87"/>
      <c r="BL138" s="87"/>
    </row>
    <row r="139" spans="59:64" x14ac:dyDescent="0.2">
      <c r="BG139" s="87"/>
      <c r="BH139" s="87"/>
      <c r="BI139" s="87"/>
      <c r="BJ139" s="87"/>
      <c r="BK139" s="87"/>
      <c r="BL139" s="87"/>
    </row>
    <row r="140" spans="59:64" x14ac:dyDescent="0.2">
      <c r="BG140" s="87"/>
      <c r="BH140" s="87"/>
      <c r="BI140" s="87"/>
      <c r="BJ140" s="87"/>
      <c r="BK140" s="87"/>
      <c r="BL140" s="87"/>
    </row>
    <row r="141" spans="59:64" x14ac:dyDescent="0.2">
      <c r="BG141" s="87"/>
      <c r="BH141" s="87"/>
      <c r="BI141" s="87"/>
      <c r="BJ141" s="87"/>
      <c r="BK141" s="87"/>
      <c r="BL141" s="87"/>
    </row>
    <row r="142" spans="59:64" x14ac:dyDescent="0.2">
      <c r="BG142" s="87"/>
      <c r="BH142" s="87"/>
      <c r="BI142" s="87"/>
      <c r="BJ142" s="87"/>
      <c r="BK142" s="87"/>
      <c r="BL142" s="87"/>
    </row>
    <row r="143" spans="59:64" x14ac:dyDescent="0.2">
      <c r="BG143" s="87"/>
      <c r="BH143" s="87"/>
      <c r="BI143" s="87"/>
      <c r="BJ143" s="87"/>
      <c r="BK143" s="87"/>
      <c r="BL143" s="87"/>
    </row>
    <row r="144" spans="59:64" x14ac:dyDescent="0.2">
      <c r="BG144" s="87"/>
      <c r="BH144" s="87"/>
      <c r="BI144" s="87"/>
      <c r="BJ144" s="87"/>
      <c r="BK144" s="87"/>
      <c r="BL144" s="87"/>
    </row>
    <row r="145" spans="59:64" x14ac:dyDescent="0.2">
      <c r="BG145" s="87"/>
      <c r="BH145" s="87"/>
      <c r="BI145" s="87"/>
      <c r="BJ145" s="87"/>
      <c r="BK145" s="87"/>
      <c r="BL145" s="87"/>
    </row>
    <row r="146" spans="59:64" x14ac:dyDescent="0.2">
      <c r="BG146" s="87"/>
      <c r="BH146" s="87"/>
      <c r="BI146" s="87"/>
      <c r="BJ146" s="87"/>
      <c r="BK146" s="87"/>
      <c r="BL146" s="87"/>
    </row>
  </sheetData>
  <sheetProtection algorithmName="SHA-512" hashValue="KTsl/J4Ml5zr7saDHmICEm/Z9IIP/Zk64++DGJe29B2o9DdiTejBvDeVUnYNOeTkwl76PJKprU++eSANnfPujg==" saltValue="78cC/UsXCfzsfUf7CAT+jw==" spinCount="100000" sheet="1" objects="1" scenarios="1" formatColumns="0" formatRows="0" selectLockedCells="1"/>
  <mergeCells count="132">
    <mergeCell ref="O108:S108"/>
    <mergeCell ref="O78:S78"/>
    <mergeCell ref="O95:S95"/>
    <mergeCell ref="O96:S96"/>
    <mergeCell ref="O103:S103"/>
    <mergeCell ref="O97:S97"/>
    <mergeCell ref="O98:S98"/>
    <mergeCell ref="O109:S109"/>
    <mergeCell ref="A5:B5"/>
    <mergeCell ref="A8:B8"/>
    <mergeCell ref="M15:N16"/>
    <mergeCell ref="I18:J18"/>
    <mergeCell ref="K20:L20"/>
    <mergeCell ref="I20:J20"/>
    <mergeCell ref="K18:L18"/>
    <mergeCell ref="O93:S93"/>
    <mergeCell ref="O82:S82"/>
    <mergeCell ref="O83:S83"/>
    <mergeCell ref="O84:S84"/>
    <mergeCell ref="O86:S86"/>
    <mergeCell ref="O87:S87"/>
    <mergeCell ref="O99:S99"/>
    <mergeCell ref="O100:S100"/>
    <mergeCell ref="O101:S101"/>
    <mergeCell ref="O102:S102"/>
    <mergeCell ref="O79:S79"/>
    <mergeCell ref="O80:S80"/>
    <mergeCell ref="O89:S89"/>
    <mergeCell ref="O90:S90"/>
    <mergeCell ref="O91:S91"/>
    <mergeCell ref="O92:S92"/>
    <mergeCell ref="O85:S85"/>
    <mergeCell ref="O69:S69"/>
    <mergeCell ref="O70:S70"/>
    <mergeCell ref="O75:S75"/>
    <mergeCell ref="O76:S76"/>
    <mergeCell ref="O81:S81"/>
    <mergeCell ref="O71:S71"/>
    <mergeCell ref="O94:S94"/>
    <mergeCell ref="O88:S88"/>
    <mergeCell ref="O72:S72"/>
    <mergeCell ref="O73:S73"/>
    <mergeCell ref="O74:S74"/>
    <mergeCell ref="O77:S77"/>
    <mergeCell ref="O63:S63"/>
    <mergeCell ref="O64:S64"/>
    <mergeCell ref="O65:S65"/>
    <mergeCell ref="O66:S66"/>
    <mergeCell ref="O67:S67"/>
    <mergeCell ref="O68:S68"/>
    <mergeCell ref="O57:S57"/>
    <mergeCell ref="O58:S58"/>
    <mergeCell ref="O15:O16"/>
    <mergeCell ref="O60:S60"/>
    <mergeCell ref="O61:S61"/>
    <mergeCell ref="O62:S62"/>
    <mergeCell ref="O51:S51"/>
    <mergeCell ref="O52:S52"/>
    <mergeCell ref="O53:S53"/>
    <mergeCell ref="O54:S54"/>
    <mergeCell ref="O55:S55"/>
    <mergeCell ref="O56:S56"/>
    <mergeCell ref="O45:S45"/>
    <mergeCell ref="O46:S46"/>
    <mergeCell ref="O47:S47"/>
    <mergeCell ref="O48:S48"/>
    <mergeCell ref="O49:S49"/>
    <mergeCell ref="O50:S50"/>
    <mergeCell ref="O59:S59"/>
    <mergeCell ref="A35:L35"/>
    <mergeCell ref="O40:S40"/>
    <mergeCell ref="N35:P35"/>
    <mergeCell ref="O41:S41"/>
    <mergeCell ref="O42:S42"/>
    <mergeCell ref="N33:P33"/>
    <mergeCell ref="O43:S43"/>
    <mergeCell ref="O44:S44"/>
    <mergeCell ref="O37:S37"/>
    <mergeCell ref="O38:S38"/>
    <mergeCell ref="O39:S39"/>
    <mergeCell ref="A36:L36"/>
    <mergeCell ref="I31:J31"/>
    <mergeCell ref="H28:K28"/>
    <mergeCell ref="C30:I30"/>
    <mergeCell ref="K31:L31"/>
    <mergeCell ref="J30:L30"/>
    <mergeCell ref="K29:L29"/>
    <mergeCell ref="A34:L34"/>
    <mergeCell ref="A33:L33"/>
    <mergeCell ref="I27:J27"/>
    <mergeCell ref="P15:P16"/>
    <mergeCell ref="A6:B6"/>
    <mergeCell ref="I29:J29"/>
    <mergeCell ref="I6:K6"/>
    <mergeCell ref="I7:K7"/>
    <mergeCell ref="I8:K8"/>
    <mergeCell ref="K24:L24"/>
    <mergeCell ref="C28:G28"/>
    <mergeCell ref="I23:J23"/>
    <mergeCell ref="K25:L25"/>
    <mergeCell ref="K23:L23"/>
    <mergeCell ref="I16:J16"/>
    <mergeCell ref="O9:P10"/>
    <mergeCell ref="P11:P12"/>
    <mergeCell ref="O11:O12"/>
    <mergeCell ref="A11:B11"/>
    <mergeCell ref="A10:B10"/>
    <mergeCell ref="A13:B13"/>
    <mergeCell ref="K22:L22"/>
    <mergeCell ref="C27:E27"/>
    <mergeCell ref="K27:L27"/>
    <mergeCell ref="A12:B12"/>
    <mergeCell ref="I25:J25"/>
    <mergeCell ref="K19:L19"/>
    <mergeCell ref="I26:J26"/>
    <mergeCell ref="K26:L26"/>
    <mergeCell ref="C16:H16"/>
    <mergeCell ref="K16:L16"/>
    <mergeCell ref="A1:B1"/>
    <mergeCell ref="I24:J24"/>
    <mergeCell ref="I15:L15"/>
    <mergeCell ref="I22:J22"/>
    <mergeCell ref="K21:L21"/>
    <mergeCell ref="I21:J21"/>
    <mergeCell ref="A7:B7"/>
    <mergeCell ref="C1:K1"/>
    <mergeCell ref="I4:K4"/>
    <mergeCell ref="A3:E3"/>
    <mergeCell ref="F3:M3"/>
    <mergeCell ref="A4:B4"/>
    <mergeCell ref="I5:K5"/>
    <mergeCell ref="I19:J19"/>
  </mergeCells>
  <phoneticPr fontId="7" type="noConversion"/>
  <conditionalFormatting sqref="I38:I103 I108:I109">
    <cfRule type="expression" dxfId="10" priority="122">
      <formula>ABS(I38-J38)&lt;0.1</formula>
    </cfRule>
  </conditionalFormatting>
  <conditionalFormatting sqref="J38:J103 J108:J109">
    <cfRule type="expression" dxfId="9" priority="123">
      <formula>ABS(I38-J38)&lt;0.1</formula>
    </cfRule>
  </conditionalFormatting>
  <conditionalFormatting sqref="B16">
    <cfRule type="expression" dxfId="8" priority="82">
      <formula>B16&lt;5.15</formula>
    </cfRule>
    <cfRule type="expression" dxfId="7" priority="83">
      <formula>B16&gt;5.75</formula>
    </cfRule>
    <cfRule type="expression" dxfId="6" priority="84">
      <formula>B16&gt;5.55</formula>
    </cfRule>
    <cfRule type="expression" dxfId="5" priority="85">
      <formula>B16&lt;5.25</formula>
    </cfRule>
  </conditionalFormatting>
  <dataValidations count="4">
    <dataValidation type="list" allowBlank="1" showInputMessage="1" showErrorMessage="1" prompt="Select desired water profile from the drop-down listing." sqref="A5:B5">
      <formula1>$B$38:$B$103</formula1>
    </dataValidation>
    <dataValidation type="list" allowBlank="1" showInputMessage="1" showErrorMessage="1" prompt="Select the type of dilution water from the drop-down listing." sqref="A8:B8">
      <formula1>$B$108:$B$109</formula1>
    </dataValidation>
    <dataValidation type="list" allowBlank="1" showInputMessage="1" showErrorMessage="1" sqref="A29">
      <formula1>$U$26:$U$33</formula1>
    </dataValidation>
    <dataValidation type="list" allowBlank="1" showInputMessage="1" showErrorMessage="1" sqref="E29">
      <formula1>$U$4:$U$7</formula1>
    </dataValidation>
  </dataValidations>
  <hyperlinks>
    <hyperlink ref="C1" r:id="rId1" display="Check for Bru'n Water Updates"/>
    <hyperlink ref="C1:D1" r:id="rId2" display="Link to Bru'n Water website for updates and to donate"/>
    <hyperlink ref="C1:K1" r:id="rId3" display="Link to Bru'n Water website for updates and to donate"/>
  </hyperlinks>
  <printOptions horizontalCentered="1" verticalCentered="1"/>
  <pageMargins left="0.75" right="0.75" top="1" bottom="1" header="0.5" footer="0.5"/>
  <pageSetup scale="58" orientation="landscape" r:id="rId4"/>
  <headerFooter alignWithMargins="0">
    <oddFooter>&amp;LBru'n Water
V.1.24&amp;R9/17/18</oddFooter>
  </headerFooter>
  <ignoredErrors>
    <ignoredError sqref="E9" formula="1"/>
  </ignoredErrors>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0"/>
    <pageSetUpPr fitToPage="1"/>
  </sheetPr>
  <dimension ref="A1:AL80"/>
  <sheetViews>
    <sheetView showGridLines="0" zoomScale="70" zoomScaleNormal="70" workbookViewId="0">
      <selection activeCell="AA26" sqref="AA26"/>
    </sheetView>
  </sheetViews>
  <sheetFormatPr defaultRowHeight="12.75" x14ac:dyDescent="0.2"/>
  <cols>
    <col min="1" max="1" width="16.42578125" style="66" customWidth="1"/>
    <col min="2" max="2" width="8.5703125" style="66" customWidth="1"/>
    <col min="3" max="3" width="12" style="66" customWidth="1"/>
    <col min="4" max="9" width="13.42578125" style="66" customWidth="1"/>
    <col min="10" max="10" width="11.5703125" style="66" customWidth="1"/>
    <col min="11" max="26" width="11.5703125" style="66" hidden="1" customWidth="1"/>
    <col min="27" max="27" width="11.5703125" style="66" customWidth="1"/>
    <col min="28" max="54" width="9.5703125" style="66" customWidth="1"/>
    <col min="55" max="16384" width="9.140625" style="66"/>
  </cols>
  <sheetData>
    <row r="1" spans="1:30" ht="33.6" customHeight="1" x14ac:dyDescent="0.2">
      <c r="A1" s="633" t="s">
        <v>203</v>
      </c>
      <c r="B1" s="633"/>
      <c r="C1" s="633"/>
      <c r="D1" s="632" t="s">
        <v>498</v>
      </c>
      <c r="E1" s="632"/>
      <c r="F1" s="632"/>
      <c r="G1" s="632"/>
      <c r="H1" s="632"/>
      <c r="I1" s="632"/>
      <c r="J1" s="70"/>
      <c r="K1" s="70"/>
    </row>
    <row r="2" spans="1:30" ht="18" x14ac:dyDescent="0.2">
      <c r="A2" s="634"/>
      <c r="B2" s="634"/>
      <c r="C2" s="635"/>
      <c r="D2" s="635"/>
      <c r="E2" s="635"/>
      <c r="F2" s="635"/>
      <c r="G2" s="635"/>
      <c r="H2" s="635"/>
      <c r="I2" s="635"/>
      <c r="J2" s="70"/>
      <c r="K2" s="70"/>
    </row>
    <row r="3" spans="1:30" ht="30" customHeight="1" thickBot="1" x14ac:dyDescent="0.4">
      <c r="A3" s="636" t="s">
        <v>204</v>
      </c>
      <c r="B3" s="636"/>
      <c r="C3" s="636"/>
      <c r="D3" s="636"/>
      <c r="E3" s="637" t="s">
        <v>501</v>
      </c>
      <c r="F3" s="637"/>
      <c r="G3" s="637"/>
      <c r="H3" s="637"/>
      <c r="I3" s="637"/>
      <c r="J3" s="70"/>
      <c r="K3" s="70"/>
    </row>
    <row r="4" spans="1:30" ht="33" customHeight="1" x14ac:dyDescent="0.2">
      <c r="A4" s="105" t="str">
        <f>'4. Water Adjustment'!$A$5</f>
        <v>Yellow Dry</v>
      </c>
      <c r="B4" s="71"/>
      <c r="C4" s="72"/>
      <c r="D4" s="95" t="s">
        <v>185</v>
      </c>
      <c r="E4" s="95" t="s">
        <v>73</v>
      </c>
      <c r="F4" s="95" t="s">
        <v>217</v>
      </c>
      <c r="G4" s="95" t="s">
        <v>187</v>
      </c>
      <c r="H4" s="95" t="s">
        <v>218</v>
      </c>
      <c r="I4" s="96" t="s">
        <v>78</v>
      </c>
      <c r="J4" s="70"/>
      <c r="K4" s="70"/>
    </row>
    <row r="5" spans="1:30" ht="17.25" customHeight="1" x14ac:dyDescent="0.2">
      <c r="A5" s="638" t="s">
        <v>147</v>
      </c>
      <c r="B5" s="639"/>
      <c r="C5" s="640"/>
      <c r="D5" s="81">
        <f>'4. Water Adjustment'!C6</f>
        <v>0</v>
      </c>
      <c r="E5" s="81">
        <f>'4. Water Adjustment'!D6</f>
        <v>0</v>
      </c>
      <c r="F5" s="81">
        <f>'4. Water Adjustment'!E6</f>
        <v>0</v>
      </c>
      <c r="G5" s="81">
        <f>'4. Water Adjustment'!F6</f>
        <v>0</v>
      </c>
      <c r="H5" s="81">
        <f>'4. Water Adjustment'!G6</f>
        <v>0</v>
      </c>
      <c r="I5" s="82">
        <f>'4. Water Adjustment'!H6</f>
        <v>0</v>
      </c>
      <c r="J5" s="70"/>
      <c r="K5" s="70"/>
    </row>
    <row r="6" spans="1:30" ht="17.25" customHeight="1" x14ac:dyDescent="0.2">
      <c r="A6" s="638" t="s">
        <v>391</v>
      </c>
      <c r="B6" s="639"/>
      <c r="C6" s="640"/>
      <c r="D6" s="81">
        <f>'4. Water Adjustment'!C13</f>
        <v>0</v>
      </c>
      <c r="E6" s="81">
        <f>'4. Water Adjustment'!D13</f>
        <v>0</v>
      </c>
      <c r="F6" s="81">
        <f>'4. Water Adjustment'!E13</f>
        <v>0</v>
      </c>
      <c r="G6" s="81">
        <f>'4. Water Adjustment'!F13</f>
        <v>0</v>
      </c>
      <c r="H6" s="81">
        <f>'4. Water Adjustment'!G13</f>
        <v>0</v>
      </c>
      <c r="I6" s="82">
        <f ca="1">'4. Water Adjustment'!H13</f>
        <v>0</v>
      </c>
      <c r="J6" s="70"/>
      <c r="K6" s="70"/>
    </row>
    <row r="7" spans="1:30" ht="17.25" customHeight="1" thickBot="1" x14ac:dyDescent="0.25">
      <c r="A7" s="652" t="s">
        <v>212</v>
      </c>
      <c r="B7" s="653"/>
      <c r="C7" s="654"/>
      <c r="D7" s="73" t="s">
        <v>281</v>
      </c>
      <c r="E7" s="74" t="s">
        <v>280</v>
      </c>
      <c r="F7" s="73" t="s">
        <v>209</v>
      </c>
      <c r="G7" s="73" t="s">
        <v>210</v>
      </c>
      <c r="H7" s="73" t="s">
        <v>208</v>
      </c>
      <c r="I7" s="75" t="s">
        <v>211</v>
      </c>
      <c r="J7" s="144"/>
      <c r="K7" s="144"/>
      <c r="L7" s="143"/>
      <c r="M7" s="143"/>
      <c r="N7" s="143"/>
      <c r="O7" s="143"/>
      <c r="P7" s="143"/>
      <c r="Q7" s="143"/>
      <c r="R7" s="143"/>
      <c r="S7" s="143"/>
      <c r="T7" s="143"/>
      <c r="U7" s="143"/>
      <c r="V7" s="143"/>
      <c r="W7" s="143"/>
      <c r="X7" s="143"/>
      <c r="Y7" s="143"/>
      <c r="Z7" s="143"/>
      <c r="AA7" s="143"/>
      <c r="AB7" s="143"/>
    </row>
    <row r="8" spans="1:30" ht="17.25" customHeight="1" thickBot="1" x14ac:dyDescent="0.25">
      <c r="A8" s="67"/>
      <c r="B8" s="67"/>
      <c r="C8" s="67"/>
      <c r="D8" s="76"/>
      <c r="E8" s="77"/>
      <c r="F8" s="76"/>
      <c r="G8" s="76"/>
      <c r="H8" s="76"/>
      <c r="I8" s="76"/>
      <c r="J8" s="144"/>
      <c r="K8" s="144"/>
      <c r="L8" s="143"/>
      <c r="M8" s="143"/>
      <c r="N8" s="143"/>
      <c r="O8" s="143"/>
      <c r="P8" s="143"/>
      <c r="Q8" s="143"/>
      <c r="R8" s="143"/>
      <c r="S8" s="143"/>
      <c r="T8" s="143"/>
      <c r="U8" s="143"/>
      <c r="V8" s="143"/>
      <c r="W8" s="143"/>
      <c r="X8" s="143"/>
      <c r="Y8" s="143"/>
      <c r="Z8" s="143"/>
      <c r="AA8" s="143"/>
      <c r="AB8" s="143"/>
    </row>
    <row r="9" spans="1:30" ht="16.350000000000001" customHeight="1" thickBot="1" x14ac:dyDescent="0.25">
      <c r="A9" s="655" t="s">
        <v>214</v>
      </c>
      <c r="B9" s="656"/>
      <c r="C9" s="656"/>
      <c r="D9" s="78"/>
      <c r="E9" s="78"/>
      <c r="F9" s="78"/>
      <c r="G9" s="78"/>
      <c r="H9" s="78"/>
      <c r="I9" s="79"/>
      <c r="J9" s="144"/>
      <c r="K9" s="144"/>
      <c r="L9" s="143"/>
      <c r="M9" s="143"/>
      <c r="N9" s="143"/>
      <c r="O9" s="143"/>
      <c r="P9" s="143"/>
      <c r="Q9" s="143"/>
      <c r="R9" s="143"/>
      <c r="S9" s="143"/>
      <c r="T9" s="143"/>
      <c r="U9" s="143"/>
      <c r="V9" s="143"/>
      <c r="W9" s="143"/>
      <c r="X9" s="143"/>
      <c r="Y9" s="143"/>
      <c r="Z9" s="143"/>
      <c r="AA9" s="143"/>
      <c r="AB9" s="143"/>
    </row>
    <row r="10" spans="1:30" ht="16.350000000000001" customHeight="1" x14ac:dyDescent="0.2">
      <c r="A10" s="657" t="str">
        <f>N22</f>
        <v>Batch Volume (gallons)</v>
      </c>
      <c r="B10" s="658"/>
      <c r="C10" s="312">
        <f>'4. Water Adjustment'!V17</f>
        <v>5</v>
      </c>
      <c r="D10" s="680" t="s">
        <v>220</v>
      </c>
      <c r="E10" s="680"/>
      <c r="F10" s="191">
        <f>(('4. Water Adjustment'!C13/20)+('4. Water Adjustment'!D13/12.15))*50</f>
        <v>0</v>
      </c>
      <c r="G10" s="650"/>
      <c r="H10" s="651"/>
      <c r="I10" s="259"/>
      <c r="J10" s="144"/>
      <c r="K10" s="144"/>
      <c r="L10" s="143"/>
      <c r="M10" s="143"/>
      <c r="N10" s="143"/>
      <c r="O10" s="143"/>
      <c r="P10" s="143"/>
      <c r="Q10" s="143"/>
      <c r="R10" s="143"/>
      <c r="S10" s="143"/>
      <c r="T10" s="143"/>
      <c r="U10" s="143"/>
      <c r="V10" s="143"/>
      <c r="W10" s="143"/>
      <c r="X10" s="143"/>
      <c r="Y10" s="143"/>
      <c r="Z10" s="143"/>
      <c r="AA10" s="143"/>
      <c r="AB10" s="143"/>
      <c r="AC10" s="124"/>
      <c r="AD10" s="124"/>
    </row>
    <row r="11" spans="1:30" ht="16.350000000000001" customHeight="1" thickBot="1" x14ac:dyDescent="0.25">
      <c r="A11" s="668" t="s">
        <v>207</v>
      </c>
      <c r="B11" s="669"/>
      <c r="C11" s="152">
        <f ca="1">'3. Grain Bill Input'!F24</f>
        <v>5.7029889916336414</v>
      </c>
      <c r="D11" s="641" t="s">
        <v>219</v>
      </c>
      <c r="E11" s="641"/>
      <c r="F11" s="80">
        <f ca="1">'4. Water Adjustment'!V16</f>
        <v>0</v>
      </c>
      <c r="G11" s="675"/>
      <c r="H11" s="676"/>
      <c r="I11" s="260"/>
      <c r="J11" s="261"/>
      <c r="K11" s="144"/>
      <c r="L11" s="143"/>
      <c r="M11" s="143"/>
      <c r="N11" s="143"/>
      <c r="O11" s="143"/>
      <c r="P11" s="143"/>
      <c r="Q11" s="143"/>
      <c r="R11" s="143"/>
      <c r="S11" s="143"/>
      <c r="T11" s="143"/>
      <c r="U11" s="143"/>
      <c r="V11" s="143"/>
      <c r="W11" s="143"/>
      <c r="X11" s="143"/>
      <c r="Y11" s="143"/>
      <c r="Z11" s="143"/>
      <c r="AA11" s="143"/>
      <c r="AB11" s="143"/>
      <c r="AC11" s="124"/>
      <c r="AD11" s="124"/>
    </row>
    <row r="12" spans="1:30" ht="17.25" customHeight="1" thickBot="1" x14ac:dyDescent="0.25">
      <c r="A12" s="70"/>
      <c r="B12" s="70"/>
      <c r="C12" s="70"/>
      <c r="D12" s="70"/>
      <c r="E12" s="70"/>
      <c r="F12" s="70"/>
      <c r="G12" s="70"/>
      <c r="H12" s="70"/>
      <c r="I12" s="70"/>
      <c r="J12" s="144"/>
      <c r="K12" s="144"/>
      <c r="L12" s="143"/>
      <c r="M12" s="143"/>
      <c r="N12" s="143"/>
      <c r="O12" s="143"/>
      <c r="P12" s="143"/>
      <c r="Q12" s="143"/>
      <c r="R12" s="143"/>
      <c r="S12" s="143"/>
      <c r="T12" s="143"/>
      <c r="U12" s="143"/>
      <c r="V12" s="143"/>
      <c r="W12" s="143"/>
      <c r="X12" s="143"/>
      <c r="Y12" s="143"/>
      <c r="Z12" s="143"/>
      <c r="AA12" s="143"/>
      <c r="AB12" s="143"/>
      <c r="AC12" s="124"/>
      <c r="AD12" s="124"/>
    </row>
    <row r="13" spans="1:30" ht="16.5" customHeight="1" x14ac:dyDescent="0.2">
      <c r="A13" s="659" t="s">
        <v>213</v>
      </c>
      <c r="B13" s="660"/>
      <c r="C13" s="661"/>
      <c r="D13" s="645" t="str">
        <f>O22</f>
        <v>Total Mash Water Vol (gal)</v>
      </c>
      <c r="E13" s="646"/>
      <c r="F13" s="309">
        <f>'4. Water Adjustment'!T17</f>
        <v>3.75</v>
      </c>
      <c r="G13" s="645" t="str">
        <f>P22</f>
        <v>Total Sparge Water Vol (gal)</v>
      </c>
      <c r="H13" s="646"/>
      <c r="I13" s="311">
        <f>'4. Water Adjustment'!U17</f>
        <v>4</v>
      </c>
      <c r="J13" s="129" t="s">
        <v>326</v>
      </c>
      <c r="K13" s="144"/>
      <c r="L13" s="143"/>
      <c r="M13" s="143"/>
      <c r="N13" s="143"/>
      <c r="O13" s="143"/>
      <c r="P13" s="143"/>
      <c r="Q13" s="143"/>
      <c r="R13" s="143"/>
      <c r="S13" s="143"/>
      <c r="T13" s="143"/>
      <c r="U13" s="143"/>
      <c r="V13" s="143"/>
      <c r="W13" s="143"/>
      <c r="X13" s="143"/>
      <c r="Y13" s="143"/>
      <c r="Z13" s="143"/>
      <c r="AA13" s="143"/>
      <c r="AB13" s="143"/>
      <c r="AC13" s="124"/>
      <c r="AD13" s="124"/>
    </row>
    <row r="14" spans="1:30" ht="16.5" customHeight="1" x14ac:dyDescent="0.2">
      <c r="A14" s="662"/>
      <c r="B14" s="663"/>
      <c r="C14" s="664"/>
      <c r="D14" s="670" t="str">
        <f>Q22</f>
        <v>Mash Dilution Vol (gal)</v>
      </c>
      <c r="E14" s="671"/>
      <c r="F14" s="310">
        <f>'4. Water Adjustment'!B9/100*F13</f>
        <v>0</v>
      </c>
      <c r="G14" s="647"/>
      <c r="H14" s="648"/>
      <c r="I14" s="269"/>
      <c r="J14" s="144"/>
      <c r="K14" s="144"/>
      <c r="L14" s="143"/>
      <c r="M14" s="143"/>
      <c r="N14" s="143"/>
      <c r="O14" s="143"/>
      <c r="P14" s="143"/>
      <c r="Q14" s="143"/>
      <c r="R14" s="143"/>
      <c r="S14" s="143"/>
      <c r="T14" s="143"/>
      <c r="U14" s="143"/>
      <c r="V14" s="143"/>
      <c r="W14" s="143"/>
      <c r="X14" s="143"/>
      <c r="Y14" s="143"/>
      <c r="Z14" s="143"/>
      <c r="AA14" s="143"/>
      <c r="AB14" s="143"/>
      <c r="AC14" s="124"/>
      <c r="AD14" s="124"/>
    </row>
    <row r="15" spans="1:30" ht="16.5" customHeight="1" thickBot="1" x14ac:dyDescent="0.25">
      <c r="A15" s="665"/>
      <c r="B15" s="666"/>
      <c r="C15" s="667"/>
      <c r="D15" s="611" t="s">
        <v>205</v>
      </c>
      <c r="E15" s="611"/>
      <c r="F15" s="611"/>
      <c r="G15" s="611" t="s">
        <v>206</v>
      </c>
      <c r="H15" s="611"/>
      <c r="I15" s="649"/>
      <c r="J15" s="144"/>
      <c r="K15" s="144"/>
      <c r="L15" s="143"/>
      <c r="M15" s="143"/>
      <c r="N15" s="143"/>
      <c r="O15" s="143"/>
      <c r="P15" s="143"/>
      <c r="Q15" s="143"/>
      <c r="R15" s="143"/>
      <c r="S15" s="143"/>
      <c r="T15" s="143"/>
      <c r="U15" s="143"/>
      <c r="V15" s="143"/>
      <c r="W15" s="143"/>
      <c r="X15" s="143"/>
      <c r="Y15" s="143"/>
      <c r="Z15" s="143"/>
      <c r="AA15" s="143"/>
      <c r="AB15" s="143"/>
      <c r="AC15" s="124"/>
      <c r="AD15" s="124"/>
    </row>
    <row r="16" spans="1:30" ht="16.350000000000001" customHeight="1" thickBot="1" x14ac:dyDescent="0.25">
      <c r="A16" s="618" t="s">
        <v>387</v>
      </c>
      <c r="B16" s="619"/>
      <c r="C16" s="620"/>
      <c r="D16" s="642" t="s">
        <v>216</v>
      </c>
      <c r="E16" s="643"/>
      <c r="F16" s="644"/>
      <c r="G16" s="642" t="s">
        <v>216</v>
      </c>
      <c r="H16" s="643"/>
      <c r="I16" s="684"/>
      <c r="J16" s="144"/>
      <c r="K16" s="144"/>
      <c r="L16" s="143"/>
      <c r="M16" s="143"/>
      <c r="N16" s="143"/>
      <c r="O16" s="143"/>
      <c r="P16" s="143"/>
      <c r="Q16" s="143"/>
      <c r="R16" s="143"/>
      <c r="S16" s="143"/>
      <c r="T16" s="143"/>
      <c r="U16" s="143"/>
      <c r="V16" s="143"/>
      <c r="W16" s="143"/>
      <c r="X16" s="143"/>
      <c r="Y16" s="143"/>
      <c r="Z16" s="143"/>
      <c r="AA16" s="143"/>
      <c r="AB16" s="143"/>
      <c r="AC16" s="124"/>
      <c r="AD16" s="124"/>
    </row>
    <row r="17" spans="1:30" ht="16.350000000000001" customHeight="1" x14ac:dyDescent="0.2">
      <c r="A17" s="608" t="s">
        <v>384</v>
      </c>
      <c r="B17" s="609"/>
      <c r="C17" s="610"/>
      <c r="D17" s="677">
        <f>'4. Water Adjustment'!I19</f>
        <v>0</v>
      </c>
      <c r="E17" s="678"/>
      <c r="F17" s="679"/>
      <c r="G17" s="677">
        <f>'4. Water Adjustment'!K19</f>
        <v>0</v>
      </c>
      <c r="H17" s="678"/>
      <c r="I17" s="685"/>
      <c r="J17" s="144"/>
      <c r="K17" s="144"/>
      <c r="L17" s="343">
        <v>1</v>
      </c>
      <c r="M17" s="343" t="s">
        <v>282</v>
      </c>
      <c r="N17" s="322" t="s">
        <v>303</v>
      </c>
      <c r="O17" s="322" t="s">
        <v>248</v>
      </c>
      <c r="P17" s="323" t="s">
        <v>249</v>
      </c>
      <c r="Q17" s="323" t="s">
        <v>246</v>
      </c>
      <c r="R17" s="323" t="s">
        <v>247</v>
      </c>
      <c r="S17" s="322"/>
      <c r="T17" s="225"/>
      <c r="U17" s="143"/>
      <c r="V17" s="143"/>
      <c r="W17" s="143"/>
      <c r="X17" s="143"/>
      <c r="Y17" s="143"/>
      <c r="Z17" s="143"/>
      <c r="AA17" s="143"/>
      <c r="AB17" s="143"/>
      <c r="AC17" s="124"/>
      <c r="AD17" s="124"/>
    </row>
    <row r="18" spans="1:30" ht="16.350000000000001" customHeight="1" x14ac:dyDescent="0.2">
      <c r="A18" s="681" t="s">
        <v>276</v>
      </c>
      <c r="B18" s="682"/>
      <c r="C18" s="171"/>
      <c r="D18" s="624">
        <f>'4. Water Adjustment'!I20</f>
        <v>0</v>
      </c>
      <c r="E18" s="625"/>
      <c r="F18" s="630"/>
      <c r="G18" s="624">
        <f>'4. Water Adjustment'!K20</f>
        <v>0</v>
      </c>
      <c r="H18" s="625"/>
      <c r="I18" s="626"/>
      <c r="J18" s="144"/>
      <c r="K18" s="144"/>
      <c r="L18" s="343"/>
      <c r="M18" s="343"/>
      <c r="N18" s="322"/>
      <c r="O18" s="322"/>
      <c r="P18" s="323"/>
      <c r="Q18" s="323"/>
      <c r="R18" s="323"/>
      <c r="S18" s="322"/>
      <c r="T18" s="225"/>
      <c r="U18" s="143"/>
      <c r="V18" s="143"/>
      <c r="W18" s="143"/>
      <c r="X18" s="143"/>
      <c r="Y18" s="143"/>
      <c r="Z18" s="143"/>
      <c r="AA18" s="143"/>
      <c r="AB18" s="143"/>
      <c r="AC18" s="124"/>
      <c r="AD18" s="124"/>
    </row>
    <row r="19" spans="1:30" ht="16.350000000000001" customHeight="1" x14ac:dyDescent="0.2">
      <c r="A19" s="681" t="s">
        <v>385</v>
      </c>
      <c r="B19" s="682"/>
      <c r="C19" s="683"/>
      <c r="D19" s="624">
        <f>'4. Water Adjustment'!I21</f>
        <v>0</v>
      </c>
      <c r="E19" s="625"/>
      <c r="F19" s="630"/>
      <c r="G19" s="624">
        <f>'4. Water Adjustment'!K21</f>
        <v>0</v>
      </c>
      <c r="H19" s="625"/>
      <c r="I19" s="626"/>
      <c r="J19" s="144"/>
      <c r="K19" s="144"/>
      <c r="L19" s="343">
        <v>2</v>
      </c>
      <c r="M19" s="343" t="s">
        <v>202</v>
      </c>
      <c r="N19" s="322" t="s">
        <v>302</v>
      </c>
      <c r="O19" s="322" t="s">
        <v>304</v>
      </c>
      <c r="P19" s="323" t="s">
        <v>305</v>
      </c>
      <c r="Q19" s="323" t="s">
        <v>306</v>
      </c>
      <c r="R19" s="323" t="s">
        <v>307</v>
      </c>
      <c r="S19" s="322"/>
      <c r="T19" s="225"/>
      <c r="U19" s="143"/>
      <c r="V19" s="143"/>
      <c r="W19" s="143"/>
      <c r="X19" s="143"/>
      <c r="Y19" s="143"/>
      <c r="Z19" s="143"/>
      <c r="AA19" s="143"/>
      <c r="AB19" s="143"/>
      <c r="AC19" s="124"/>
      <c r="AD19" s="124"/>
    </row>
    <row r="20" spans="1:30" ht="16.350000000000001" customHeight="1" x14ac:dyDescent="0.2">
      <c r="A20" s="681" t="s">
        <v>279</v>
      </c>
      <c r="B20" s="682"/>
      <c r="C20" s="683"/>
      <c r="D20" s="624">
        <f>'4. Water Adjustment'!I22</f>
        <v>0</v>
      </c>
      <c r="E20" s="625"/>
      <c r="F20" s="630"/>
      <c r="G20" s="624">
        <f>'4. Water Adjustment'!K22</f>
        <v>0</v>
      </c>
      <c r="H20" s="625"/>
      <c r="I20" s="626"/>
      <c r="J20" s="144"/>
      <c r="K20" s="144"/>
      <c r="L20" s="343"/>
      <c r="M20" s="343"/>
      <c r="N20" s="322"/>
      <c r="O20" s="322"/>
      <c r="P20" s="323"/>
      <c r="Q20" s="323"/>
      <c r="R20" s="323"/>
      <c r="S20" s="322"/>
      <c r="T20" s="225"/>
      <c r="U20" s="143"/>
      <c r="V20" s="143"/>
      <c r="W20" s="143"/>
      <c r="X20" s="143"/>
      <c r="Y20" s="143"/>
      <c r="Z20" s="143"/>
      <c r="AA20" s="143"/>
      <c r="AB20" s="143"/>
      <c r="AC20" s="124"/>
      <c r="AD20" s="124"/>
    </row>
    <row r="21" spans="1:30" ht="16.350000000000001" customHeight="1" x14ac:dyDescent="0.2">
      <c r="A21" s="681" t="s">
        <v>107</v>
      </c>
      <c r="B21" s="682"/>
      <c r="C21" s="683"/>
      <c r="D21" s="304"/>
      <c r="E21" s="305">
        <f>'4. Water Adjustment'!I23</f>
        <v>0</v>
      </c>
      <c r="F21" s="306"/>
      <c r="G21" s="304"/>
      <c r="H21" s="305">
        <f>'4. Water Adjustment'!K23</f>
        <v>0</v>
      </c>
      <c r="I21" s="307"/>
      <c r="J21" s="144"/>
      <c r="K21" s="144"/>
      <c r="L21" s="343"/>
      <c r="M21" s="343"/>
      <c r="N21" s="323"/>
      <c r="O21" s="323"/>
      <c r="P21" s="323"/>
      <c r="Q21" s="323"/>
      <c r="R21" s="323"/>
      <c r="S21" s="322"/>
      <c r="T21" s="225"/>
      <c r="U21" s="143"/>
      <c r="V21" s="143"/>
      <c r="W21" s="143"/>
      <c r="X21" s="143"/>
      <c r="Y21" s="143"/>
      <c r="Z21" s="143"/>
      <c r="AA21" s="143"/>
      <c r="AB21" s="143"/>
      <c r="AC21" s="124"/>
      <c r="AD21" s="124"/>
    </row>
    <row r="22" spans="1:30" ht="16.350000000000001" customHeight="1" x14ac:dyDescent="0.2">
      <c r="A22" s="681" t="s">
        <v>275</v>
      </c>
      <c r="B22" s="682"/>
      <c r="C22" s="683"/>
      <c r="D22" s="624">
        <f>'4. Water Adjustment'!I24</f>
        <v>0</v>
      </c>
      <c r="E22" s="625"/>
      <c r="F22" s="630"/>
      <c r="G22" s="624" t="s">
        <v>215</v>
      </c>
      <c r="H22" s="625"/>
      <c r="I22" s="626"/>
      <c r="J22" s="144"/>
      <c r="K22" s="144"/>
      <c r="L22" s="344">
        <f>VLOOKUP('1. Water Report Input'!$H$7,Adjvaritable,1,FALSE)</f>
        <v>1</v>
      </c>
      <c r="M22" s="345" t="str">
        <f>VLOOKUP('1. Water Report Input'!$H$7,Adjvaritable,2,FALSE)</f>
        <v>Gallons</v>
      </c>
      <c r="N22" s="346" t="str">
        <f>VLOOKUP('1. Water Report Input'!$H$7,Adjvaritable,3,FALSE)</f>
        <v>Batch Volume (gallons)</v>
      </c>
      <c r="O22" s="346" t="str">
        <f>VLOOKUP('1. Water Report Input'!$H$7,Adjvaritable,4,FALSE)</f>
        <v>Total Mash Water Vol (gal)</v>
      </c>
      <c r="P22" s="346" t="str">
        <f>VLOOKUP('1. Water Report Input'!$H$7,Adjvaritable,5,FALSE)</f>
        <v>Total Sparge Water Vol (gal)</v>
      </c>
      <c r="Q22" s="344" t="str">
        <f>VLOOKUP('1. Water Report Input'!$H$7,Adjvaritable,6,FALSE)</f>
        <v>Mash Dilution Vol (gal)</v>
      </c>
      <c r="R22" s="345" t="str">
        <f>VLOOKUP('1. Water Report Input'!$H$7,Adjvaritable,7,FALSE)</f>
        <v>Sparge Dilution Vol (gal)</v>
      </c>
      <c r="S22" s="322"/>
      <c r="T22" s="225"/>
      <c r="U22" s="143"/>
      <c r="V22" s="143"/>
      <c r="W22" s="143"/>
      <c r="X22" s="143"/>
      <c r="Y22" s="143"/>
      <c r="Z22" s="143"/>
      <c r="AA22" s="143"/>
      <c r="AB22" s="143"/>
      <c r="AC22" s="124"/>
      <c r="AD22" s="124"/>
    </row>
    <row r="23" spans="1:30" ht="16.350000000000001" customHeight="1" x14ac:dyDescent="0.2">
      <c r="A23" s="681" t="s">
        <v>277</v>
      </c>
      <c r="B23" s="682"/>
      <c r="C23" s="683"/>
      <c r="D23" s="624">
        <f>'4. Water Adjustment'!I25</f>
        <v>0</v>
      </c>
      <c r="E23" s="625"/>
      <c r="F23" s="630"/>
      <c r="G23" s="624" t="s">
        <v>215</v>
      </c>
      <c r="H23" s="625"/>
      <c r="I23" s="626"/>
      <c r="J23" s="144"/>
      <c r="K23" s="144"/>
      <c r="L23" s="124"/>
      <c r="M23" s="124"/>
      <c r="N23" s="124"/>
      <c r="O23" s="124"/>
      <c r="P23" s="124"/>
      <c r="Q23" s="124"/>
      <c r="R23" s="124"/>
      <c r="S23" s="124"/>
      <c r="T23" s="143"/>
      <c r="U23" s="143"/>
      <c r="V23" s="143"/>
      <c r="W23" s="143"/>
      <c r="X23" s="143"/>
      <c r="Y23" s="143"/>
      <c r="Z23" s="143"/>
      <c r="AA23" s="143"/>
      <c r="AB23" s="143"/>
      <c r="AC23" s="124"/>
      <c r="AD23" s="124"/>
    </row>
    <row r="24" spans="1:30" ht="16.350000000000001" customHeight="1" thickBot="1" x14ac:dyDescent="0.25">
      <c r="A24" s="612" t="s">
        <v>278</v>
      </c>
      <c r="B24" s="613"/>
      <c r="C24" s="614"/>
      <c r="D24" s="627">
        <f>'4. Water Adjustment'!I26</f>
        <v>0</v>
      </c>
      <c r="E24" s="628"/>
      <c r="F24" s="629"/>
      <c r="G24" s="627" t="s">
        <v>215</v>
      </c>
      <c r="H24" s="628"/>
      <c r="I24" s="631"/>
      <c r="J24" s="144"/>
      <c r="K24" s="144"/>
      <c r="L24" s="124"/>
      <c r="M24" s="124"/>
      <c r="N24" s="124"/>
      <c r="O24" s="124"/>
      <c r="P24" s="124"/>
      <c r="Q24" s="124"/>
      <c r="R24" s="124"/>
      <c r="S24" s="124"/>
      <c r="T24" s="143"/>
      <c r="U24" s="143"/>
      <c r="V24" s="143"/>
      <c r="W24" s="143"/>
      <c r="X24" s="143"/>
      <c r="Y24" s="143"/>
      <c r="Z24" s="143"/>
      <c r="AA24" s="143"/>
      <c r="AB24" s="143"/>
      <c r="AC24" s="124"/>
      <c r="AD24" s="124"/>
    </row>
    <row r="25" spans="1:30" ht="16.350000000000001" customHeight="1" thickBot="1" x14ac:dyDescent="0.25">
      <c r="A25" s="618" t="s">
        <v>368</v>
      </c>
      <c r="B25" s="619"/>
      <c r="C25" s="620"/>
      <c r="D25" s="621"/>
      <c r="E25" s="622"/>
      <c r="F25" s="622"/>
      <c r="G25" s="621"/>
      <c r="H25" s="622"/>
      <c r="I25" s="623"/>
      <c r="J25" s="144"/>
      <c r="K25" s="144"/>
      <c r="L25" s="124"/>
      <c r="M25" s="124"/>
      <c r="N25" s="124"/>
      <c r="O25" s="124"/>
      <c r="P25" s="124"/>
      <c r="Q25" s="124"/>
      <c r="R25" s="124"/>
      <c r="S25" s="124"/>
      <c r="T25" s="143"/>
      <c r="U25" s="143"/>
      <c r="V25" s="143"/>
      <c r="W25" s="143"/>
      <c r="X25" s="143"/>
      <c r="Y25" s="143"/>
      <c r="Z25" s="143"/>
      <c r="AA25" s="143"/>
      <c r="AB25" s="143"/>
      <c r="AC25" s="124"/>
      <c r="AD25" s="124"/>
    </row>
    <row r="26" spans="1:30" ht="16.350000000000001" customHeight="1" x14ac:dyDescent="0.2">
      <c r="A26" s="192" t="str">
        <f>IF('4. Water Adjustment'!T$35=0," ",'4. Water Adjustment'!U35)</f>
        <v>Lactic</v>
      </c>
      <c r="B26" s="193">
        <f>IF('4. Water Adjustment'!T35=0," ",'4. Water Adjustment'!D29)</f>
        <v>88</v>
      </c>
      <c r="C26" s="194" t="str">
        <f>IF('4. Water Adjustment'!T35=0," ",'4. Water Adjustment'!U8)</f>
        <v>%</v>
      </c>
      <c r="D26" s="195"/>
      <c r="E26" s="308">
        <f>'4. Water Adjustment'!I29</f>
        <v>0</v>
      </c>
      <c r="F26" s="196" t="str">
        <f>IF('4. Water Adjustment'!H28="total acid addition (ml)","(ml)","(grams)")</f>
        <v>(ml)</v>
      </c>
      <c r="G26" s="615"/>
      <c r="H26" s="616"/>
      <c r="I26" s="617"/>
      <c r="J26" s="144"/>
      <c r="K26" s="144"/>
      <c r="L26" s="124"/>
      <c r="M26" s="124"/>
      <c r="N26" s="124"/>
      <c r="O26" s="124"/>
      <c r="P26" s="124"/>
      <c r="Q26" s="124"/>
      <c r="R26" s="124"/>
      <c r="S26" s="124"/>
      <c r="T26" s="143"/>
      <c r="U26" s="143"/>
      <c r="V26" s="143"/>
      <c r="W26" s="143"/>
      <c r="X26" s="143"/>
      <c r="Y26" s="143"/>
      <c r="Z26" s="143"/>
      <c r="AA26" s="143"/>
      <c r="AB26" s="143"/>
      <c r="AC26" s="124"/>
      <c r="AD26" s="124"/>
    </row>
    <row r="27" spans="1:30" ht="16.350000000000001" customHeight="1" thickBot="1" x14ac:dyDescent="0.25">
      <c r="A27" s="197" t="str">
        <f>'2. Sparge Acidification'!B50</f>
        <v>Phosphoric</v>
      </c>
      <c r="B27" s="198">
        <f>'2. Sparge Acidification'!B9</f>
        <v>1</v>
      </c>
      <c r="C27" s="199" t="str">
        <f>'2. Sparge Acidification'!B57</f>
        <v>%</v>
      </c>
      <c r="D27" s="672"/>
      <c r="E27" s="673"/>
      <c r="F27" s="674"/>
      <c r="G27" s="200"/>
      <c r="H27" s="292">
        <f>IF('2. Sparge Acidification'!B7=1,'5. Adjustment Summary'!I13*'2. Sparge Acidification'!B12,'2. Sparge Acidification'!B12)</f>
        <v>1.444291802944436</v>
      </c>
      <c r="I27" s="201" t="str">
        <f>IF('4. Water Adjustment'!J30="total acid addition (ml)","(ml)","(grams)")</f>
        <v>(ml)</v>
      </c>
      <c r="J27" s="144"/>
      <c r="K27" s="144"/>
      <c r="L27" s="124"/>
      <c r="M27" s="124"/>
      <c r="N27" s="124"/>
      <c r="O27" s="220"/>
      <c r="P27" s="220"/>
      <c r="Q27" s="124"/>
      <c r="R27" s="124" t="s">
        <v>399</v>
      </c>
      <c r="S27" s="124"/>
      <c r="T27" s="143"/>
      <c r="U27" s="143"/>
      <c r="V27" s="143"/>
      <c r="W27" s="143"/>
      <c r="X27" s="143"/>
      <c r="Y27" s="143"/>
      <c r="Z27" s="143"/>
      <c r="AA27" s="143"/>
      <c r="AB27" s="143"/>
      <c r="AC27" s="124"/>
      <c r="AD27" s="124"/>
    </row>
    <row r="28" spans="1:30" ht="16.350000000000001" customHeight="1" x14ac:dyDescent="0.2">
      <c r="A28" s="219"/>
      <c r="B28" s="217"/>
      <c r="C28" s="218"/>
      <c r="D28" s="186"/>
      <c r="E28" s="204"/>
      <c r="F28" s="186"/>
      <c r="G28" s="203"/>
      <c r="H28" s="186"/>
      <c r="I28" s="98"/>
      <c r="J28" s="144"/>
      <c r="K28" s="144"/>
      <c r="L28" s="124"/>
      <c r="M28" s="124"/>
      <c r="N28" s="124"/>
      <c r="O28" s="220"/>
      <c r="P28" s="220"/>
      <c r="Q28" s="124"/>
      <c r="R28" s="124"/>
      <c r="S28" s="124"/>
      <c r="T28" s="143"/>
      <c r="U28" s="143"/>
      <c r="V28" s="143"/>
      <c r="W28" s="143"/>
      <c r="X28" s="143"/>
      <c r="Y28" s="143"/>
      <c r="Z28" s="143"/>
      <c r="AA28" s="143"/>
      <c r="AB28" s="143"/>
      <c r="AC28" s="124"/>
      <c r="AD28" s="124"/>
    </row>
    <row r="29" spans="1:30" ht="57.75" customHeight="1" x14ac:dyDescent="0.25">
      <c r="A29" s="607" t="s">
        <v>573</v>
      </c>
      <c r="B29" s="607"/>
      <c r="C29" s="607"/>
      <c r="D29" s="607"/>
      <c r="E29" s="607"/>
      <c r="F29" s="607"/>
      <c r="G29" s="607"/>
      <c r="H29" s="607"/>
      <c r="I29" s="607"/>
      <c r="J29" s="144"/>
      <c r="K29" s="144"/>
      <c r="L29" s="124"/>
      <c r="M29" s="124"/>
      <c r="N29" s="124"/>
      <c r="O29" s="220"/>
      <c r="P29" s="220"/>
      <c r="Q29" s="124"/>
      <c r="R29" s="124"/>
      <c r="S29" s="124"/>
      <c r="T29" s="143"/>
      <c r="U29" s="143"/>
      <c r="V29" s="143"/>
      <c r="W29" s="143"/>
      <c r="X29" s="143"/>
      <c r="Y29" s="143"/>
      <c r="Z29" s="143"/>
      <c r="AA29" s="143"/>
      <c r="AB29" s="143"/>
      <c r="AC29" s="124"/>
      <c r="AD29" s="124"/>
    </row>
    <row r="30" spans="1:30" ht="16.350000000000001" customHeight="1" x14ac:dyDescent="0.2">
      <c r="A30" s="418" t="s">
        <v>559</v>
      </c>
      <c r="J30" s="144"/>
      <c r="K30" s="144"/>
      <c r="L30" s="143"/>
      <c r="M30" s="143"/>
      <c r="N30" s="143"/>
      <c r="O30" s="224"/>
      <c r="P30" s="224"/>
      <c r="Q30" s="143"/>
      <c r="R30" s="143"/>
      <c r="S30" s="143"/>
      <c r="T30" s="143"/>
      <c r="U30" s="143"/>
      <c r="V30" s="143"/>
      <c r="W30" s="143"/>
      <c r="X30" s="143"/>
      <c r="Y30" s="143"/>
      <c r="Z30" s="143"/>
      <c r="AA30" s="143"/>
      <c r="AB30" s="143"/>
      <c r="AC30" s="124"/>
      <c r="AD30" s="124"/>
    </row>
    <row r="31" spans="1:30" ht="16.350000000000001" customHeight="1" x14ac:dyDescent="0.2">
      <c r="A31" s="126" t="s">
        <v>325</v>
      </c>
      <c r="J31" s="144"/>
      <c r="K31" s="144"/>
      <c r="L31" s="143"/>
      <c r="M31" s="143"/>
      <c r="N31" s="224"/>
      <c r="O31" s="224"/>
      <c r="P31" s="224"/>
      <c r="Q31" s="143"/>
      <c r="R31" s="143"/>
      <c r="S31" s="143"/>
      <c r="T31" s="143"/>
      <c r="U31" s="143"/>
      <c r="V31" s="143"/>
      <c r="W31" s="143"/>
      <c r="X31" s="143"/>
      <c r="Y31" s="143"/>
      <c r="Z31" s="143"/>
      <c r="AA31" s="143"/>
      <c r="AB31" s="143"/>
      <c r="AC31" s="124"/>
      <c r="AD31" s="124"/>
    </row>
    <row r="32" spans="1:30" ht="16.350000000000001" customHeight="1" x14ac:dyDescent="0.2">
      <c r="J32" s="144"/>
      <c r="K32" s="144"/>
      <c r="L32" s="143"/>
      <c r="M32" s="143"/>
      <c r="N32" s="143"/>
      <c r="O32" s="143"/>
      <c r="P32" s="143"/>
      <c r="Q32" s="143"/>
      <c r="R32" s="143"/>
      <c r="S32" s="143"/>
      <c r="T32" s="143"/>
      <c r="U32" s="143"/>
      <c r="V32" s="143"/>
      <c r="W32" s="143"/>
      <c r="X32" s="143"/>
      <c r="Y32" s="143"/>
      <c r="Z32" s="143"/>
      <c r="AA32" s="143"/>
      <c r="AB32" s="143"/>
      <c r="AC32" s="124"/>
      <c r="AD32" s="124"/>
    </row>
    <row r="33" spans="10:37" ht="16.350000000000001" customHeight="1" x14ac:dyDescent="0.2">
      <c r="J33" s="144"/>
      <c r="K33" s="144"/>
      <c r="L33" s="143"/>
      <c r="M33" s="143"/>
      <c r="N33" s="143"/>
      <c r="O33" s="224"/>
      <c r="P33" s="84"/>
      <c r="Q33" s="143"/>
      <c r="R33" s="143"/>
      <c r="S33" s="143"/>
      <c r="T33" s="143"/>
      <c r="U33" s="143"/>
      <c r="V33" s="143"/>
      <c r="W33" s="143"/>
      <c r="X33" s="143"/>
      <c r="Y33" s="143"/>
      <c r="Z33" s="143"/>
      <c r="AA33" s="143"/>
      <c r="AB33" s="143"/>
      <c r="AC33" s="124"/>
      <c r="AD33" s="124"/>
    </row>
    <row r="34" spans="10:37" ht="47.45" customHeight="1" x14ac:dyDescent="0.2">
      <c r="J34" s="144"/>
      <c r="K34" s="144"/>
      <c r="L34" s="143"/>
      <c r="M34" s="143"/>
      <c r="N34" s="143"/>
      <c r="O34" s="143"/>
      <c r="P34" s="143"/>
      <c r="Q34" s="143"/>
      <c r="R34" s="143"/>
      <c r="S34" s="143"/>
      <c r="T34" s="143"/>
      <c r="U34" s="143"/>
      <c r="V34" s="143"/>
      <c r="W34" s="143"/>
      <c r="X34" s="143"/>
      <c r="Y34" s="143"/>
      <c r="Z34" s="143"/>
      <c r="AA34" s="143"/>
      <c r="AB34" s="143"/>
      <c r="AC34" s="124"/>
      <c r="AD34" s="124"/>
    </row>
    <row r="35" spans="10:37" ht="18" customHeight="1" x14ac:dyDescent="0.2">
      <c r="J35" s="143"/>
      <c r="K35" s="143"/>
      <c r="L35" s="143"/>
      <c r="M35" s="143"/>
      <c r="N35" s="143"/>
      <c r="O35" s="143"/>
      <c r="P35" s="143"/>
      <c r="Q35" s="143"/>
      <c r="R35" s="143"/>
      <c r="S35" s="143"/>
      <c r="T35" s="143"/>
      <c r="U35" s="143"/>
      <c r="V35" s="143"/>
      <c r="W35" s="143"/>
      <c r="X35" s="143"/>
      <c r="Y35" s="143"/>
      <c r="Z35" s="143"/>
      <c r="AA35" s="143"/>
      <c r="AB35" s="143"/>
      <c r="AC35" s="124"/>
      <c r="AD35" s="124"/>
    </row>
    <row r="36" spans="10:37" x14ac:dyDescent="0.2">
      <c r="J36" s="143"/>
      <c r="K36" s="143"/>
      <c r="L36" s="143"/>
      <c r="M36" s="143"/>
      <c r="N36" s="143"/>
      <c r="O36" s="143"/>
      <c r="P36" s="143"/>
      <c r="Q36" s="143"/>
      <c r="R36" s="143"/>
      <c r="S36" s="143"/>
      <c r="T36" s="143"/>
      <c r="U36" s="143"/>
      <c r="V36" s="143"/>
      <c r="W36" s="143"/>
      <c r="X36" s="143"/>
      <c r="Y36" s="143"/>
      <c r="Z36" s="143"/>
      <c r="AA36" s="143"/>
      <c r="AB36" s="143"/>
      <c r="AC36" s="124"/>
      <c r="AD36" s="124"/>
    </row>
    <row r="37" spans="10:37" x14ac:dyDescent="0.2">
      <c r="J37" s="143"/>
      <c r="K37" s="143"/>
      <c r="L37" s="143"/>
      <c r="M37" s="143"/>
      <c r="N37" s="143"/>
      <c r="O37" s="143"/>
      <c r="P37" s="143"/>
      <c r="Q37" s="143"/>
      <c r="R37" s="143"/>
      <c r="S37" s="143"/>
      <c r="T37" s="143"/>
      <c r="U37" s="143"/>
      <c r="V37" s="143"/>
      <c r="W37" s="143"/>
      <c r="X37" s="143"/>
      <c r="Y37" s="143"/>
      <c r="Z37" s="143"/>
      <c r="AA37" s="143"/>
      <c r="AB37" s="143"/>
      <c r="AC37" s="124"/>
      <c r="AD37" s="124"/>
    </row>
    <row r="38" spans="10:37" x14ac:dyDescent="0.2">
      <c r="J38" s="143"/>
      <c r="K38" s="143"/>
      <c r="L38" s="143"/>
      <c r="M38" s="143"/>
      <c r="N38" s="143"/>
      <c r="O38" s="143"/>
      <c r="P38" s="143"/>
      <c r="Q38" s="143"/>
      <c r="R38" s="143"/>
      <c r="S38" s="143"/>
      <c r="T38" s="143"/>
      <c r="U38" s="143"/>
      <c r="V38" s="143"/>
      <c r="W38" s="143"/>
      <c r="X38" s="143"/>
      <c r="Y38" s="143"/>
      <c r="Z38" s="143"/>
      <c r="AA38" s="143"/>
      <c r="AB38" s="143"/>
      <c r="AC38" s="124"/>
      <c r="AD38" s="124"/>
    </row>
    <row r="39" spans="10:37" x14ac:dyDescent="0.2">
      <c r="J39" s="143"/>
      <c r="K39" s="143"/>
      <c r="L39" s="143"/>
      <c r="M39" s="143"/>
      <c r="N39" s="143"/>
      <c r="O39" s="143"/>
      <c r="P39" s="143"/>
      <c r="Q39" s="143"/>
      <c r="R39" s="143"/>
      <c r="S39" s="143"/>
      <c r="T39" s="143"/>
      <c r="U39" s="143"/>
      <c r="V39" s="143"/>
      <c r="W39" s="143"/>
      <c r="X39" s="143"/>
      <c r="Y39" s="143"/>
      <c r="Z39" s="143"/>
      <c r="AA39" s="143"/>
      <c r="AB39" s="143"/>
      <c r="AC39" s="124"/>
      <c r="AD39" s="124"/>
      <c r="AE39" s="124"/>
      <c r="AF39" s="124"/>
      <c r="AG39" s="124"/>
      <c r="AH39" s="124"/>
      <c r="AI39" s="124"/>
      <c r="AJ39" s="124"/>
      <c r="AK39" s="124"/>
    </row>
    <row r="40" spans="10:37" x14ac:dyDescent="0.2">
      <c r="J40" s="143"/>
      <c r="K40" s="143"/>
      <c r="L40" s="143"/>
      <c r="M40" s="143"/>
      <c r="N40" s="143"/>
      <c r="O40" s="143"/>
      <c r="P40" s="143"/>
      <c r="Q40" s="143"/>
      <c r="R40" s="143"/>
      <c r="S40" s="143"/>
      <c r="T40" s="143"/>
      <c r="U40" s="143"/>
      <c r="V40" s="143"/>
      <c r="W40" s="143"/>
      <c r="X40" s="143"/>
      <c r="Y40" s="143"/>
      <c r="Z40" s="143"/>
      <c r="AA40" s="143"/>
      <c r="AB40" s="143"/>
      <c r="AC40" s="124"/>
      <c r="AD40" s="124"/>
      <c r="AE40" s="124"/>
      <c r="AF40" s="124"/>
      <c r="AG40" s="124"/>
      <c r="AH40" s="124"/>
      <c r="AI40" s="124"/>
      <c r="AJ40" s="124"/>
      <c r="AK40" s="124"/>
    </row>
    <row r="41" spans="10:37" x14ac:dyDescent="0.2">
      <c r="J41" s="143"/>
      <c r="K41" s="143"/>
      <c r="L41" s="143"/>
      <c r="M41" s="143"/>
      <c r="N41" s="143"/>
      <c r="O41" s="143"/>
      <c r="P41" s="143"/>
      <c r="Q41" s="143"/>
      <c r="R41" s="143"/>
      <c r="S41" s="143"/>
      <c r="T41" s="143"/>
      <c r="U41" s="144"/>
      <c r="V41" s="144"/>
      <c r="W41" s="144"/>
      <c r="X41" s="144"/>
      <c r="Y41" s="144"/>
      <c r="Z41" s="144"/>
      <c r="AA41" s="144"/>
      <c r="AB41" s="144"/>
      <c r="AC41" s="123"/>
      <c r="AD41" s="123"/>
      <c r="AE41" s="123"/>
      <c r="AF41" s="123"/>
      <c r="AG41" s="123"/>
      <c r="AH41" s="123"/>
      <c r="AI41" s="123"/>
      <c r="AJ41" s="123"/>
      <c r="AK41" s="123"/>
    </row>
    <row r="42" spans="10:37" x14ac:dyDescent="0.2">
      <c r="J42" s="143"/>
      <c r="K42" s="143"/>
      <c r="L42" s="143"/>
      <c r="M42" s="143"/>
      <c r="N42" s="143"/>
      <c r="O42" s="143"/>
      <c r="P42" s="143"/>
      <c r="Q42" s="143"/>
      <c r="R42" s="143"/>
      <c r="S42" s="143"/>
      <c r="T42" s="143"/>
      <c r="U42" s="144"/>
      <c r="V42" s="144"/>
      <c r="W42" s="144"/>
      <c r="X42" s="144"/>
      <c r="Y42" s="144"/>
      <c r="Z42" s="144"/>
      <c r="AA42" s="144"/>
      <c r="AB42" s="144"/>
      <c r="AC42" s="123"/>
      <c r="AD42" s="123"/>
      <c r="AE42" s="123"/>
      <c r="AF42" s="123"/>
      <c r="AG42" s="123"/>
      <c r="AH42" s="123"/>
      <c r="AI42" s="123"/>
      <c r="AJ42" s="123"/>
      <c r="AK42" s="123"/>
    </row>
    <row r="43" spans="10:37" x14ac:dyDescent="0.2">
      <c r="J43" s="143"/>
      <c r="K43" s="143"/>
      <c r="L43" s="143"/>
      <c r="M43" s="143"/>
      <c r="N43" s="143"/>
      <c r="O43" s="143"/>
      <c r="P43" s="143"/>
      <c r="Q43" s="143"/>
      <c r="R43" s="143"/>
      <c r="S43" s="262"/>
      <c r="T43" s="262"/>
      <c r="U43" s="144"/>
      <c r="V43" s="144"/>
      <c r="W43" s="144"/>
      <c r="X43" s="144"/>
      <c r="Y43" s="144"/>
      <c r="Z43" s="144"/>
      <c r="AA43" s="144"/>
      <c r="AB43" s="144"/>
      <c r="AC43" s="123"/>
      <c r="AD43" s="123"/>
      <c r="AE43" s="123"/>
      <c r="AF43" s="123"/>
      <c r="AG43" s="123"/>
      <c r="AH43" s="123"/>
      <c r="AI43" s="123"/>
      <c r="AJ43" s="123"/>
      <c r="AK43" s="123"/>
    </row>
    <row r="44" spans="10:37" x14ac:dyDescent="0.2">
      <c r="J44" s="143"/>
      <c r="K44" s="143"/>
      <c r="L44" s="143"/>
      <c r="M44" s="143"/>
      <c r="N44" s="143"/>
      <c r="O44" s="143"/>
      <c r="P44" s="143"/>
      <c r="Q44" s="143"/>
      <c r="R44" s="143"/>
      <c r="S44" s="143"/>
      <c r="T44" s="143"/>
      <c r="U44" s="144"/>
      <c r="V44" s="144"/>
      <c r="W44" s="144"/>
      <c r="X44" s="144"/>
      <c r="Y44" s="144"/>
      <c r="Z44" s="144"/>
      <c r="AA44" s="144"/>
      <c r="AB44" s="144"/>
      <c r="AC44" s="123"/>
      <c r="AD44" s="123"/>
      <c r="AE44" s="123"/>
      <c r="AF44" s="123"/>
      <c r="AG44" s="123"/>
      <c r="AH44" s="123"/>
      <c r="AI44" s="123"/>
      <c r="AJ44" s="123"/>
      <c r="AK44" s="123"/>
    </row>
    <row r="45" spans="10:37" x14ac:dyDescent="0.2">
      <c r="J45" s="143"/>
      <c r="K45" s="143"/>
      <c r="L45" s="143"/>
      <c r="M45" s="143"/>
      <c r="N45" s="143"/>
      <c r="O45" s="143"/>
      <c r="P45" s="143"/>
      <c r="Q45" s="143"/>
      <c r="R45" s="143"/>
      <c r="S45" s="143"/>
      <c r="T45" s="143"/>
      <c r="U45" s="144"/>
      <c r="V45" s="144"/>
      <c r="W45" s="144"/>
      <c r="X45" s="144"/>
      <c r="Y45" s="144"/>
      <c r="Z45" s="144"/>
      <c r="AA45" s="144"/>
      <c r="AB45" s="144"/>
      <c r="AC45" s="123"/>
      <c r="AD45" s="123"/>
      <c r="AE45" s="123"/>
      <c r="AF45" s="123"/>
      <c r="AG45" s="123"/>
      <c r="AH45" s="123"/>
      <c r="AI45" s="123"/>
      <c r="AJ45" s="123"/>
      <c r="AK45" s="123"/>
    </row>
    <row r="46" spans="10:37" x14ac:dyDescent="0.2">
      <c r="J46" s="143"/>
      <c r="K46" s="143"/>
      <c r="L46" s="143"/>
      <c r="M46" s="143"/>
      <c r="N46" s="143"/>
      <c r="O46" s="143"/>
      <c r="P46" s="143"/>
      <c r="Q46" s="143"/>
      <c r="R46" s="143"/>
      <c r="S46" s="143"/>
      <c r="T46" s="143"/>
      <c r="U46" s="144"/>
      <c r="V46" s="144"/>
      <c r="W46" s="263"/>
      <c r="X46" s="144"/>
      <c r="Y46" s="144"/>
      <c r="Z46" s="144"/>
      <c r="AA46" s="144"/>
      <c r="AB46" s="144"/>
      <c r="AC46" s="123"/>
      <c r="AD46" s="123"/>
      <c r="AE46" s="123"/>
      <c r="AF46" s="123"/>
      <c r="AG46" s="123"/>
      <c r="AH46" s="123"/>
      <c r="AI46" s="123"/>
      <c r="AJ46" s="123"/>
      <c r="AK46" s="123"/>
    </row>
    <row r="47" spans="10:37" x14ac:dyDescent="0.2">
      <c r="J47" s="143"/>
      <c r="K47" s="143"/>
      <c r="L47" s="143"/>
      <c r="M47" s="143"/>
      <c r="N47" s="143"/>
      <c r="O47" s="143"/>
      <c r="P47" s="143"/>
      <c r="Q47" s="143"/>
      <c r="R47" s="143"/>
      <c r="S47" s="143"/>
      <c r="T47" s="143"/>
      <c r="U47" s="144"/>
      <c r="V47" s="144"/>
      <c r="W47" s="264"/>
      <c r="X47" s="144"/>
      <c r="Y47" s="144"/>
      <c r="Z47" s="144"/>
      <c r="AA47" s="144"/>
      <c r="AB47" s="144"/>
      <c r="AC47" s="123"/>
      <c r="AD47" s="123"/>
      <c r="AE47" s="123"/>
      <c r="AF47" s="123"/>
      <c r="AG47" s="123"/>
      <c r="AH47" s="123"/>
      <c r="AI47" s="123"/>
      <c r="AJ47" s="123"/>
      <c r="AK47" s="123"/>
    </row>
    <row r="48" spans="10:37" x14ac:dyDescent="0.2">
      <c r="J48" s="143"/>
      <c r="K48" s="143"/>
      <c r="L48" s="143"/>
      <c r="M48" s="143"/>
      <c r="N48" s="143"/>
      <c r="O48" s="143"/>
      <c r="P48" s="143"/>
      <c r="Q48" s="143"/>
      <c r="R48" s="143"/>
      <c r="S48" s="143"/>
      <c r="T48" s="143"/>
      <c r="U48" s="144"/>
      <c r="V48" s="144"/>
      <c r="W48" s="144"/>
      <c r="X48" s="144"/>
      <c r="Y48" s="144"/>
      <c r="Z48" s="144"/>
      <c r="AA48" s="144"/>
      <c r="AB48" s="144"/>
      <c r="AC48" s="123"/>
      <c r="AD48" s="123"/>
      <c r="AE48" s="123"/>
      <c r="AF48" s="123"/>
      <c r="AG48" s="123"/>
      <c r="AH48" s="123"/>
      <c r="AI48" s="123"/>
      <c r="AJ48" s="123"/>
      <c r="AK48" s="123"/>
    </row>
    <row r="49" spans="10:38" x14ac:dyDescent="0.2">
      <c r="J49" s="143"/>
      <c r="K49" s="143"/>
      <c r="L49" s="143"/>
      <c r="M49" s="143"/>
      <c r="N49" s="143"/>
      <c r="O49" s="143"/>
      <c r="P49" s="143"/>
      <c r="Q49" s="143"/>
      <c r="R49" s="143"/>
      <c r="S49" s="143"/>
      <c r="T49" s="143"/>
      <c r="U49" s="144"/>
      <c r="V49" s="144"/>
      <c r="W49" s="144"/>
      <c r="X49" s="144"/>
      <c r="Y49" s="144"/>
      <c r="Z49" s="144"/>
      <c r="AA49" s="144"/>
      <c r="AB49" s="144"/>
      <c r="AC49" s="123"/>
      <c r="AD49" s="123"/>
      <c r="AE49" s="123"/>
      <c r="AF49" s="123"/>
      <c r="AG49" s="123"/>
      <c r="AH49" s="123"/>
      <c r="AI49" s="123"/>
      <c r="AJ49" s="123"/>
      <c r="AK49" s="123"/>
      <c r="AL49" s="202"/>
    </row>
    <row r="50" spans="10:38" x14ac:dyDescent="0.2">
      <c r="J50" s="143"/>
      <c r="K50" s="143"/>
      <c r="L50" s="143"/>
      <c r="M50" s="143"/>
      <c r="N50" s="143"/>
      <c r="O50" s="143"/>
      <c r="P50" s="143"/>
      <c r="Q50" s="143"/>
      <c r="R50" s="143"/>
      <c r="S50" s="143"/>
      <c r="T50" s="143"/>
      <c r="U50" s="144"/>
      <c r="V50" s="144"/>
      <c r="W50" s="144"/>
      <c r="X50" s="144"/>
      <c r="Y50" s="144"/>
      <c r="Z50" s="144"/>
      <c r="AA50" s="144"/>
      <c r="AB50" s="144"/>
      <c r="AC50" s="123"/>
      <c r="AD50" s="123"/>
      <c r="AE50" s="123"/>
      <c r="AF50" s="123"/>
      <c r="AG50" s="123"/>
      <c r="AH50" s="123"/>
      <c r="AI50" s="123"/>
      <c r="AJ50" s="123"/>
      <c r="AK50" s="123"/>
    </row>
    <row r="51" spans="10:38" x14ac:dyDescent="0.2">
      <c r="J51" s="143"/>
      <c r="K51" s="143"/>
      <c r="L51" s="143"/>
      <c r="M51" s="143"/>
      <c r="N51" s="143"/>
      <c r="O51" s="143"/>
      <c r="P51" s="143"/>
      <c r="Q51" s="143"/>
      <c r="R51" s="143"/>
      <c r="S51" s="143"/>
      <c r="T51" s="143"/>
      <c r="U51" s="144"/>
      <c r="V51" s="144"/>
      <c r="W51" s="144"/>
      <c r="X51" s="144"/>
      <c r="Y51" s="144"/>
      <c r="Z51" s="144"/>
      <c r="AA51" s="144"/>
      <c r="AB51" s="144"/>
      <c r="AC51" s="123"/>
      <c r="AD51" s="123"/>
      <c r="AE51" s="123"/>
      <c r="AF51" s="123"/>
      <c r="AG51" s="123"/>
      <c r="AH51" s="123"/>
      <c r="AI51" s="123"/>
      <c r="AJ51" s="123"/>
      <c r="AK51" s="123"/>
    </row>
    <row r="52" spans="10:38" x14ac:dyDescent="0.2">
      <c r="J52" s="143"/>
      <c r="K52" s="143"/>
      <c r="L52" s="143"/>
      <c r="M52" s="143"/>
      <c r="N52" s="143"/>
      <c r="O52" s="143"/>
      <c r="P52" s="143"/>
      <c r="Q52" s="143"/>
      <c r="R52" s="143"/>
      <c r="S52" s="143"/>
      <c r="T52" s="143"/>
      <c r="U52" s="144"/>
      <c r="V52" s="144"/>
      <c r="W52" s="144"/>
      <c r="X52" s="144"/>
      <c r="Y52" s="144"/>
      <c r="Z52" s="144"/>
      <c r="AA52" s="144"/>
      <c r="AB52" s="144"/>
      <c r="AC52" s="123"/>
      <c r="AD52" s="123"/>
      <c r="AE52" s="123"/>
      <c r="AF52" s="123"/>
      <c r="AG52" s="123"/>
      <c r="AH52" s="123"/>
      <c r="AI52" s="123"/>
      <c r="AJ52" s="123"/>
      <c r="AK52" s="123"/>
    </row>
    <row r="53" spans="10:38" x14ac:dyDescent="0.2">
      <c r="J53" s="143"/>
      <c r="K53" s="143"/>
      <c r="L53" s="143"/>
      <c r="M53" s="143"/>
      <c r="N53" s="143"/>
      <c r="O53" s="143"/>
      <c r="P53" s="143"/>
      <c r="Q53" s="143"/>
      <c r="R53" s="143"/>
      <c r="S53" s="143"/>
      <c r="T53" s="143"/>
      <c r="U53" s="144"/>
      <c r="V53" s="144"/>
      <c r="W53" s="144"/>
      <c r="X53" s="144"/>
      <c r="Y53" s="144"/>
      <c r="Z53" s="144"/>
      <c r="AA53" s="144"/>
      <c r="AB53" s="144"/>
      <c r="AC53" s="123"/>
      <c r="AD53" s="123"/>
      <c r="AE53" s="123"/>
      <c r="AF53" s="123"/>
      <c r="AG53" s="123"/>
      <c r="AH53" s="123"/>
      <c r="AI53" s="123"/>
      <c r="AJ53" s="123"/>
      <c r="AK53" s="123"/>
    </row>
    <row r="54" spans="10:38" x14ac:dyDescent="0.2">
      <c r="J54" s="143"/>
      <c r="K54" s="143"/>
      <c r="L54" s="143"/>
      <c r="M54" s="143"/>
      <c r="N54" s="143"/>
      <c r="O54" s="143"/>
      <c r="P54" s="143"/>
      <c r="Q54" s="143"/>
      <c r="R54" s="143"/>
      <c r="S54" s="143"/>
      <c r="T54" s="143"/>
      <c r="U54" s="144"/>
      <c r="V54" s="144"/>
      <c r="W54" s="144"/>
      <c r="X54" s="144"/>
      <c r="Y54" s="144"/>
      <c r="Z54" s="144"/>
      <c r="AA54" s="144"/>
      <c r="AB54" s="144"/>
      <c r="AC54" s="123"/>
      <c r="AD54" s="123"/>
      <c r="AE54" s="123"/>
      <c r="AF54" s="123"/>
      <c r="AG54" s="123"/>
      <c r="AH54" s="123"/>
      <c r="AI54" s="123"/>
      <c r="AJ54" s="123"/>
      <c r="AK54" s="123"/>
    </row>
    <row r="55" spans="10:38" x14ac:dyDescent="0.2">
      <c r="J55" s="143"/>
      <c r="K55" s="143"/>
      <c r="L55" s="143"/>
      <c r="M55" s="143"/>
      <c r="N55" s="143"/>
      <c r="O55" s="143"/>
      <c r="P55" s="143"/>
      <c r="Q55" s="143"/>
      <c r="R55" s="143"/>
      <c r="S55" s="143"/>
      <c r="T55" s="143"/>
      <c r="U55" s="144"/>
      <c r="V55" s="144"/>
      <c r="W55" s="144"/>
      <c r="X55" s="144"/>
      <c r="Y55" s="144"/>
      <c r="Z55" s="144"/>
      <c r="AA55" s="144"/>
      <c r="AB55" s="144"/>
      <c r="AC55" s="123"/>
      <c r="AD55" s="123"/>
      <c r="AE55" s="123"/>
      <c r="AF55" s="123"/>
      <c r="AG55" s="123"/>
      <c r="AH55" s="123"/>
      <c r="AI55" s="123"/>
      <c r="AJ55" s="123"/>
      <c r="AK55" s="123"/>
    </row>
    <row r="56" spans="10:38" x14ac:dyDescent="0.2">
      <c r="J56" s="143"/>
      <c r="K56" s="143"/>
      <c r="L56" s="143"/>
      <c r="M56" s="143"/>
      <c r="N56" s="143"/>
      <c r="O56" s="143"/>
      <c r="P56" s="143"/>
      <c r="Q56" s="143"/>
      <c r="R56" s="143"/>
      <c r="S56" s="143"/>
      <c r="T56" s="143"/>
      <c r="U56" s="144"/>
      <c r="V56" s="144"/>
      <c r="W56" s="144"/>
      <c r="X56" s="144"/>
      <c r="Y56" s="144"/>
      <c r="Z56" s="144"/>
      <c r="AA56" s="144"/>
      <c r="AB56" s="144"/>
      <c r="AC56" s="123"/>
      <c r="AD56" s="123"/>
      <c r="AE56" s="123"/>
      <c r="AF56" s="123"/>
      <c r="AG56" s="123"/>
      <c r="AH56" s="123"/>
      <c r="AI56" s="123"/>
      <c r="AJ56" s="123"/>
      <c r="AK56" s="123"/>
    </row>
    <row r="57" spans="10:38" x14ac:dyDescent="0.2">
      <c r="J57" s="143"/>
      <c r="K57" s="143"/>
      <c r="L57" s="143"/>
      <c r="M57" s="143"/>
      <c r="N57" s="143"/>
      <c r="O57" s="143"/>
      <c r="P57" s="143"/>
      <c r="Q57" s="143"/>
      <c r="R57" s="143"/>
      <c r="S57" s="143"/>
      <c r="T57" s="143"/>
      <c r="U57" s="144"/>
      <c r="V57" s="144"/>
      <c r="W57" s="144"/>
      <c r="X57" s="144"/>
      <c r="Y57" s="144"/>
      <c r="Z57" s="144"/>
      <c r="AA57" s="144"/>
      <c r="AB57" s="144"/>
      <c r="AC57" s="123"/>
      <c r="AD57" s="123"/>
      <c r="AE57" s="123"/>
      <c r="AF57" s="123"/>
      <c r="AG57" s="123"/>
      <c r="AH57" s="123"/>
      <c r="AI57" s="123"/>
      <c r="AJ57" s="123"/>
      <c r="AK57" s="123"/>
    </row>
    <row r="58" spans="10:38" x14ac:dyDescent="0.2">
      <c r="U58" s="123"/>
      <c r="V58" s="123"/>
      <c r="W58" s="123"/>
      <c r="X58" s="123"/>
      <c r="Y58" s="123"/>
      <c r="Z58" s="123"/>
      <c r="AA58" s="123"/>
      <c r="AB58" s="123"/>
      <c r="AC58" s="123"/>
      <c r="AD58" s="123"/>
      <c r="AE58" s="123"/>
      <c r="AF58" s="123"/>
      <c r="AG58" s="123"/>
      <c r="AH58" s="123"/>
      <c r="AI58" s="123"/>
      <c r="AJ58" s="123"/>
      <c r="AK58" s="123"/>
    </row>
    <row r="59" spans="10:38" x14ac:dyDescent="0.2">
      <c r="U59" s="123"/>
      <c r="V59" s="123"/>
      <c r="W59" s="123"/>
      <c r="X59" s="123"/>
      <c r="Y59" s="123"/>
      <c r="Z59" s="123"/>
      <c r="AA59" s="123"/>
      <c r="AB59" s="123"/>
      <c r="AC59" s="123"/>
      <c r="AD59" s="123"/>
      <c r="AE59" s="123"/>
      <c r="AF59" s="123"/>
      <c r="AG59" s="123"/>
      <c r="AH59" s="123"/>
      <c r="AI59" s="123"/>
      <c r="AJ59" s="123"/>
      <c r="AK59" s="123"/>
    </row>
    <row r="60" spans="10:38" x14ac:dyDescent="0.2">
      <c r="U60" s="123"/>
      <c r="V60" s="123"/>
      <c r="W60" s="123"/>
      <c r="X60" s="123"/>
      <c r="Y60" s="123"/>
      <c r="Z60" s="123"/>
      <c r="AA60" s="123"/>
      <c r="AB60" s="123"/>
      <c r="AC60" s="123"/>
      <c r="AD60" s="123"/>
      <c r="AE60" s="123"/>
      <c r="AF60" s="123"/>
      <c r="AG60" s="123"/>
      <c r="AH60" s="123"/>
      <c r="AI60" s="123"/>
      <c r="AJ60" s="123"/>
      <c r="AK60" s="123"/>
    </row>
    <row r="61" spans="10:38" x14ac:dyDescent="0.2">
      <c r="U61" s="123"/>
      <c r="V61" s="123"/>
      <c r="W61" s="123"/>
      <c r="X61" s="123"/>
      <c r="Y61" s="123"/>
      <c r="Z61" s="123"/>
      <c r="AA61" s="123"/>
      <c r="AB61" s="123"/>
      <c r="AC61" s="123"/>
      <c r="AD61" s="123"/>
      <c r="AE61" s="123"/>
      <c r="AF61" s="123"/>
      <c r="AG61" s="123"/>
      <c r="AH61" s="123"/>
      <c r="AI61" s="123"/>
      <c r="AJ61" s="123"/>
      <c r="AK61" s="123"/>
    </row>
    <row r="62" spans="10:38" x14ac:dyDescent="0.2">
      <c r="U62" s="123"/>
      <c r="V62" s="123"/>
      <c r="W62" s="123"/>
      <c r="X62" s="123"/>
      <c r="Y62" s="123"/>
      <c r="Z62" s="123"/>
      <c r="AA62" s="123"/>
      <c r="AB62" s="123"/>
      <c r="AC62" s="123"/>
      <c r="AD62" s="123"/>
      <c r="AE62" s="123"/>
      <c r="AF62" s="123"/>
      <c r="AG62" s="123"/>
      <c r="AH62" s="123"/>
      <c r="AI62" s="123"/>
      <c r="AJ62" s="123"/>
      <c r="AK62" s="123"/>
    </row>
    <row r="63" spans="10:38" x14ac:dyDescent="0.2">
      <c r="U63" s="123"/>
      <c r="V63" s="123"/>
      <c r="W63" s="123"/>
      <c r="X63" s="123"/>
      <c r="Y63" s="123"/>
      <c r="Z63" s="123"/>
      <c r="AA63" s="123"/>
      <c r="AB63" s="123"/>
      <c r="AC63" s="123"/>
      <c r="AD63" s="123"/>
      <c r="AE63" s="123"/>
      <c r="AF63" s="123"/>
      <c r="AG63" s="123"/>
      <c r="AH63" s="123"/>
      <c r="AI63" s="123"/>
      <c r="AJ63" s="123"/>
      <c r="AK63" s="123"/>
    </row>
    <row r="64" spans="10:38" x14ac:dyDescent="0.2">
      <c r="U64" s="123"/>
      <c r="V64" s="123"/>
      <c r="W64" s="123"/>
      <c r="X64" s="123"/>
      <c r="Y64" s="123"/>
      <c r="Z64" s="123"/>
      <c r="AA64" s="123"/>
      <c r="AB64" s="123"/>
      <c r="AC64" s="123"/>
      <c r="AD64" s="123"/>
      <c r="AE64" s="123"/>
      <c r="AF64" s="123"/>
      <c r="AG64" s="123"/>
      <c r="AH64" s="123"/>
      <c r="AI64" s="123"/>
      <c r="AJ64" s="123"/>
      <c r="AK64" s="123"/>
    </row>
    <row r="65" spans="1:37" x14ac:dyDescent="0.2">
      <c r="U65" s="123"/>
      <c r="V65" s="123"/>
      <c r="W65" s="123"/>
      <c r="X65" s="123"/>
      <c r="Y65" s="123"/>
      <c r="Z65" s="123"/>
      <c r="AA65" s="123"/>
      <c r="AB65" s="123"/>
      <c r="AC65" s="123"/>
      <c r="AD65" s="123"/>
      <c r="AE65" s="123"/>
      <c r="AF65" s="123"/>
      <c r="AG65" s="123"/>
      <c r="AH65" s="123"/>
      <c r="AI65" s="123"/>
      <c r="AJ65" s="123"/>
      <c r="AK65" s="123"/>
    </row>
    <row r="66" spans="1:37" x14ac:dyDescent="0.2">
      <c r="U66" s="123"/>
      <c r="V66" s="123"/>
      <c r="W66" s="123"/>
      <c r="X66" s="123"/>
      <c r="Y66" s="123"/>
      <c r="Z66" s="123"/>
      <c r="AA66" s="123"/>
      <c r="AB66" s="123"/>
      <c r="AC66" s="123"/>
      <c r="AD66" s="123"/>
      <c r="AE66" s="123"/>
      <c r="AF66" s="123"/>
      <c r="AG66" s="123"/>
      <c r="AH66" s="123"/>
      <c r="AI66" s="123"/>
      <c r="AJ66" s="123"/>
      <c r="AK66" s="123"/>
    </row>
    <row r="67" spans="1:37" x14ac:dyDescent="0.2">
      <c r="U67" s="123"/>
      <c r="V67" s="123"/>
      <c r="W67" s="123"/>
      <c r="X67" s="123"/>
      <c r="Y67" s="123"/>
      <c r="Z67" s="123"/>
      <c r="AA67" s="123"/>
      <c r="AB67" s="123"/>
      <c r="AC67" s="123"/>
      <c r="AD67" s="123"/>
      <c r="AE67" s="123"/>
      <c r="AF67" s="123"/>
      <c r="AG67" s="123"/>
      <c r="AH67" s="123"/>
      <c r="AI67" s="123"/>
      <c r="AJ67" s="123"/>
      <c r="AK67" s="123"/>
    </row>
    <row r="68" spans="1:37" x14ac:dyDescent="0.2">
      <c r="U68" s="123"/>
      <c r="V68" s="123"/>
      <c r="W68" s="123"/>
      <c r="X68" s="123"/>
      <c r="Y68" s="123"/>
      <c r="Z68" s="123"/>
      <c r="AA68" s="123"/>
      <c r="AB68" s="123"/>
      <c r="AC68" s="123"/>
      <c r="AD68" s="123"/>
      <c r="AE68" s="123"/>
      <c r="AF68" s="123"/>
      <c r="AG68" s="123"/>
      <c r="AH68" s="123"/>
      <c r="AI68" s="123"/>
      <c r="AJ68" s="123"/>
      <c r="AK68" s="123"/>
    </row>
    <row r="69" spans="1:37" x14ac:dyDescent="0.2">
      <c r="U69" s="123"/>
      <c r="V69" s="123"/>
      <c r="W69" s="123"/>
      <c r="X69" s="123"/>
      <c r="Y69" s="123"/>
      <c r="Z69" s="123"/>
      <c r="AA69" s="123"/>
      <c r="AB69" s="123"/>
      <c r="AC69" s="123"/>
      <c r="AD69" s="123"/>
      <c r="AE69" s="123"/>
      <c r="AF69" s="123"/>
      <c r="AG69" s="123"/>
      <c r="AH69" s="123"/>
      <c r="AI69" s="123"/>
      <c r="AJ69" s="123"/>
      <c r="AK69" s="123"/>
    </row>
    <row r="70" spans="1:37" x14ac:dyDescent="0.2">
      <c r="U70" s="123"/>
      <c r="V70" s="123"/>
      <c r="W70" s="123"/>
      <c r="X70" s="123"/>
      <c r="Y70" s="123"/>
      <c r="Z70" s="123"/>
      <c r="AA70" s="123"/>
      <c r="AB70" s="123"/>
      <c r="AC70" s="123"/>
      <c r="AD70" s="123"/>
      <c r="AE70" s="123"/>
      <c r="AF70" s="123"/>
      <c r="AG70" s="123"/>
      <c r="AH70" s="123"/>
      <c r="AI70" s="123"/>
      <c r="AJ70" s="123"/>
      <c r="AK70" s="123"/>
    </row>
    <row r="71" spans="1:37" x14ac:dyDescent="0.2">
      <c r="U71" s="123"/>
      <c r="V71" s="123"/>
      <c r="W71" s="123"/>
      <c r="X71" s="123"/>
      <c r="Y71" s="123"/>
      <c r="Z71" s="123"/>
      <c r="AA71" s="123"/>
      <c r="AB71" s="123"/>
      <c r="AC71" s="123"/>
      <c r="AD71" s="123"/>
      <c r="AE71" s="123"/>
      <c r="AF71" s="123"/>
      <c r="AG71" s="123"/>
      <c r="AH71" s="123"/>
      <c r="AI71" s="123"/>
      <c r="AJ71" s="123"/>
      <c r="AK71" s="123"/>
    </row>
    <row r="72" spans="1:37" x14ac:dyDescent="0.2">
      <c r="U72" s="123"/>
      <c r="V72" s="123"/>
      <c r="W72" s="123"/>
      <c r="X72" s="123"/>
      <c r="Y72" s="123"/>
      <c r="Z72" s="123"/>
      <c r="AA72" s="123"/>
      <c r="AB72" s="123"/>
      <c r="AC72" s="123"/>
      <c r="AD72" s="123"/>
      <c r="AE72" s="123"/>
      <c r="AF72" s="123"/>
      <c r="AG72" s="123"/>
      <c r="AH72" s="123"/>
      <c r="AI72" s="123"/>
      <c r="AJ72" s="123"/>
      <c r="AK72" s="123"/>
    </row>
    <row r="73" spans="1:37" x14ac:dyDescent="0.2">
      <c r="U73" s="123"/>
      <c r="V73" s="123"/>
      <c r="W73" s="123"/>
      <c r="X73" s="123"/>
      <c r="Y73" s="123"/>
      <c r="Z73" s="123"/>
      <c r="AA73" s="123"/>
      <c r="AB73" s="123"/>
      <c r="AC73" s="123"/>
      <c r="AD73" s="123"/>
      <c r="AE73" s="123"/>
      <c r="AF73" s="123"/>
      <c r="AG73" s="123"/>
      <c r="AH73" s="123"/>
      <c r="AI73" s="123"/>
      <c r="AJ73" s="123"/>
      <c r="AK73" s="123"/>
    </row>
    <row r="74" spans="1:37" x14ac:dyDescent="0.2">
      <c r="U74" s="123"/>
      <c r="V74" s="123"/>
      <c r="W74" s="123"/>
      <c r="X74" s="123"/>
      <c r="Y74" s="123"/>
      <c r="Z74" s="123"/>
      <c r="AA74" s="123"/>
      <c r="AB74" s="123"/>
      <c r="AC74" s="123"/>
      <c r="AD74" s="123"/>
      <c r="AE74" s="123"/>
      <c r="AF74" s="123"/>
      <c r="AG74" s="123"/>
      <c r="AH74" s="123"/>
      <c r="AI74" s="123"/>
      <c r="AJ74" s="123"/>
      <c r="AK74" s="123"/>
    </row>
    <row r="75" spans="1:37" x14ac:dyDescent="0.2">
      <c r="A75" s="124"/>
      <c r="B75" s="124"/>
      <c r="C75" s="124"/>
      <c r="D75" s="124"/>
      <c r="E75" s="124"/>
      <c r="F75" s="124"/>
      <c r="G75" s="124"/>
      <c r="H75" s="124"/>
      <c r="I75" s="124"/>
      <c r="U75" s="123"/>
      <c r="V75" s="123"/>
      <c r="W75" s="123"/>
      <c r="X75" s="123"/>
      <c r="Y75" s="123"/>
      <c r="Z75" s="123"/>
      <c r="AA75" s="123"/>
      <c r="AB75" s="123"/>
      <c r="AC75" s="123"/>
      <c r="AD75" s="123"/>
      <c r="AE75" s="123"/>
      <c r="AF75" s="123"/>
      <c r="AG75" s="123"/>
      <c r="AH75" s="123"/>
      <c r="AI75" s="123"/>
      <c r="AJ75" s="123"/>
      <c r="AK75" s="123"/>
    </row>
    <row r="76" spans="1:37" x14ac:dyDescent="0.2">
      <c r="U76" s="123"/>
      <c r="V76" s="123"/>
      <c r="W76" s="123"/>
      <c r="X76" s="123"/>
      <c r="Y76" s="123"/>
      <c r="Z76" s="123"/>
      <c r="AA76" s="123"/>
      <c r="AB76" s="123"/>
      <c r="AC76" s="123"/>
      <c r="AD76" s="123"/>
      <c r="AE76" s="123"/>
      <c r="AF76" s="123"/>
      <c r="AG76" s="123"/>
      <c r="AH76" s="123"/>
      <c r="AI76" s="123"/>
      <c r="AJ76" s="123"/>
      <c r="AK76" s="123"/>
    </row>
    <row r="77" spans="1:37" x14ac:dyDescent="0.2">
      <c r="U77" s="123"/>
      <c r="V77" s="123"/>
      <c r="W77" s="123"/>
      <c r="X77" s="123"/>
      <c r="Y77" s="123"/>
      <c r="Z77" s="123"/>
      <c r="AA77" s="123"/>
      <c r="AB77" s="123"/>
      <c r="AC77" s="123"/>
      <c r="AD77" s="123"/>
      <c r="AE77" s="123"/>
      <c r="AF77" s="123"/>
      <c r="AG77" s="123"/>
      <c r="AH77" s="123"/>
      <c r="AI77" s="123"/>
      <c r="AJ77" s="123"/>
      <c r="AK77" s="123"/>
    </row>
    <row r="78" spans="1:37" x14ac:dyDescent="0.2">
      <c r="U78" s="123"/>
      <c r="V78" s="123"/>
      <c r="W78" s="123"/>
      <c r="X78" s="123"/>
      <c r="Y78" s="123"/>
      <c r="Z78" s="123"/>
      <c r="AA78" s="123"/>
      <c r="AB78" s="123"/>
      <c r="AC78" s="123"/>
      <c r="AD78" s="123"/>
      <c r="AE78" s="123"/>
      <c r="AF78" s="123"/>
      <c r="AG78" s="123"/>
      <c r="AH78" s="123"/>
      <c r="AI78" s="123"/>
      <c r="AJ78" s="123"/>
      <c r="AK78" s="123"/>
    </row>
    <row r="79" spans="1:37" x14ac:dyDescent="0.2">
      <c r="U79" s="124"/>
      <c r="V79" s="124"/>
      <c r="W79" s="124"/>
      <c r="X79" s="124"/>
      <c r="Y79" s="124"/>
      <c r="Z79" s="124"/>
      <c r="AA79" s="124"/>
      <c r="AB79" s="124"/>
      <c r="AC79" s="124"/>
      <c r="AD79" s="124"/>
      <c r="AE79" s="124"/>
      <c r="AF79" s="124"/>
      <c r="AG79" s="124"/>
      <c r="AH79" s="124"/>
      <c r="AI79" s="124"/>
      <c r="AJ79" s="124"/>
      <c r="AK79" s="124"/>
    </row>
    <row r="80" spans="1:37" x14ac:dyDescent="0.2">
      <c r="J80" s="124"/>
      <c r="K80" s="124"/>
      <c r="L80" s="124"/>
      <c r="M80" s="124"/>
      <c r="N80" s="124"/>
      <c r="O80" s="124"/>
      <c r="P80" s="124"/>
      <c r="Q80" s="124"/>
    </row>
  </sheetData>
  <sheetProtection algorithmName="SHA-512" hashValue="cbPJRszF+ojRadcdXpt0PV2l6pTwkRDiAHta0U2F6XMbV+d5TIiRNKRk2RhvIOp7TfL7kg2YIh+4a1q7AiYv1g==" saltValue="AfiXLOF11p6gNcuAZtdJBg==" spinCount="100000" sheet="1" objects="1" scenarios="1" formatColumns="0" formatRows="0" selectLockedCells="1"/>
  <mergeCells count="54">
    <mergeCell ref="A20:C20"/>
    <mergeCell ref="A18:B18"/>
    <mergeCell ref="A19:C19"/>
    <mergeCell ref="A22:C22"/>
    <mergeCell ref="A21:C21"/>
    <mergeCell ref="G11:H11"/>
    <mergeCell ref="D17:F17"/>
    <mergeCell ref="D19:F19"/>
    <mergeCell ref="D10:E10"/>
    <mergeCell ref="G22:I22"/>
    <mergeCell ref="D22:F22"/>
    <mergeCell ref="D18:F18"/>
    <mergeCell ref="G16:I16"/>
    <mergeCell ref="G17:I17"/>
    <mergeCell ref="G19:I19"/>
    <mergeCell ref="D20:F20"/>
    <mergeCell ref="A5:C5"/>
    <mergeCell ref="D11:E11"/>
    <mergeCell ref="D16:F16"/>
    <mergeCell ref="D13:E13"/>
    <mergeCell ref="G14:H14"/>
    <mergeCell ref="G15:I15"/>
    <mergeCell ref="G10:H10"/>
    <mergeCell ref="A7:C7"/>
    <mergeCell ref="A16:C16"/>
    <mergeCell ref="A6:C6"/>
    <mergeCell ref="A9:C9"/>
    <mergeCell ref="A10:B10"/>
    <mergeCell ref="A13:C15"/>
    <mergeCell ref="A11:B11"/>
    <mergeCell ref="D14:E14"/>
    <mergeCell ref="G13:H13"/>
    <mergeCell ref="D1:I1"/>
    <mergeCell ref="A1:C1"/>
    <mergeCell ref="A2:B2"/>
    <mergeCell ref="C2:I2"/>
    <mergeCell ref="A3:D3"/>
    <mergeCell ref="E3:I3"/>
    <mergeCell ref="A29:I29"/>
    <mergeCell ref="A17:C17"/>
    <mergeCell ref="D15:F15"/>
    <mergeCell ref="A24:C24"/>
    <mergeCell ref="G26:I26"/>
    <mergeCell ref="A25:C25"/>
    <mergeCell ref="G25:I25"/>
    <mergeCell ref="D25:F25"/>
    <mergeCell ref="G18:I18"/>
    <mergeCell ref="D24:F24"/>
    <mergeCell ref="D23:F23"/>
    <mergeCell ref="G23:I23"/>
    <mergeCell ref="G24:I24"/>
    <mergeCell ref="G20:I20"/>
    <mergeCell ref="D27:F27"/>
    <mergeCell ref="A23:C23"/>
  </mergeCells>
  <phoneticPr fontId="0" type="noConversion"/>
  <conditionalFormatting sqref="C11">
    <cfRule type="expression" dxfId="4" priority="8" stopIfTrue="1">
      <formula>C11&lt;5.15</formula>
    </cfRule>
    <cfRule type="expression" dxfId="3" priority="9" stopIfTrue="1">
      <formula>C11&gt;5.75</formula>
    </cfRule>
    <cfRule type="expression" dxfId="2" priority="10">
      <formula>C11&gt;5.55</formula>
    </cfRule>
    <cfRule type="expression" dxfId="1" priority="11">
      <formula>C11&gt;5.25</formula>
    </cfRule>
    <cfRule type="expression" dxfId="0" priority="12">
      <formula>C11&lt;5.25</formula>
    </cfRule>
  </conditionalFormatting>
  <hyperlinks>
    <hyperlink ref="D1" r:id="rId1" display="Check for Bru'n Water Updates"/>
    <hyperlink ref="D1:E1" r:id="rId2" display="Link to Bru'n Water website for updates and to donate"/>
    <hyperlink ref="D1:I1" r:id="rId3" display="Link to Bru'n Water website for updates and to donate"/>
  </hyperlinks>
  <printOptions horizontalCentered="1" verticalCentered="1"/>
  <pageMargins left="0.3" right="0.3" top="0.25" bottom="0.25" header="0.3" footer="0.21"/>
  <pageSetup scale="87" orientation="portrait" horizontalDpi="200" verticalDpi="200" r:id="rId4"/>
  <headerFooter>
    <oddFooter>&amp;LBru'n Water 
v.1.24&amp;R9/17/18</oddFooter>
  </headerFooter>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34</vt:i4>
      </vt:variant>
    </vt:vector>
  </HeadingPairs>
  <TitlesOfParts>
    <vt:vector size="40" baseType="lpstr">
      <vt:lpstr>0. Instructions</vt:lpstr>
      <vt:lpstr>1. Water Report Input</vt:lpstr>
      <vt:lpstr>2. Sparge Acidification</vt:lpstr>
      <vt:lpstr>3. Grain Bill Input</vt:lpstr>
      <vt:lpstr>4. Water Adjustment</vt:lpstr>
      <vt:lpstr>5. Adjustment Summary</vt:lpstr>
      <vt:lpstr>Acid_Required</vt:lpstr>
      <vt:lpstr>Acid_Required2</vt:lpstr>
      <vt:lpstr>aciditytable</vt:lpstr>
      <vt:lpstr>acidtable</vt:lpstr>
      <vt:lpstr>acidtable2</vt:lpstr>
      <vt:lpstr>Adjvaritable</vt:lpstr>
      <vt:lpstr>alkalinity</vt:lpstr>
      <vt:lpstr>colortable</vt:lpstr>
      <vt:lpstr>Desired_pH</vt:lpstr>
      <vt:lpstr>dilution</vt:lpstr>
      <vt:lpstr>frac</vt:lpstr>
      <vt:lpstr>frac2</vt:lpstr>
      <vt:lpstr>mashtable</vt:lpstr>
      <vt:lpstr>mashvaritable</vt:lpstr>
      <vt:lpstr>mg_required</vt:lpstr>
      <vt:lpstr>mM_required</vt:lpstr>
      <vt:lpstr>mm_required2</vt:lpstr>
      <vt:lpstr>'0. Instructions'!Print_Area</vt:lpstr>
      <vt:lpstr>'1. Water Report Input'!Print_Area</vt:lpstr>
      <vt:lpstr>'2. Sparge Acidification'!Print_Area</vt:lpstr>
      <vt:lpstr>'3. Grain Bill Input'!Print_Area</vt:lpstr>
      <vt:lpstr>'4. Water Adjustment'!Print_Area</vt:lpstr>
      <vt:lpstr>'5. Adjustment Summary'!Print_Area</vt:lpstr>
      <vt:lpstr>profiles</vt:lpstr>
      <vt:lpstr>sprgvaritable</vt:lpstr>
      <vt:lpstr>Start_pH</vt:lpstr>
      <vt:lpstr>strengthtable</vt:lpstr>
      <vt:lpstr>strtable</vt:lpstr>
      <vt:lpstr>strtable2</vt:lpstr>
      <vt:lpstr>table</vt:lpstr>
      <vt:lpstr>table2</vt:lpstr>
      <vt:lpstr>thresholdtable</vt:lpstr>
      <vt:lpstr>watervaritable</vt:lpstr>
      <vt:lpstr>watervaritable2</vt:lpstr>
    </vt:vector>
  </TitlesOfParts>
  <Company>Bru'n Solutions,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Bru'n Water 1.17</dc:title>
  <dc:subject>Brewing Water</dc:subject>
  <dc:creator>Martin Brungard</dc:creator>
  <cp:keywords>water profile pH mineral acid brewing mashing sparge</cp:keywords>
  <dc:description>Copyright 2016 Martin Brungard</dc:description>
  <cp:lastModifiedBy>Martin Brungard</cp:lastModifiedBy>
  <cp:lastPrinted>2018-09-17T23:26:25Z</cp:lastPrinted>
  <dcterms:created xsi:type="dcterms:W3CDTF">2000-07-06T14:21:11Z</dcterms:created>
  <dcterms:modified xsi:type="dcterms:W3CDTF">2020-08-20T21:04:06Z</dcterms:modified>
</cp:coreProperties>
</file>