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xl/embeddings/oleObject3.bin" ContentType="application/vnd.openxmlformats-officedocument.oleObject"/>
  <Override PartName="/xl/embeddings/oleObject4.bin" ContentType="application/vnd.openxmlformats-officedocument.oleObject"/>
  <Override PartName="/xl/embeddings/oleObject5.bin" ContentType="application/vnd.openxmlformats-officedocument.oleObject"/>
  <Override PartName="/xl/embeddings/oleObject6.bin" ContentType="application/vnd.openxmlformats-officedocument.oleObject"/>
  <Override PartName="/xl/embeddings/oleObject7.bin" ContentType="application/vnd.openxmlformats-officedocument.oleObject"/>
  <Override PartName="/xl/embeddings/oleObject8.bin" ContentType="application/vnd.openxmlformats-officedocument.oleObject"/>
  <Override PartName="/xl/embeddings/oleObject9.bin" ContentType="application/vnd.openxmlformats-officedocument.oleObject"/>
  <Override PartName="/xl/embeddings/oleObject10.bin" ContentType="application/vnd.openxmlformats-officedocument.oleObject"/>
  <Override PartName="/xl/embeddings/oleObject11.bin" ContentType="application/vnd.openxmlformats-officedocument.oleObject"/>
  <Override PartName="/xl/embeddings/oleObject12.bin" ContentType="application/vnd.openxmlformats-officedocument.oleObject"/>
  <Override PartName="/xl/embeddings/oleObject13.bin" ContentType="application/vnd.openxmlformats-officedocument.oleObject"/>
  <Override PartName="/xl/embeddings/oleObject14.bin" ContentType="application/vnd.openxmlformats-officedocument.oleObject"/>
  <Override PartName="/xl/embeddings/oleObject15.bin" ContentType="application/vnd.openxmlformats-officedocument.oleObject"/>
  <Override PartName="/xl/embeddings/oleObject16.bin" ContentType="application/vnd.openxmlformats-officedocument.oleObject"/>
  <Override PartName="/xl/embeddings/oleObject17.bin" ContentType="application/vnd.openxmlformats-officedocument.oleObject"/>
  <Override PartName="/xl/embeddings/oleObject18.bin" ContentType="application/vnd.openxmlformats-officedocument.oleObject"/>
  <Override PartName="/xl/embeddings/oleObject19.bin" ContentType="application/vnd.openxmlformats-officedocument.oleObject"/>
  <Override PartName="/xl/embeddings/oleObject20.bin" ContentType="application/vnd.openxmlformats-officedocument.oleObject"/>
  <Override PartName="/xl/embeddings/oleObject21.bin" ContentType="application/vnd.openxmlformats-officedocument.oleObject"/>
  <Override PartName="/xl/embeddings/oleObject22.bin" ContentType="application/vnd.openxmlformats-officedocument.oleObject"/>
  <Override PartName="/xl/embeddings/oleObject23.bin" ContentType="application/vnd.openxmlformats-officedocument.oleObject"/>
  <Override PartName="/xl/embeddings/oleObject24.bin" ContentType="application/vnd.openxmlformats-officedocument.oleObject"/>
  <Override PartName="/xl/embeddings/oleObject25.bin" ContentType="application/vnd.openxmlformats-officedocument.oleObject"/>
  <Override PartName="/xl/embeddings/oleObject26.bin" ContentType="application/vnd.openxmlformats-officedocument.oleObject"/>
  <Override PartName="/xl/embeddings/oleObject27.bin" ContentType="application/vnd.openxmlformats-officedocument.oleObject"/>
  <Override PartName="/xl/embeddings/oleObject28.bin" ContentType="application/vnd.openxmlformats-officedocument.oleObject"/>
  <Override PartName="/xl/embeddings/oleObject29.bin" ContentType="application/vnd.openxmlformats-officedocument.oleObject"/>
  <Override PartName="/xl/embeddings/oleObject30.bin" ContentType="application/vnd.openxmlformats-officedocument.oleObject"/>
  <Override PartName="/xl/embeddings/oleObject31.bin" ContentType="application/vnd.openxmlformats-officedocument.oleObject"/>
  <Override PartName="/xl/embeddings/oleObject32.bin" ContentType="application/vnd.openxmlformats-officedocument.oleObject"/>
  <Override PartName="/xl/embeddings/oleObject33.bin" ContentType="application/vnd.openxmlformats-officedocument.oleObject"/>
  <Override PartName="/xl/embeddings/oleObject34.bin" ContentType="application/vnd.openxmlformats-officedocument.oleObject"/>
  <Override PartName="/xl/embeddings/oleObject35.bin" ContentType="application/vnd.openxmlformats-officedocument.oleObject"/>
  <Override PartName="/xl/embeddings/oleObject36.bin" ContentType="application/vnd.openxmlformats-officedocument.oleObject"/>
  <Override PartName="/xl/embeddings/oleObject37.bin" ContentType="application/vnd.openxmlformats-officedocument.oleObject"/>
  <Override PartName="/xl/embeddings/oleObject38.bin" ContentType="application/vnd.openxmlformats-officedocument.oleObject"/>
  <Override PartName="/xl/embeddings/oleObject39.bin" ContentType="application/vnd.openxmlformats-officedocument.oleObject"/>
  <Override PartName="/xl/embeddings/oleObject40.bin" ContentType="application/vnd.openxmlformats-officedocument.oleObject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embeddings/oleObject41.bin" ContentType="application/vnd.openxmlformats-officedocument.oleObject"/>
  <Override PartName="/xl/embeddings/oleObject42.bin" ContentType="application/vnd.openxmlformats-officedocument.oleObject"/>
  <Override PartName="/xl/embeddings/oleObject43.bin" ContentType="application/vnd.openxmlformats-officedocument.oleObject"/>
  <Override PartName="/xl/embeddings/oleObject44.bin" ContentType="application/vnd.openxmlformats-officedocument.oleObject"/>
  <Override PartName="/xl/embeddings/oleObject45.bin" ContentType="application/vnd.openxmlformats-officedocument.oleObject"/>
  <Override PartName="/xl/embeddings/oleObject46.bin" ContentType="application/vnd.openxmlformats-officedocument.oleObject"/>
  <Override PartName="/xl/embeddings/oleObject47.bin" ContentType="application/vnd.openxmlformats-officedocument.oleObject"/>
  <Override PartName="/xl/embeddings/oleObject48.bin" ContentType="application/vnd.openxmlformats-officedocument.oleObject"/>
  <Override PartName="/xl/embeddings/oleObject49.bin" ContentType="application/vnd.openxmlformats-officedocument.oleObject"/>
  <Override PartName="/xl/embeddings/oleObject50.bin" ContentType="application/vnd.openxmlformats-officedocument.oleObject"/>
  <Override PartName="/xl/embeddings/oleObject51.bin" ContentType="application/vnd.openxmlformats-officedocument.oleObject"/>
  <Override PartName="/xl/embeddings/oleObject52.bin" ContentType="application/vnd.openxmlformats-officedocument.oleObject"/>
  <Override PartName="/xl/embeddings/oleObject53.bin" ContentType="application/vnd.openxmlformats-officedocument.oleObject"/>
  <Override PartName="/xl/embeddings/oleObject54.bin" ContentType="application/vnd.openxmlformats-officedocument.oleObject"/>
  <Override PartName="/xl/embeddings/oleObject55.bin" ContentType="application/vnd.openxmlformats-officedocument.oleObject"/>
  <Override PartName="/xl/embeddings/oleObject56.bin" ContentType="application/vnd.openxmlformats-officedocument.oleObject"/>
  <Override PartName="/xl/embeddings/oleObject57.bin" ContentType="application/vnd.openxmlformats-officedocument.oleObject"/>
  <Override PartName="/xl/embeddings/oleObject58.bin" ContentType="application/vnd.openxmlformats-officedocument.oleObject"/>
  <Override PartName="/xl/embeddings/oleObject59.bin" ContentType="application/vnd.openxmlformats-officedocument.oleObject"/>
  <Override PartName="/xl/embeddings/oleObject60.bin" ContentType="application/vnd.openxmlformats-officedocument.oleObject"/>
  <Override PartName="/xl/embeddings/oleObject61.bin" ContentType="application/vnd.openxmlformats-officedocument.oleObject"/>
  <Override PartName="/xl/embeddings/oleObject62.bin" ContentType="application/vnd.openxmlformats-officedocument.oleObject"/>
  <Override PartName="/xl/embeddings/oleObject63.bin" ContentType="application/vnd.openxmlformats-officedocument.oleObject"/>
  <Override PartName="/xl/embeddings/oleObject64.bin" ContentType="application/vnd.openxmlformats-officedocument.oleObject"/>
  <Override PartName="/xl/embeddings/oleObject65.bin" ContentType="application/vnd.openxmlformats-officedocument.oleObject"/>
  <Override PartName="/xl/embeddings/oleObject66.bin" ContentType="application/vnd.openxmlformats-officedocument.oleObject"/>
  <Override PartName="/xl/embeddings/oleObject67.bin" ContentType="application/vnd.openxmlformats-officedocument.oleObject"/>
  <Override PartName="/xl/embeddings/oleObject68.bin" ContentType="application/vnd.openxmlformats-officedocument.oleObject"/>
  <Override PartName="/xl/embeddings/oleObject69.bin" ContentType="application/vnd.openxmlformats-officedocument.oleObject"/>
  <Override PartName="/xl/embeddings/oleObject70.bin" ContentType="application/vnd.openxmlformats-officedocument.oleObject"/>
  <Override PartName="/xl/embeddings/oleObject71.bin" ContentType="application/vnd.openxmlformats-officedocument.oleObject"/>
  <Override PartName="/xl/embeddings/oleObject72.bin" ContentType="application/vnd.openxmlformats-officedocument.oleObject"/>
  <Override PartName="/xl/embeddings/oleObject73.bin" ContentType="application/vnd.openxmlformats-officedocument.oleObject"/>
  <Override PartName="/xl/embeddings/oleObject74.bin" ContentType="application/vnd.openxmlformats-officedocument.oleObject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embeddings/oleObject75.bin" ContentType="application/vnd.openxmlformats-officedocument.oleObject"/>
  <Override PartName="/xl/embeddings/oleObject76.bin" ContentType="application/vnd.openxmlformats-officedocument.oleObject"/>
  <Override PartName="/xl/drawings/drawing4.xml" ContentType="application/vnd.openxmlformats-officedocument.drawing+xml"/>
  <Override PartName="/xl/embeddings/oleObject77.bin" ContentType="application/vnd.openxmlformats-officedocument.oleObject"/>
  <Override PartName="/xl/embeddings/oleObject78.bin" ContentType="application/vnd.openxmlformats-officedocument.oleObject"/>
  <Override PartName="/xl/embeddings/oleObject79.bin" ContentType="application/vnd.openxmlformats-officedocument.oleObject"/>
  <Override PartName="/xl/embeddings/oleObject80.bin" ContentType="application/vnd.openxmlformats-officedocument.oleObject"/>
  <Override PartName="/xl/embeddings/oleObject81.bin" ContentType="application/vnd.openxmlformats-officedocument.oleObject"/>
  <Override PartName="/xl/embeddings/oleObject82.bin" ContentType="application/vnd.openxmlformats-officedocument.oleObject"/>
  <Override PartName="/xl/embeddings/oleObject83.bin" ContentType="application/vnd.openxmlformats-officedocument.oleObject"/>
  <Override PartName="/xl/embeddings/oleObject84.bin" ContentType="application/vnd.openxmlformats-officedocument.oleObject"/>
  <Override PartName="/xl/embeddings/oleObject85.bin" ContentType="application/vnd.openxmlformats-officedocument.oleObject"/>
  <Override PartName="/xl/embeddings/oleObject86.bin" ContentType="application/vnd.openxmlformats-officedocument.oleObject"/>
  <Override PartName="/xl/embeddings/oleObject87.bin" ContentType="application/vnd.openxmlformats-officedocument.oleObject"/>
  <Override PartName="/xl/embeddings/oleObject88.bin" ContentType="application/vnd.openxmlformats-officedocument.oleObject"/>
  <Override PartName="/xl/embeddings/oleObject89.bin" ContentType="application/vnd.openxmlformats-officedocument.oleObject"/>
  <Override PartName="/xl/embeddings/oleObject90.bin" ContentType="application/vnd.openxmlformats-officedocument.oleObject"/>
  <Override PartName="/xl/embeddings/oleObject91.bin" ContentType="application/vnd.openxmlformats-officedocument.oleObject"/>
  <Override PartName="/xl/embeddings/oleObject92.bin" ContentType="application/vnd.openxmlformats-officedocument.oleObject"/>
  <Override PartName="/xl/embeddings/oleObject93.bin" ContentType="application/vnd.openxmlformats-officedocument.oleObject"/>
  <Override PartName="/xl/embeddings/oleObject94.bin" ContentType="application/vnd.openxmlformats-officedocument.oleObject"/>
  <Override PartName="/xl/embeddings/oleObject95.bin" ContentType="application/vnd.openxmlformats-officedocument.oleObject"/>
  <Override PartName="/xl/embeddings/oleObject96.bin" ContentType="application/vnd.openxmlformats-officedocument.oleObject"/>
  <Override PartName="/xl/embeddings/oleObject97.bin" ContentType="application/vnd.openxmlformats-officedocument.oleObject"/>
  <Override PartName="/xl/embeddings/oleObject98.bin" ContentType="application/vnd.openxmlformats-officedocument.oleObject"/>
  <Override PartName="/xl/embeddings/oleObject99.bin" ContentType="application/vnd.openxmlformats-officedocument.oleObject"/>
  <Override PartName="/xl/embeddings/oleObject100.bin" ContentType="application/vnd.openxmlformats-officedocument.oleObject"/>
  <Override PartName="/xl/embeddings/oleObject101.bin" ContentType="application/vnd.openxmlformats-officedocument.oleObject"/>
  <Override PartName="/xl/embeddings/oleObject102.bin" ContentType="application/vnd.openxmlformats-officedocument.oleObject"/>
  <Override PartName="/xl/embeddings/oleObject103.bin" ContentType="application/vnd.openxmlformats-officedocument.oleObject"/>
  <Override PartName="/xl/embeddings/oleObject104.bin" ContentType="application/vnd.openxmlformats-officedocument.oleObject"/>
  <Override PartName="/xl/embeddings/oleObject105.bin" ContentType="application/vnd.openxmlformats-officedocument.oleObject"/>
  <Override PartName="/xl/embeddings/oleObject106.bin" ContentType="application/vnd.openxmlformats-officedocument.oleObject"/>
  <Override PartName="/xl/embeddings/oleObject107.bin" ContentType="application/vnd.openxmlformats-officedocument.oleObject"/>
  <Override PartName="/xl/embeddings/oleObject108.bin" ContentType="application/vnd.openxmlformats-officedocument.oleObject"/>
  <Override PartName="/xl/embeddings/oleObject109.bin" ContentType="application/vnd.openxmlformats-officedocument.oleObject"/>
  <Override PartName="/xl/embeddings/oleObject110.bin" ContentType="application/vnd.openxmlformats-officedocument.oleObject"/>
  <Override PartName="/xl/embeddings/oleObject111.bin" ContentType="application/vnd.openxmlformats-officedocument.oleObject"/>
  <Override PartName="/xl/embeddings/oleObject112.bin" ContentType="application/vnd.openxmlformats-officedocument.oleObject"/>
  <Override PartName="/xl/embeddings/oleObject113.bin" ContentType="application/vnd.openxmlformats-officedocument.oleObject"/>
  <Override PartName="/xl/embeddings/oleObject114.bin" ContentType="application/vnd.openxmlformats-officedocument.oleObject"/>
  <Override PartName="/xl/embeddings/oleObject115.bin" ContentType="application/vnd.openxmlformats-officedocument.oleObject"/>
  <Override PartName="/xl/embeddings/oleObject116.bin" ContentType="application/vnd.openxmlformats-officedocument.oleObject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ufuksen\Desktop\"/>
    </mc:Choice>
  </mc:AlternateContent>
  <bookViews>
    <workbookView xWindow="930" yWindow="0" windowWidth="27840" windowHeight="12315" firstSheet="3" activeTab="3"/>
  </bookViews>
  <sheets>
    <sheet name="A0=0.553g" sheetId="1" state="hidden" r:id="rId1"/>
    <sheet name="A0=0.446gjj" sheetId="6" state="hidden" r:id="rId2"/>
    <sheet name="depremli durum ankraj" sheetId="5" state="hidden" r:id="rId3"/>
    <sheet name="A0=0.446g" sheetId="8" r:id="rId4"/>
    <sheet name="SONUÇ " sheetId="3" r:id="rId5"/>
  </sheets>
  <definedNames>
    <definedName name="A" localSheetId="3">'A0=0.446g'!$I$37</definedName>
    <definedName name="A" localSheetId="1">'A0=0.446gjj'!$I$37</definedName>
    <definedName name="A">'A0=0.553g'!$I$37</definedName>
    <definedName name="alfa" localSheetId="3">'A0=0.446g'!$I$34</definedName>
    <definedName name="alfa" localSheetId="1">'A0=0.446gjj'!$I$34</definedName>
    <definedName name="alfa">'A0=0.553g'!$I$34</definedName>
    <definedName name="b" localSheetId="3">'A0=0.446g'!$I$29</definedName>
    <definedName name="b" localSheetId="1">'A0=0.446gjj'!$I$29</definedName>
    <definedName name="b">'A0=0.553g'!$I$29</definedName>
    <definedName name="bdh" localSheetId="3">'A0=0.446g'!$H$22</definedName>
    <definedName name="bdh" localSheetId="1">'A0=0.446gjj'!$H$22</definedName>
    <definedName name="bdh">'A0=0.553g'!$H$22</definedName>
    <definedName name="bdw" localSheetId="3">'A0=0.446g'!$H$23</definedName>
    <definedName name="bdw" localSheetId="1">'A0=0.446gjj'!$H$23</definedName>
    <definedName name="bdw">'A0=0.553g'!$H$23</definedName>
    <definedName name="beta" localSheetId="3">'A0=0.446g'!$I$33</definedName>
    <definedName name="beta" localSheetId="1">'A0=0.446gjj'!$I$33</definedName>
    <definedName name="beta">'A0=0.553g'!$I$33</definedName>
    <definedName name="bf" localSheetId="3">'A0=0.446g'!$I$28</definedName>
    <definedName name="bf" localSheetId="1">'A0=0.446gjj'!$I$28</definedName>
    <definedName name="bf">'A0=0.553g'!$I$28</definedName>
    <definedName name="br" localSheetId="3">'A0=0.446g'!$I$27</definedName>
    <definedName name="br" localSheetId="1">'A0=0.446gjj'!$I$27</definedName>
    <definedName name="br">'A0=0.553g'!$I$27</definedName>
    <definedName name="bt" localSheetId="3">'A0=0.446g'!$I$25</definedName>
    <definedName name="bt" localSheetId="1">'A0=0.446gjj'!$I$25</definedName>
    <definedName name="bt">'A0=0.553g'!$I$25</definedName>
    <definedName name="bw" localSheetId="3">'A0=0.446g'!$I$26</definedName>
    <definedName name="bw" localSheetId="1">'A0=0.446gjj'!$I$26</definedName>
    <definedName name="bw">'A0=0.553g'!$I$26</definedName>
    <definedName name="ch" localSheetId="3">'A0=0.446g'!$J$67</definedName>
    <definedName name="ch" localSheetId="1">'A0=0.446gjj'!$J$67</definedName>
    <definedName name="ch">'A0=0.553g'!$J$67</definedName>
    <definedName name="cv" localSheetId="3">'A0=0.446g'!$J$69</definedName>
    <definedName name="cv" localSheetId="1">'A0=0.446gjj'!$J$69</definedName>
    <definedName name="cv">'A0=0.553g'!$J$69</definedName>
    <definedName name="d" localSheetId="3">'A0=0.446g'!$G$11</definedName>
    <definedName name="d" localSheetId="1">'A0=0.446gjj'!$G$11</definedName>
    <definedName name="d">'A0=0.553g'!$G$11</definedName>
    <definedName name="deeeeeeeeeeeeeeeeeeeeeeeeeeeeeeeee" localSheetId="3">#REF!</definedName>
    <definedName name="deeeeeeeeeeeeeeeeeeeeeeeeeeeeeeeee">#REF!</definedName>
    <definedName name="delta" localSheetId="3">'A0=0.446g'!$I$35</definedName>
    <definedName name="delta" localSheetId="1">'A0=0.446gjj'!$I$35</definedName>
    <definedName name="delta">'A0=0.553g'!$I$35</definedName>
    <definedName name="fc" localSheetId="3">'A0=0.446g'!$M$5</definedName>
    <definedName name="fc" localSheetId="1">'A0=0.446gjj'!$M$5</definedName>
    <definedName name="fc">'A0=0.553g'!$M$5</definedName>
    <definedName name="fcd" localSheetId="3">'A0=0.446g'!$F$59</definedName>
    <definedName name="fcd" localSheetId="1">'A0=0.446gjj'!$F$59</definedName>
    <definedName name="fcd">'A0=0.553g'!$F$59</definedName>
    <definedName name="fck" localSheetId="3">'A0=0.446g'!$E$59</definedName>
    <definedName name="fck" localSheetId="1">'A0=0.446gjj'!$E$59</definedName>
    <definedName name="fck">'A0=0.553g'!$E$59</definedName>
    <definedName name="fctd" localSheetId="3">'A0=0.446g'!$H$59</definedName>
    <definedName name="fctd" localSheetId="1">'A0=0.446gjj'!$H$59</definedName>
    <definedName name="fctd">'A0=0.553g'!$H$59</definedName>
    <definedName name="fctk" localSheetId="3">'A0=0.446g'!$G$59</definedName>
    <definedName name="fctk" localSheetId="1">'A0=0.446gjj'!$G$59</definedName>
    <definedName name="fctk">'A0=0.553g'!$G$59</definedName>
    <definedName name="fi" localSheetId="3">'A0=0.446g'!$I$32</definedName>
    <definedName name="fi" localSheetId="1">'A0=0.446gjj'!$I$32</definedName>
    <definedName name="fi">'A0=0.553g'!$I$32</definedName>
    <definedName name="fr" localSheetId="3">'A0=0.446g'!$M$8</definedName>
    <definedName name="fr" localSheetId="1">'A0=0.446gjj'!$M$8</definedName>
    <definedName name="fr">'A0=0.553g'!$M$8</definedName>
    <definedName name="fy" localSheetId="3">'A0=0.446g'!$M$6</definedName>
    <definedName name="fy" localSheetId="1">'A0=0.446gjj'!$M$6</definedName>
    <definedName name="fy">'A0=0.553g'!$M$6</definedName>
    <definedName name="fyd" localSheetId="3">'A0=0.446g'!$J$59</definedName>
    <definedName name="fyd" localSheetId="1">'A0=0.446gjj'!$J$59</definedName>
    <definedName name="fyd">'A0=0.553g'!$J$59</definedName>
    <definedName name="fyk" localSheetId="3">'A0=0.446g'!$I$59</definedName>
    <definedName name="fyk" localSheetId="1">'A0=0.446gjj'!$I$59</definedName>
    <definedName name="fyk">'A0=0.553g'!$I$59</definedName>
    <definedName name="gc" localSheetId="3">'A0=0.446g'!$I$41</definedName>
    <definedName name="gc" localSheetId="1">'A0=0.446gjj'!$I$41</definedName>
    <definedName name="gc">'A0=0.553g'!$I$41</definedName>
    <definedName name="gdoy" localSheetId="3">'A0=0.446g'!$I$43</definedName>
    <definedName name="gdoy" localSheetId="1">'A0=0.446gjj'!$I$43</definedName>
    <definedName name="gdoy">'A0=0.553g'!$I$43</definedName>
    <definedName name="gnor" localSheetId="3">'A0=0.446g'!$I$44</definedName>
    <definedName name="gnor" localSheetId="1">'A0=0.446gjj'!$I$44</definedName>
    <definedName name="gnor">'A0=0.553g'!$I$44</definedName>
    <definedName name="gw" localSheetId="3">'A0=0.446g'!$I$42</definedName>
    <definedName name="gw" localSheetId="1">'A0=0.446gjj'!$I$42</definedName>
    <definedName name="gw">'A0=0.553g'!$I$42</definedName>
    <definedName name="h" localSheetId="3">'A0=0.446g'!$I$23</definedName>
    <definedName name="h" localSheetId="1">'A0=0.446gjj'!$I$23</definedName>
    <definedName name="h">'A0=0.553g'!$I$23</definedName>
    <definedName name="hs" localSheetId="3">'A0=0.446g'!$I$22</definedName>
    <definedName name="hs" localSheetId="1">'A0=0.446gjj'!$I$22</definedName>
    <definedName name="hs">'A0=0.553g'!$I$22</definedName>
    <definedName name="hsuf" localSheetId="3">'A0=0.446g'!$I$53</definedName>
    <definedName name="hsuf" localSheetId="1">'A0=0.446gjj'!$I$53</definedName>
    <definedName name="hsuf">'A0=0.553g'!$I$53</definedName>
    <definedName name="hsui" localSheetId="3">'A0=0.446g'!$I$52</definedName>
    <definedName name="hsui" localSheetId="1">'A0=0.446gjj'!$I$52</definedName>
    <definedName name="hsui">'A0=0.553g'!$I$52</definedName>
    <definedName name="hsun" localSheetId="3">'A0=0.446g'!$I$53</definedName>
    <definedName name="hsun" localSheetId="1">'A0=0.446gjj'!$I$53</definedName>
    <definedName name="hsun">'A0=0.553g'!$I$53</definedName>
    <definedName name="hsus" localSheetId="3">'A0=0.446g'!$I$54</definedName>
    <definedName name="hsus" localSheetId="1">'A0=0.446gjj'!$I$54</definedName>
    <definedName name="hsus">'A0=0.553g'!$I$54</definedName>
    <definedName name="hw" localSheetId="3">'A0=0.446g'!$I$21</definedName>
    <definedName name="hw" localSheetId="1">'A0=0.446gjj'!$I$21</definedName>
    <definedName name="hw">'A0=0.553g'!$I$21</definedName>
    <definedName name="I" localSheetId="3">'A0=0.446g'!$I$39</definedName>
    <definedName name="I" localSheetId="1">'A0=0.446gjj'!$I$39</definedName>
    <definedName name="I">'A0=0.553g'!$I$39</definedName>
    <definedName name="kas" localSheetId="3">'A0=0.446g'!$J$63</definedName>
    <definedName name="kas" localSheetId="1">'A0=0.446gjj'!$J$63</definedName>
    <definedName name="kas">'A0=0.553g'!$J$63</definedName>
    <definedName name="koh" localSheetId="3">'A0=0.446g'!$I$45</definedName>
    <definedName name="koh" localSheetId="1">'A0=0.446gjj'!$I$45</definedName>
    <definedName name="koh">'A0=0.553g'!$I$45</definedName>
    <definedName name="lislak1" localSheetId="3">'A0=0.446g'!$J$75</definedName>
    <definedName name="lislak1" localSheetId="1">'A0=0.446gjj'!$J$75</definedName>
    <definedName name="lislak1">'A0=0.553g'!$J$75</definedName>
    <definedName name="lislak2" localSheetId="3">'A0=0.446g'!$J$76</definedName>
    <definedName name="lislak2" localSheetId="1">'A0=0.446gjj'!$J$76</definedName>
    <definedName name="lislak2">'A0=0.553g'!$J$76</definedName>
    <definedName name="lkuru1" localSheetId="3">'A0=0.446g'!$J$72</definedName>
    <definedName name="lkuru1" localSheetId="1">'A0=0.446gjj'!$J$72</definedName>
    <definedName name="lkuru1">'A0=0.553g'!$J$72</definedName>
    <definedName name="lkuru2" localSheetId="3">'A0=0.446g'!$J$73</definedName>
    <definedName name="lkuru2" localSheetId="1">'A0=0.446gjj'!$J$73</definedName>
    <definedName name="lkuru2">'A0=0.553g'!$J$73</definedName>
    <definedName name="p" localSheetId="3">'A0=0.446g'!$I$51</definedName>
    <definedName name="p" localSheetId="1">'A0=0.446gjj'!$I$51</definedName>
    <definedName name="p">'A0=0.553g'!$I$51</definedName>
    <definedName name="pfi" localSheetId="3">'A0=0.446g'!$I$32</definedName>
    <definedName name="pfi" localSheetId="1">'A0=0.446gjj'!$I$32</definedName>
    <definedName name="pfi">'A0=0.553g'!$I$32</definedName>
    <definedName name="phi" localSheetId="3">'A0=0.446g'!$I$32</definedName>
    <definedName name="phi" localSheetId="1">'A0=0.446gjj'!$I$32</definedName>
    <definedName name="phi">'A0=0.553g'!$I$32</definedName>
    <definedName name="pp" localSheetId="3">'A0=0.446g'!$M$7</definedName>
    <definedName name="pp" localSheetId="1">'A0=0.446gjj'!$M$7</definedName>
    <definedName name="pp">'A0=0.553g'!$M$7</definedName>
    <definedName name="q" localSheetId="3">'A0=0.446g'!$I$36</definedName>
    <definedName name="q" localSheetId="1">'A0=0.446gjj'!$I$36</definedName>
    <definedName name="q">'A0=0.553g'!$I$36</definedName>
    <definedName name="_xlnm.Print_Area" localSheetId="2">'depremli durum ankraj'!$A$1:$O$152</definedName>
    <definedName name="Z_292239AB_1A95_418F_9252_DEADE41101FA_.wvu.PrintArea" localSheetId="3" hidden="1">'A0=0.446g'!$A$1:$K$572</definedName>
    <definedName name="Z_292239AB_1A95_418F_9252_DEADE41101FA_.wvu.PrintArea" localSheetId="1" hidden="1">'A0=0.446gjj'!$A$1:$K$473</definedName>
    <definedName name="Z_292239AB_1A95_418F_9252_DEADE41101FA_.wvu.PrintArea" localSheetId="0" hidden="1">'A0=0.553g'!$A$1:$K$549</definedName>
    <definedName name="Z_2F942A2D_0AFC_43B9_BC9A_2AEC2BA7FF1F_.wvu.PrintArea" localSheetId="3" hidden="1">'A0=0.446g'!$A$1:$K$572</definedName>
    <definedName name="Z_2F942A2D_0AFC_43B9_BC9A_2AEC2BA7FF1F_.wvu.PrintArea" localSheetId="1" hidden="1">'A0=0.446gjj'!$A$1:$K$473</definedName>
    <definedName name="Z_2F942A2D_0AFC_43B9_BC9A_2AEC2BA7FF1F_.wvu.PrintArea" localSheetId="0" hidden="1">'A0=0.553g'!$A$1:$K$549</definedName>
    <definedName name="zzzzzz" localSheetId="3">'A0=0.446g'!$F$13</definedName>
    <definedName name="zzzzzz" localSheetId="1">'A0=0.446gjj'!$F$13</definedName>
    <definedName name="zzzzzz">'A0=0.553g'!$F$13</definedName>
  </definedNames>
  <calcPr calcId="162913"/>
  <customWorkbookViews>
    <customWorkbookView name="s" guid="{2F942A2D-0AFC-43B9-BC9A-2AEC2BA7FF1F}" maximized="1" xWindow="1" yWindow="1" windowWidth="1436" windowHeight="671" activeSheetId="1"/>
    <customWorkbookView name="OFERSOY - Personal View" guid="{292239AB-1A95-418F-9252-DEADE41101FA}" mergeInterval="0" personalView="1" maximized="1" windowWidth="743" windowHeight="580" activeSheetId="1" showComments="commIndAndComment"/>
  </customWorkbookViews>
</workbook>
</file>

<file path=xl/calcChain.xml><?xml version="1.0" encoding="utf-8"?>
<calcChain xmlns="http://schemas.openxmlformats.org/spreadsheetml/2006/main">
  <c r="E250" i="8" l="1"/>
  <c r="I250" i="8" s="1"/>
  <c r="E249" i="8"/>
  <c r="I249" i="8" s="1"/>
  <c r="F250" i="8"/>
  <c r="B250" i="8"/>
  <c r="F249" i="8"/>
  <c r="B249" i="8"/>
  <c r="E247" i="8"/>
  <c r="E246" i="8"/>
  <c r="E243" i="8"/>
  <c r="E244" i="8"/>
  <c r="B247" i="8"/>
  <c r="B246" i="8"/>
  <c r="F243" i="8"/>
  <c r="E241" i="8"/>
  <c r="E240" i="8"/>
  <c r="B243" i="8"/>
  <c r="F240" i="8"/>
  <c r="F238" i="8"/>
  <c r="F237" i="8"/>
  <c r="D26" i="8" l="1"/>
  <c r="F117" i="8"/>
  <c r="F119" i="8"/>
  <c r="I17" i="1" l="1"/>
  <c r="N2" i="3"/>
  <c r="G411" i="8" l="1"/>
  <c r="G410" i="8"/>
  <c r="G437" i="8"/>
  <c r="G433" i="8"/>
  <c r="G432" i="8"/>
  <c r="G425" i="8"/>
  <c r="G424" i="8"/>
  <c r="G418" i="8"/>
  <c r="G417" i="8"/>
  <c r="G427" i="8"/>
  <c r="G426" i="8"/>
  <c r="G575" i="8" l="1"/>
  <c r="H577" i="8" s="1"/>
  <c r="D569" i="8"/>
  <c r="D572" i="8" s="1"/>
  <c r="P53" i="8" s="1"/>
  <c r="I565" i="8"/>
  <c r="T45" i="8" s="1"/>
  <c r="I564" i="8"/>
  <c r="C561" i="8"/>
  <c r="A569" i="8" s="1"/>
  <c r="H552" i="8"/>
  <c r="F552" i="8"/>
  <c r="B552" i="8"/>
  <c r="H551" i="8"/>
  <c r="H550" i="8"/>
  <c r="H549" i="8"/>
  <c r="H548" i="8"/>
  <c r="F548" i="8"/>
  <c r="B548" i="8"/>
  <c r="D512" i="8"/>
  <c r="D515" i="8" s="1"/>
  <c r="A512" i="8"/>
  <c r="D511" i="8"/>
  <c r="A511" i="8"/>
  <c r="I507" i="8"/>
  <c r="T43" i="8" s="1"/>
  <c r="I506" i="8"/>
  <c r="C503" i="8"/>
  <c r="A503" i="8"/>
  <c r="G518" i="8" s="1"/>
  <c r="H498" i="8"/>
  <c r="F498" i="8"/>
  <c r="B498" i="8"/>
  <c r="G469" i="8"/>
  <c r="D455" i="8"/>
  <c r="F458" i="8" s="1"/>
  <c r="A455" i="8"/>
  <c r="D454" i="8"/>
  <c r="D458" i="8" s="1"/>
  <c r="A454" i="8"/>
  <c r="I449" i="8"/>
  <c r="I450" i="8" s="1"/>
  <c r="T41" i="8" s="1"/>
  <c r="C446" i="8"/>
  <c r="D466" i="8" s="1"/>
  <c r="G441" i="8"/>
  <c r="A441" i="8"/>
  <c r="G440" i="8"/>
  <c r="E440" i="8"/>
  <c r="A440" i="8"/>
  <c r="G420" i="8"/>
  <c r="G419" i="8"/>
  <c r="E384" i="8"/>
  <c r="I375" i="8"/>
  <c r="S33" i="8" s="1"/>
  <c r="F368" i="8"/>
  <c r="F367" i="8"/>
  <c r="F356" i="8"/>
  <c r="E356" i="8"/>
  <c r="B356" i="8"/>
  <c r="I355" i="8"/>
  <c r="I354" i="8"/>
  <c r="I353" i="8"/>
  <c r="I352" i="8"/>
  <c r="E332" i="8"/>
  <c r="I323" i="8"/>
  <c r="S26" i="8" s="1"/>
  <c r="F315" i="8"/>
  <c r="F314" i="8"/>
  <c r="F307" i="8"/>
  <c r="F305" i="8"/>
  <c r="I265" i="8"/>
  <c r="E258" i="8"/>
  <c r="I258" i="8" s="1"/>
  <c r="F257" i="8"/>
  <c r="F256" i="8"/>
  <c r="F232" i="8"/>
  <c r="F231" i="8"/>
  <c r="F230" i="8"/>
  <c r="E204" i="8"/>
  <c r="E203" i="8"/>
  <c r="E275" i="8" s="1"/>
  <c r="I193" i="8"/>
  <c r="S20" i="8" s="1"/>
  <c r="F185" i="8"/>
  <c r="F184" i="8"/>
  <c r="F181" i="8"/>
  <c r="I180" i="8"/>
  <c r="I179" i="8"/>
  <c r="F178" i="8"/>
  <c r="F177" i="8"/>
  <c r="F176" i="8"/>
  <c r="E146" i="8"/>
  <c r="I137" i="8"/>
  <c r="S14" i="8" s="1"/>
  <c r="F122" i="8"/>
  <c r="F121" i="8"/>
  <c r="E120" i="8"/>
  <c r="E183" i="8" s="1"/>
  <c r="B120" i="8"/>
  <c r="B183" i="8" s="1"/>
  <c r="B313" i="8" s="1"/>
  <c r="F175" i="8"/>
  <c r="J67" i="8"/>
  <c r="J69" i="8" s="1"/>
  <c r="J59" i="8"/>
  <c r="I59" i="8"/>
  <c r="H59" i="8"/>
  <c r="G59" i="8"/>
  <c r="F59" i="8"/>
  <c r="E59" i="8"/>
  <c r="C59" i="8"/>
  <c r="A59" i="8"/>
  <c r="U53" i="8"/>
  <c r="T53" i="8"/>
  <c r="S53" i="8"/>
  <c r="Q53" i="8"/>
  <c r="N53" i="8"/>
  <c r="I53" i="8"/>
  <c r="U52" i="8"/>
  <c r="T52" i="8"/>
  <c r="S52" i="8"/>
  <c r="Q52" i="8"/>
  <c r="P52" i="8"/>
  <c r="N52" i="8"/>
  <c r="I52" i="8"/>
  <c r="B365" i="8" s="1"/>
  <c r="U51" i="8"/>
  <c r="T51" i="8"/>
  <c r="S51" i="8"/>
  <c r="Q51" i="8"/>
  <c r="P51" i="8"/>
  <c r="N51" i="8"/>
  <c r="U49" i="8"/>
  <c r="T49" i="8"/>
  <c r="S49" i="8"/>
  <c r="Q49" i="8"/>
  <c r="P49" i="8"/>
  <c r="N49" i="8"/>
  <c r="U48" i="8"/>
  <c r="T48" i="8"/>
  <c r="S48" i="8"/>
  <c r="Q48" i="8"/>
  <c r="P48" i="8"/>
  <c r="N48" i="8"/>
  <c r="U47" i="8"/>
  <c r="T47" i="8"/>
  <c r="S47" i="8"/>
  <c r="Q47" i="8"/>
  <c r="P47" i="8"/>
  <c r="N47" i="8"/>
  <c r="P45" i="8"/>
  <c r="T44" i="8"/>
  <c r="P44" i="8"/>
  <c r="P43" i="8"/>
  <c r="T42" i="8"/>
  <c r="P42" i="8"/>
  <c r="P41" i="8"/>
  <c r="P40" i="8"/>
  <c r="L38" i="8"/>
  <c r="I38" i="8"/>
  <c r="E230" i="8" s="1"/>
  <c r="R36" i="8"/>
  <c r="R35" i="8"/>
  <c r="I35" i="8"/>
  <c r="T34" i="8"/>
  <c r="S34" i="8"/>
  <c r="P34" i="8"/>
  <c r="T33" i="8"/>
  <c r="P33" i="8"/>
  <c r="L32" i="8"/>
  <c r="R29" i="8"/>
  <c r="I29" i="8"/>
  <c r="F351" i="8" s="1"/>
  <c r="R28" i="8"/>
  <c r="T27" i="8"/>
  <c r="S27" i="8"/>
  <c r="P27" i="8"/>
  <c r="T26" i="8"/>
  <c r="P26" i="8"/>
  <c r="L25" i="8"/>
  <c r="R23" i="8"/>
  <c r="L23" i="8"/>
  <c r="L29" i="8" s="1"/>
  <c r="L36" i="8" s="1"/>
  <c r="I23" i="8"/>
  <c r="F234" i="8" s="1"/>
  <c r="R22" i="8"/>
  <c r="L22" i="8"/>
  <c r="L28" i="8" s="1"/>
  <c r="L35" i="8" s="1"/>
  <c r="K22" i="8"/>
  <c r="T21" i="8"/>
  <c r="S21" i="8"/>
  <c r="P21" i="8"/>
  <c r="T20" i="8"/>
  <c r="P20" i="8"/>
  <c r="L20" i="8"/>
  <c r="L26" i="8" s="1"/>
  <c r="L33" i="8" s="1"/>
  <c r="L19" i="8"/>
  <c r="R17" i="8"/>
  <c r="R16" i="8"/>
  <c r="T15" i="8"/>
  <c r="S15" i="8"/>
  <c r="P15" i="8"/>
  <c r="T14" i="8"/>
  <c r="P14" i="8"/>
  <c r="L13" i="8"/>
  <c r="F255" i="8" l="1"/>
  <c r="F241" i="8"/>
  <c r="T40" i="8"/>
  <c r="J548" i="8"/>
  <c r="F309" i="8"/>
  <c r="E254" i="8"/>
  <c r="A568" i="8"/>
  <c r="J440" i="8"/>
  <c r="C578" i="8"/>
  <c r="I356" i="8"/>
  <c r="D450" i="8"/>
  <c r="N41" i="8" s="1"/>
  <c r="J498" i="8"/>
  <c r="J552" i="8"/>
  <c r="J76" i="8"/>
  <c r="F306" i="8"/>
  <c r="F300" i="8"/>
  <c r="F115" i="8"/>
  <c r="F171" i="8" s="1"/>
  <c r="F229" i="8" s="1"/>
  <c r="E306" i="8"/>
  <c r="E300" i="8"/>
  <c r="E178" i="8"/>
  <c r="E115" i="8"/>
  <c r="B306" i="8"/>
  <c r="B300" i="8"/>
  <c r="E232" i="8"/>
  <c r="I232" i="8" s="1"/>
  <c r="B178" i="8"/>
  <c r="B255" i="8" s="1"/>
  <c r="B115" i="8"/>
  <c r="B171" i="8" s="1"/>
  <c r="B229" i="8" s="1"/>
  <c r="B232" i="8"/>
  <c r="K29" i="8"/>
  <c r="E351" i="8"/>
  <c r="I351" i="8" s="1"/>
  <c r="B351" i="8"/>
  <c r="B550" i="8"/>
  <c r="E305" i="8"/>
  <c r="I305" i="8" s="1"/>
  <c r="B305" i="8"/>
  <c r="F550" i="8"/>
  <c r="J550" i="8" s="1"/>
  <c r="F311" i="8"/>
  <c r="F551" i="8"/>
  <c r="J551" i="8" s="1"/>
  <c r="F549" i="8"/>
  <c r="J549" i="8" s="1"/>
  <c r="B551" i="8"/>
  <c r="B549" i="8"/>
  <c r="B366" i="8"/>
  <c r="E313" i="8"/>
  <c r="I54" i="8"/>
  <c r="G439" i="8" s="1"/>
  <c r="E365" i="8"/>
  <c r="C521" i="8"/>
  <c r="F365" i="8"/>
  <c r="D507" i="8"/>
  <c r="D564" i="8"/>
  <c r="B254" i="8"/>
  <c r="M357" i="8"/>
  <c r="D449" i="8"/>
  <c r="J72" i="8"/>
  <c r="F254" i="8"/>
  <c r="D506" i="8"/>
  <c r="D568" i="8"/>
  <c r="J73" i="8"/>
  <c r="J75" i="8"/>
  <c r="D565" i="8"/>
  <c r="F294" i="1"/>
  <c r="I254" i="8" l="1"/>
  <c r="G438" i="8"/>
  <c r="F358" i="8"/>
  <c r="E366" i="8"/>
  <c r="N45" i="8"/>
  <c r="N42" i="8"/>
  <c r="I300" i="8"/>
  <c r="I306" i="8"/>
  <c r="N44" i="8"/>
  <c r="I365" i="8"/>
  <c r="N40" i="8"/>
  <c r="N43" i="8"/>
  <c r="E357" i="8"/>
  <c r="B357" i="8"/>
  <c r="F364" i="8"/>
  <c r="F362" i="8"/>
  <c r="F360" i="8"/>
  <c r="E364" i="8"/>
  <c r="E441" i="8"/>
  <c r="M355" i="8"/>
  <c r="F357" i="8"/>
  <c r="B364" i="8"/>
  <c r="E171" i="8"/>
  <c r="I115" i="8"/>
  <c r="I255" i="8"/>
  <c r="I178" i="8"/>
  <c r="I252" i="1"/>
  <c r="I357" i="8" l="1"/>
  <c r="I171" i="8"/>
  <c r="E229" i="8"/>
  <c r="I229" i="8" s="1"/>
  <c r="J441" i="8"/>
  <c r="I364" i="8"/>
  <c r="E203" i="1"/>
  <c r="E262" i="1" s="1"/>
  <c r="E245" i="1"/>
  <c r="I245" i="1" s="1"/>
  <c r="F244" i="1"/>
  <c r="F243" i="1"/>
  <c r="F240" i="1"/>
  <c r="F239" i="1"/>
  <c r="I238" i="1"/>
  <c r="I237" i="1"/>
  <c r="F236" i="1"/>
  <c r="F235" i="1"/>
  <c r="F234" i="1"/>
  <c r="F182" i="1"/>
  <c r="F181" i="1"/>
  <c r="F119" i="1"/>
  <c r="F118" i="1"/>
  <c r="F116" i="1"/>
  <c r="F174" i="1" s="1"/>
  <c r="F232" i="1" s="1"/>
  <c r="F117" i="1"/>
  <c r="F175" i="1" s="1"/>
  <c r="F233" i="1" s="1"/>
  <c r="I24" i="1" l="1"/>
  <c r="C538" i="1" l="1"/>
  <c r="C481" i="1" l="1"/>
  <c r="I24" i="6"/>
  <c r="I31" i="6" l="1"/>
  <c r="I38" i="6"/>
  <c r="I38" i="1" l="1"/>
  <c r="A407" i="1" l="1"/>
  <c r="B235" i="1"/>
  <c r="B234" i="1"/>
  <c r="E235" i="1"/>
  <c r="I235" i="1" s="1"/>
  <c r="E234" i="1"/>
  <c r="B176" i="1"/>
  <c r="B177" i="1"/>
  <c r="A406" i="1"/>
  <c r="B281" i="6"/>
  <c r="E281" i="6"/>
  <c r="I234" i="1" l="1"/>
  <c r="G476" i="6"/>
  <c r="D470" i="6"/>
  <c r="D473" i="6" s="1"/>
  <c r="P53" i="6" s="1"/>
  <c r="I466" i="6"/>
  <c r="I465" i="6"/>
  <c r="C462" i="6"/>
  <c r="H453" i="6"/>
  <c r="F453" i="6"/>
  <c r="B453" i="6"/>
  <c r="H452" i="6"/>
  <c r="H451" i="6"/>
  <c r="H450" i="6"/>
  <c r="H449" i="6"/>
  <c r="F449" i="6"/>
  <c r="B449" i="6"/>
  <c r="D414" i="6"/>
  <c r="D417" i="6" s="1"/>
  <c r="A414" i="6"/>
  <c r="D413" i="6"/>
  <c r="A413" i="6"/>
  <c r="I409" i="6"/>
  <c r="I408" i="6"/>
  <c r="C405" i="6"/>
  <c r="C423" i="6" s="1"/>
  <c r="A405" i="6"/>
  <c r="G420" i="6" s="1"/>
  <c r="H400" i="6"/>
  <c r="F400" i="6"/>
  <c r="B400" i="6"/>
  <c r="D370" i="6"/>
  <c r="F373" i="6" s="1"/>
  <c r="A370" i="6"/>
  <c r="D369" i="6"/>
  <c r="D373" i="6" s="1"/>
  <c r="A369" i="6"/>
  <c r="I364" i="6"/>
  <c r="I365" i="6" s="1"/>
  <c r="T41" i="6" s="1"/>
  <c r="C361" i="6"/>
  <c r="G356" i="6"/>
  <c r="A356" i="6"/>
  <c r="G355" i="6"/>
  <c r="E355" i="6"/>
  <c r="J355" i="6" s="1"/>
  <c r="A355" i="6"/>
  <c r="E307" i="6"/>
  <c r="I298" i="6"/>
  <c r="F290" i="6"/>
  <c r="F289" i="6"/>
  <c r="F281" i="6"/>
  <c r="I281" i="6" s="1"/>
  <c r="F275" i="6"/>
  <c r="F274" i="6"/>
  <c r="E257" i="6"/>
  <c r="I248" i="6"/>
  <c r="S26" i="6" s="1"/>
  <c r="F240" i="6"/>
  <c r="F239" i="6"/>
  <c r="F234" i="6"/>
  <c r="E232" i="6"/>
  <c r="B232" i="6"/>
  <c r="F228" i="6"/>
  <c r="F227" i="6"/>
  <c r="E204" i="6"/>
  <c r="E203" i="6"/>
  <c r="I193" i="6"/>
  <c r="F185" i="6"/>
  <c r="F184" i="6"/>
  <c r="F179" i="6"/>
  <c r="E148" i="6"/>
  <c r="I139" i="6"/>
  <c r="F123" i="6"/>
  <c r="F122" i="6"/>
  <c r="E121" i="6"/>
  <c r="E183" i="6" s="1"/>
  <c r="E238" i="6" s="1"/>
  <c r="B121" i="6"/>
  <c r="B183" i="6" s="1"/>
  <c r="F114" i="6"/>
  <c r="F172" i="6" s="1"/>
  <c r="F113" i="6"/>
  <c r="F171" i="6" s="1"/>
  <c r="J67" i="6"/>
  <c r="J59" i="6"/>
  <c r="I59" i="6"/>
  <c r="H59" i="6"/>
  <c r="G59" i="6"/>
  <c r="F59" i="6"/>
  <c r="E59" i="6"/>
  <c r="C59" i="6"/>
  <c r="A59" i="6"/>
  <c r="U53" i="6"/>
  <c r="T53" i="6"/>
  <c r="S53" i="6"/>
  <c r="Q53" i="6"/>
  <c r="N53" i="6"/>
  <c r="I53" i="6"/>
  <c r="B451" i="6" s="1"/>
  <c r="U52" i="6"/>
  <c r="T52" i="6"/>
  <c r="S52" i="6"/>
  <c r="Q52" i="6"/>
  <c r="P52" i="6"/>
  <c r="N52" i="6"/>
  <c r="I52" i="6"/>
  <c r="F287" i="6" s="1"/>
  <c r="U51" i="6"/>
  <c r="T51" i="6"/>
  <c r="S51" i="6"/>
  <c r="Q51" i="6"/>
  <c r="P51" i="6"/>
  <c r="N51" i="6"/>
  <c r="U49" i="6"/>
  <c r="T49" i="6"/>
  <c r="S49" i="6"/>
  <c r="Q49" i="6"/>
  <c r="P49" i="6"/>
  <c r="N49" i="6"/>
  <c r="U48" i="6"/>
  <c r="T48" i="6"/>
  <c r="S48" i="6"/>
  <c r="Q48" i="6"/>
  <c r="P48" i="6"/>
  <c r="N48" i="6"/>
  <c r="U47" i="6"/>
  <c r="T47" i="6"/>
  <c r="S47" i="6"/>
  <c r="Q47" i="6"/>
  <c r="P47" i="6"/>
  <c r="N47" i="6"/>
  <c r="T45" i="6"/>
  <c r="P45" i="6"/>
  <c r="T44" i="6"/>
  <c r="P44" i="6"/>
  <c r="T43" i="6"/>
  <c r="P43" i="6"/>
  <c r="T42" i="6"/>
  <c r="P42" i="6"/>
  <c r="P41" i="6"/>
  <c r="T40" i="6"/>
  <c r="P40" i="6"/>
  <c r="L38" i="6"/>
  <c r="R36" i="6"/>
  <c r="R35" i="6"/>
  <c r="L35" i="6"/>
  <c r="I35" i="6"/>
  <c r="T34" i="6"/>
  <c r="S34" i="6"/>
  <c r="P34" i="6"/>
  <c r="T33" i="6"/>
  <c r="S33" i="6"/>
  <c r="P33" i="6"/>
  <c r="L32" i="6"/>
  <c r="R29" i="6"/>
  <c r="L29" i="6"/>
  <c r="L36" i="6" s="1"/>
  <c r="I29" i="6"/>
  <c r="B179" i="6" s="1"/>
  <c r="R28" i="6"/>
  <c r="T27" i="6"/>
  <c r="S27" i="6"/>
  <c r="P27" i="6"/>
  <c r="T26" i="6"/>
  <c r="P26" i="6"/>
  <c r="L25" i="6"/>
  <c r="R23" i="6"/>
  <c r="L23" i="6"/>
  <c r="R22" i="6"/>
  <c r="L22" i="6"/>
  <c r="L28" i="6" s="1"/>
  <c r="T21" i="6"/>
  <c r="S21" i="6"/>
  <c r="P21" i="6"/>
  <c r="T20" i="6"/>
  <c r="S20" i="6"/>
  <c r="P20" i="6"/>
  <c r="L20" i="6"/>
  <c r="L26" i="6" s="1"/>
  <c r="L33" i="6" s="1"/>
  <c r="L19" i="6"/>
  <c r="R17" i="6"/>
  <c r="R16" i="6"/>
  <c r="T15" i="6"/>
  <c r="S15" i="6"/>
  <c r="P15" i="6"/>
  <c r="T14" i="6"/>
  <c r="S14" i="6"/>
  <c r="P14" i="6"/>
  <c r="L13" i="6"/>
  <c r="D364" i="6" l="1"/>
  <c r="E234" i="6"/>
  <c r="I234" i="6" s="1"/>
  <c r="J449" i="6"/>
  <c r="J453" i="6"/>
  <c r="B287" i="6"/>
  <c r="J400" i="6"/>
  <c r="J69" i="6"/>
  <c r="J75" i="6" s="1"/>
  <c r="E288" i="6"/>
  <c r="E179" i="6"/>
  <c r="I179" i="6" s="1"/>
  <c r="F235" i="6"/>
  <c r="F229" i="6"/>
  <c r="F276" i="6"/>
  <c r="F241" i="6"/>
  <c r="E235" i="6"/>
  <c r="E229" i="6"/>
  <c r="F121" i="6"/>
  <c r="F115" i="6"/>
  <c r="F173" i="6" s="1"/>
  <c r="E276" i="6"/>
  <c r="B235" i="6"/>
  <c r="B229" i="6"/>
  <c r="E115" i="6"/>
  <c r="B276" i="6"/>
  <c r="F291" i="6"/>
  <c r="F232" i="6"/>
  <c r="I232" i="6" s="1"/>
  <c r="F124" i="6"/>
  <c r="B115" i="6"/>
  <c r="B173" i="6" s="1"/>
  <c r="B288" i="6"/>
  <c r="B238" i="6"/>
  <c r="F186" i="6"/>
  <c r="D466" i="6"/>
  <c r="C479" i="6"/>
  <c r="A470" i="6"/>
  <c r="D469" i="6"/>
  <c r="A469" i="6"/>
  <c r="F116" i="6"/>
  <c r="N40" i="6"/>
  <c r="F279" i="6"/>
  <c r="B234" i="6"/>
  <c r="M282" i="6"/>
  <c r="E287" i="6"/>
  <c r="D409" i="6"/>
  <c r="D465" i="6"/>
  <c r="D365" i="6"/>
  <c r="J373" i="6"/>
  <c r="F451" i="6"/>
  <c r="J451" i="6" s="1"/>
  <c r="D408" i="6"/>
  <c r="I54" i="6"/>
  <c r="I276" i="6" l="1"/>
  <c r="I229" i="6"/>
  <c r="J72" i="6"/>
  <c r="J73" i="6"/>
  <c r="J76" i="6"/>
  <c r="N45" i="6"/>
  <c r="I287" i="6"/>
  <c r="E173" i="6"/>
  <c r="I115" i="6"/>
  <c r="I235" i="6"/>
  <c r="N42" i="6"/>
  <c r="E356" i="6"/>
  <c r="F286" i="6"/>
  <c r="B279" i="6"/>
  <c r="E286" i="6"/>
  <c r="F282" i="6"/>
  <c r="B286" i="6"/>
  <c r="E282" i="6"/>
  <c r="B282" i="6"/>
  <c r="E279" i="6"/>
  <c r="I279" i="6" s="1"/>
  <c r="N41" i="6"/>
  <c r="N44" i="6"/>
  <c r="N43" i="6"/>
  <c r="F174" i="6"/>
  <c r="I121" i="6"/>
  <c r="F183" i="6"/>
  <c r="I282" i="6" l="1"/>
  <c r="I173" i="6"/>
  <c r="J356" i="6"/>
  <c r="F238" i="6"/>
  <c r="I183" i="6"/>
  <c r="I286" i="6"/>
  <c r="F288" i="6" l="1"/>
  <c r="I288" i="6" s="1"/>
  <c r="I238" i="6"/>
  <c r="E343" i="1" l="1"/>
  <c r="B343" i="1"/>
  <c r="G448" i="1" l="1"/>
  <c r="G552" i="1" l="1"/>
  <c r="H554" i="1" s="1"/>
  <c r="F355" i="1"/>
  <c r="F354" i="1"/>
  <c r="F302" i="1"/>
  <c r="F301" i="1"/>
  <c r="B120" i="1"/>
  <c r="B183" i="1" s="1"/>
  <c r="B300" i="1" s="1"/>
  <c r="B353" i="1" l="1"/>
  <c r="E120" i="1"/>
  <c r="E183" i="1" l="1"/>
  <c r="E300" i="1" s="1"/>
  <c r="E353" i="1" s="1"/>
  <c r="B160" i="5"/>
  <c r="E204" i="1" l="1"/>
  <c r="J18" i="5"/>
  <c r="I180" i="5" s="1"/>
  <c r="H180" i="5" s="1"/>
  <c r="G4" i="5"/>
  <c r="N4" i="5" s="1"/>
  <c r="O6" i="5"/>
  <c r="M12" i="5"/>
  <c r="Q17" i="5"/>
  <c r="M26" i="5"/>
  <c r="G145" i="5"/>
  <c r="G138" i="5"/>
  <c r="D106" i="5"/>
  <c r="F102" i="5"/>
  <c r="M81" i="5"/>
  <c r="G137" i="5" s="1"/>
  <c r="F188" i="5" s="1"/>
  <c r="I80" i="5"/>
  <c r="I95" i="5" s="1"/>
  <c r="E53" i="5"/>
  <c r="I51" i="5"/>
  <c r="I79" i="5" s="1"/>
  <c r="C51" i="5"/>
  <c r="J21" i="5" l="1"/>
  <c r="O10" i="5" s="1"/>
  <c r="H129" i="5"/>
  <c r="H111" i="5"/>
  <c r="D130" i="5" s="1"/>
  <c r="J4" i="5"/>
  <c r="C4" i="5"/>
  <c r="I26" i="5"/>
  <c r="H24" i="5" s="1"/>
  <c r="I53" i="5"/>
  <c r="G160" i="5" s="1"/>
  <c r="G168" i="5" s="1"/>
  <c r="E101" i="5"/>
  <c r="M77" i="5"/>
  <c r="L72" i="5" s="1"/>
  <c r="D83" i="5"/>
  <c r="E87" i="5"/>
  <c r="C90" i="5" s="1"/>
  <c r="E90" i="5" s="1"/>
  <c r="E186" i="5"/>
  <c r="C166" i="5"/>
  <c r="C167" i="5" s="1"/>
  <c r="C168" i="5" s="1"/>
  <c r="E168" i="5" s="1"/>
  <c r="G101" i="5"/>
  <c r="D82" i="5"/>
  <c r="I94" i="5"/>
  <c r="D97" i="5" s="1"/>
  <c r="C116" i="5"/>
  <c r="O21" i="5" l="1"/>
  <c r="O17" i="5" s="1"/>
  <c r="K24" i="5"/>
  <c r="L22" i="5" s="1"/>
  <c r="J23" i="5" s="1"/>
  <c r="G83" i="5"/>
  <c r="H22" i="5"/>
  <c r="G22" i="5"/>
  <c r="G14" i="5" s="1"/>
  <c r="N77" i="5"/>
  <c r="K102" i="5"/>
  <c r="D104" i="5"/>
  <c r="H168" i="5"/>
  <c r="F186" i="5"/>
  <c r="G173" i="5"/>
  <c r="F124" i="5" l="1"/>
  <c r="G106" i="5"/>
  <c r="N32" i="5"/>
  <c r="H32" i="5" s="1"/>
  <c r="K106" i="5"/>
  <c r="J10" i="5"/>
  <c r="K15" i="5" s="1"/>
  <c r="H16" i="5"/>
  <c r="M106" i="5"/>
  <c r="E117" i="5" s="1"/>
  <c r="G32" i="5" l="1"/>
  <c r="H47" i="5"/>
  <c r="K47" i="5"/>
  <c r="K44" i="5"/>
  <c r="H44" i="5"/>
  <c r="H139" i="5"/>
  <c r="D140" i="5" s="1"/>
  <c r="E49" i="5" l="1"/>
  <c r="F49" i="5" s="1"/>
  <c r="I35" i="1" l="1"/>
  <c r="I33" i="1" l="1"/>
  <c r="F295" i="1" s="1"/>
  <c r="F185" i="1" l="1"/>
  <c r="F184" i="1"/>
  <c r="F122" i="1" l="1"/>
  <c r="F121" i="1"/>
  <c r="J67" i="1" l="1"/>
  <c r="J69" i="1" s="1"/>
  <c r="J76" i="1" l="1"/>
  <c r="F67" i="5"/>
  <c r="I29" i="1"/>
  <c r="L13" i="1"/>
  <c r="P14" i="1"/>
  <c r="T14" i="1"/>
  <c r="P15" i="1"/>
  <c r="S15" i="1"/>
  <c r="T15" i="1"/>
  <c r="R16" i="1"/>
  <c r="R17" i="1"/>
  <c r="L19" i="1"/>
  <c r="L20" i="1"/>
  <c r="L26" i="1" s="1"/>
  <c r="L33" i="1" s="1"/>
  <c r="P20" i="1"/>
  <c r="T20" i="1"/>
  <c r="P21" i="1"/>
  <c r="S21" i="1"/>
  <c r="T21" i="1"/>
  <c r="L22" i="1"/>
  <c r="L28" i="1" s="1"/>
  <c r="L35" i="1" s="1"/>
  <c r="R22" i="1"/>
  <c r="L23" i="1"/>
  <c r="L29" i="1" s="1"/>
  <c r="L36" i="1" s="1"/>
  <c r="R23" i="1"/>
  <c r="L25" i="1"/>
  <c r="P26" i="1"/>
  <c r="T26" i="1"/>
  <c r="P27" i="1"/>
  <c r="S27" i="1"/>
  <c r="T27" i="1"/>
  <c r="R28" i="1"/>
  <c r="R29" i="1"/>
  <c r="L32" i="1"/>
  <c r="P33" i="1"/>
  <c r="T33" i="1"/>
  <c r="P34" i="1"/>
  <c r="S34" i="1"/>
  <c r="T34" i="1"/>
  <c r="R35" i="1"/>
  <c r="R36" i="1"/>
  <c r="L38" i="1"/>
  <c r="P40" i="1"/>
  <c r="P41" i="1"/>
  <c r="P42" i="1"/>
  <c r="P43" i="1"/>
  <c r="P44" i="1"/>
  <c r="T44" i="1"/>
  <c r="P45" i="1"/>
  <c r="N47" i="1"/>
  <c r="P47" i="1"/>
  <c r="Q47" i="1"/>
  <c r="S47" i="1"/>
  <c r="T47" i="1"/>
  <c r="U47" i="1"/>
  <c r="N48" i="1"/>
  <c r="P48" i="1"/>
  <c r="Q48" i="1"/>
  <c r="S48" i="1"/>
  <c r="T48" i="1"/>
  <c r="U48" i="1"/>
  <c r="N49" i="1"/>
  <c r="P49" i="1"/>
  <c r="Q49" i="1"/>
  <c r="S49" i="1"/>
  <c r="T49" i="1"/>
  <c r="U49" i="1"/>
  <c r="N51" i="1"/>
  <c r="P51" i="1"/>
  <c r="Q51" i="1"/>
  <c r="S51" i="1"/>
  <c r="T51" i="1"/>
  <c r="U51" i="1"/>
  <c r="N52" i="1"/>
  <c r="P52" i="1"/>
  <c r="Q52" i="1"/>
  <c r="S52" i="1"/>
  <c r="T52" i="1"/>
  <c r="U52" i="1"/>
  <c r="N53" i="1"/>
  <c r="Q53" i="1"/>
  <c r="S53" i="1"/>
  <c r="T53" i="1"/>
  <c r="U53" i="1"/>
  <c r="E59" i="1"/>
  <c r="B178" i="1" l="1"/>
  <c r="B242" i="1" s="1"/>
  <c r="E236" i="1"/>
  <c r="I236" i="1" s="1"/>
  <c r="B236" i="1"/>
  <c r="I57" i="5"/>
  <c r="F120" i="1"/>
  <c r="F183" i="1" s="1"/>
  <c r="I55" i="5"/>
  <c r="I56" i="5" s="1"/>
  <c r="E186" i="8" s="1"/>
  <c r="J75" i="1"/>
  <c r="M81" i="1" s="1"/>
  <c r="N80" i="1"/>
  <c r="N81" i="1"/>
  <c r="D546" i="1"/>
  <c r="D549" i="1" s="1"/>
  <c r="P53" i="1" s="1"/>
  <c r="A481" i="1"/>
  <c r="G496" i="1" s="1"/>
  <c r="C499" i="1"/>
  <c r="F476" i="1"/>
  <c r="D433" i="1"/>
  <c r="I186" i="8" l="1"/>
  <c r="E186" i="6"/>
  <c r="E124" i="6" s="1"/>
  <c r="A545" i="1"/>
  <c r="C555" i="1"/>
  <c r="I183" i="1"/>
  <c r="F300" i="1"/>
  <c r="E186" i="1"/>
  <c r="I58" i="5"/>
  <c r="I120" i="1"/>
  <c r="M80" i="1"/>
  <c r="A546" i="1"/>
  <c r="D545" i="1"/>
  <c r="A489" i="1"/>
  <c r="A490" i="1"/>
  <c r="D489" i="1"/>
  <c r="D490" i="1"/>
  <c r="D493" i="1" s="1"/>
  <c r="A433" i="1"/>
  <c r="E419" i="1"/>
  <c r="A420" i="1"/>
  <c r="A419" i="1"/>
  <c r="G419" i="1"/>
  <c r="G420" i="1"/>
  <c r="G412" i="1"/>
  <c r="G416" i="1"/>
  <c r="G411" i="1"/>
  <c r="G406" i="1"/>
  <c r="G407" i="1"/>
  <c r="G405" i="1"/>
  <c r="G398" i="1"/>
  <c r="G397" i="1"/>
  <c r="E241" i="6" l="1"/>
  <c r="E291" i="6" s="1"/>
  <c r="I186" i="6"/>
  <c r="I124" i="6"/>
  <c r="I300" i="1"/>
  <c r="F353" i="1"/>
  <c r="I353" i="1" s="1"/>
  <c r="I186" i="1"/>
  <c r="E371" i="1"/>
  <c r="D434" i="1"/>
  <c r="F437" i="1" s="1"/>
  <c r="I241" i="6" l="1"/>
  <c r="I291" i="6"/>
  <c r="D437" i="1"/>
  <c r="A434" i="1"/>
  <c r="C2" i="3"/>
  <c r="F343" i="1" l="1"/>
  <c r="E319" i="1"/>
  <c r="I343" i="1" l="1"/>
  <c r="F286" i="1" l="1"/>
  <c r="E286" i="1"/>
  <c r="B286" i="1"/>
  <c r="I286" i="1" l="1"/>
  <c r="F178" i="1"/>
  <c r="F242" i="1" s="1"/>
  <c r="F177" i="1"/>
  <c r="F176" i="1"/>
  <c r="I137" i="1" l="1"/>
  <c r="S14" i="1" s="1"/>
  <c r="H476" i="1" l="1"/>
  <c r="G404" i="1"/>
  <c r="B336" i="1" l="1"/>
  <c r="F285" i="1"/>
  <c r="B285" i="1"/>
  <c r="E285" i="1"/>
  <c r="B113" i="1"/>
  <c r="B169" i="1" s="1"/>
  <c r="B227" i="1" s="1"/>
  <c r="I23" i="1"/>
  <c r="I53" i="1"/>
  <c r="I52" i="1"/>
  <c r="F297" i="1" l="1"/>
  <c r="F296" i="1"/>
  <c r="F298" i="1"/>
  <c r="F299" i="1"/>
  <c r="B292" i="1"/>
  <c r="B352" i="1"/>
  <c r="F241" i="1"/>
  <c r="B241" i="1"/>
  <c r="E241" i="1"/>
  <c r="B527" i="1"/>
  <c r="I54" i="1"/>
  <c r="M344" i="1"/>
  <c r="I179" i="1"/>
  <c r="F352" i="1"/>
  <c r="E352" i="1"/>
  <c r="I285" i="1"/>
  <c r="F526" i="1"/>
  <c r="B526" i="1"/>
  <c r="B528" i="1"/>
  <c r="E176" i="1"/>
  <c r="I176" i="1" s="1"/>
  <c r="E407" i="1"/>
  <c r="J407" i="1" s="1"/>
  <c r="E406" i="1"/>
  <c r="J406" i="1" s="1"/>
  <c r="E177" i="1"/>
  <c r="I177" i="1" s="1"/>
  <c r="K22" i="1"/>
  <c r="K26" i="1"/>
  <c r="J87" i="1"/>
  <c r="A59" i="1"/>
  <c r="C59" i="1"/>
  <c r="F59" i="1"/>
  <c r="G59" i="1"/>
  <c r="H59" i="1"/>
  <c r="I59" i="1"/>
  <c r="J59" i="1"/>
  <c r="E113" i="1"/>
  <c r="F113" i="1"/>
  <c r="F169" i="1" s="1"/>
  <c r="F227" i="1" s="1"/>
  <c r="B114" i="1"/>
  <c r="B170" i="1" s="1"/>
  <c r="B228" i="1" s="1"/>
  <c r="E114" i="1"/>
  <c r="E170" i="1" s="1"/>
  <c r="E228" i="1" s="1"/>
  <c r="F114" i="1"/>
  <c r="F170" i="1" s="1"/>
  <c r="F228" i="1" s="1"/>
  <c r="E146" i="1"/>
  <c r="I193" i="1"/>
  <c r="S20" i="1" s="1"/>
  <c r="E292" i="1"/>
  <c r="F292" i="1"/>
  <c r="I310" i="1"/>
  <c r="S26" i="1" s="1"/>
  <c r="E336" i="1"/>
  <c r="F336" i="1"/>
  <c r="B337" i="1"/>
  <c r="E337" i="1"/>
  <c r="F337" i="1"/>
  <c r="I362" i="1"/>
  <c r="S33" i="1" s="1"/>
  <c r="C425" i="1"/>
  <c r="D445" i="1" s="1"/>
  <c r="I428" i="1"/>
  <c r="T40" i="1" s="1"/>
  <c r="B476" i="1"/>
  <c r="I484" i="1"/>
  <c r="T42" i="1" s="1"/>
  <c r="I485" i="1"/>
  <c r="T43" i="1" s="1"/>
  <c r="B525" i="1"/>
  <c r="F525" i="1"/>
  <c r="H525" i="1"/>
  <c r="H526" i="1"/>
  <c r="F527" i="1"/>
  <c r="H527" i="1"/>
  <c r="F528" i="1"/>
  <c r="H528" i="1"/>
  <c r="B529" i="1"/>
  <c r="F529" i="1"/>
  <c r="H529" i="1"/>
  <c r="I541" i="1"/>
  <c r="I542" i="1"/>
  <c r="T45" i="1" s="1"/>
  <c r="F348" i="1" l="1"/>
  <c r="F349" i="1"/>
  <c r="F350" i="1"/>
  <c r="F347" i="1"/>
  <c r="F345" i="1"/>
  <c r="F346" i="1"/>
  <c r="G418" i="1"/>
  <c r="I241" i="1"/>
  <c r="E243" i="1"/>
  <c r="B243" i="1"/>
  <c r="E244" i="1"/>
  <c r="I244" i="1" s="1"/>
  <c r="B244" i="1"/>
  <c r="I228" i="1"/>
  <c r="E169" i="1"/>
  <c r="E355" i="1"/>
  <c r="I355" i="1" s="1"/>
  <c r="B355" i="1"/>
  <c r="E354" i="1"/>
  <c r="I354" i="1" s="1"/>
  <c r="B354" i="1"/>
  <c r="B301" i="1"/>
  <c r="E302" i="1"/>
  <c r="I302" i="1" s="1"/>
  <c r="B302" i="1"/>
  <c r="E301" i="1"/>
  <c r="I301" i="1" s="1"/>
  <c r="E121" i="1"/>
  <c r="B184" i="1"/>
  <c r="E185" i="1"/>
  <c r="I185" i="1" s="1"/>
  <c r="B185" i="1"/>
  <c r="E184" i="1"/>
  <c r="E122" i="1"/>
  <c r="I122" i="1" s="1"/>
  <c r="B122" i="1"/>
  <c r="B121" i="1"/>
  <c r="I180" i="1"/>
  <c r="M342" i="1"/>
  <c r="B344" i="1"/>
  <c r="I341" i="1"/>
  <c r="G417" i="1"/>
  <c r="E351" i="1"/>
  <c r="B351" i="1"/>
  <c r="F351" i="1"/>
  <c r="E420" i="1"/>
  <c r="J420" i="1" s="1"/>
  <c r="E344" i="1"/>
  <c r="F344" i="1"/>
  <c r="D484" i="1"/>
  <c r="N42" i="1" s="1"/>
  <c r="D436" i="1"/>
  <c r="D428" i="1"/>
  <c r="N40" i="1" s="1"/>
  <c r="D429" i="1"/>
  <c r="N41" i="1" s="1"/>
  <c r="I429" i="1"/>
  <c r="T41" i="1" s="1"/>
  <c r="B338" i="1"/>
  <c r="F287" i="1"/>
  <c r="B287" i="1"/>
  <c r="E287" i="1"/>
  <c r="B293" i="1"/>
  <c r="E178" i="1"/>
  <c r="E115" i="1"/>
  <c r="E338" i="1"/>
  <c r="K29" i="1"/>
  <c r="B115" i="1"/>
  <c r="B171" i="1" s="1"/>
  <c r="B229" i="1" s="1"/>
  <c r="J63" i="1"/>
  <c r="I292" i="1"/>
  <c r="I114" i="1"/>
  <c r="I113" i="1"/>
  <c r="I170" i="1"/>
  <c r="J526" i="1"/>
  <c r="D485" i="1"/>
  <c r="N43" i="1" s="1"/>
  <c r="J525" i="1"/>
  <c r="D541" i="1"/>
  <c r="N44" i="1" s="1"/>
  <c r="D542" i="1"/>
  <c r="N45" i="1" s="1"/>
  <c r="J476" i="1"/>
  <c r="I337" i="1"/>
  <c r="F293" i="1"/>
  <c r="F338" i="1"/>
  <c r="E293" i="1"/>
  <c r="J527" i="1"/>
  <c r="J528" i="1"/>
  <c r="J529" i="1"/>
  <c r="F115" i="1"/>
  <c r="F171" i="1" s="1"/>
  <c r="F229" i="1" s="1"/>
  <c r="I336" i="1"/>
  <c r="I352" i="1"/>
  <c r="B347" i="1" l="1"/>
  <c r="B345" i="1"/>
  <c r="B349" i="1"/>
  <c r="B348" i="1"/>
  <c r="B350" i="1"/>
  <c r="B346" i="1"/>
  <c r="E350" i="1"/>
  <c r="I350" i="1" s="1"/>
  <c r="E298" i="1"/>
  <c r="I298" i="1" s="1"/>
  <c r="E349" i="1"/>
  <c r="E299" i="1"/>
  <c r="I299" i="1" s="1"/>
  <c r="E348" i="1"/>
  <c r="I348" i="1" s="1"/>
  <c r="E347" i="1"/>
  <c r="E346" i="1"/>
  <c r="I346" i="1" s="1"/>
  <c r="B299" i="1"/>
  <c r="E345" i="1"/>
  <c r="B298" i="1"/>
  <c r="B297" i="1"/>
  <c r="B296" i="1"/>
  <c r="E296" i="1"/>
  <c r="I296" i="1" s="1"/>
  <c r="E297" i="1"/>
  <c r="I297" i="1" s="1"/>
  <c r="E295" i="1"/>
  <c r="B295" i="1"/>
  <c r="E294" i="1"/>
  <c r="B294" i="1"/>
  <c r="I184" i="1"/>
  <c r="I243" i="1"/>
  <c r="E117" i="1"/>
  <c r="I117" i="1" s="1"/>
  <c r="E116" i="1"/>
  <c r="E233" i="1"/>
  <c r="B117" i="1"/>
  <c r="B175" i="1" s="1"/>
  <c r="E232" i="1"/>
  <c r="I232" i="1" s="1"/>
  <c r="B116" i="1"/>
  <c r="B174" i="1" s="1"/>
  <c r="B119" i="1"/>
  <c r="E175" i="1"/>
  <c r="I175" i="1" s="1"/>
  <c r="B118" i="1"/>
  <c r="E174" i="1"/>
  <c r="I174" i="1" s="1"/>
  <c r="E118" i="1"/>
  <c r="B233" i="1"/>
  <c r="E119" i="1"/>
  <c r="B232" i="1"/>
  <c r="I169" i="1"/>
  <c r="E227" i="1"/>
  <c r="I178" i="1"/>
  <c r="E242" i="1"/>
  <c r="I242" i="1" s="1"/>
  <c r="E171" i="1"/>
  <c r="E229" i="1" s="1"/>
  <c r="I229" i="1" s="1"/>
  <c r="I121" i="1"/>
  <c r="I287" i="1"/>
  <c r="I342" i="1"/>
  <c r="I349" i="1"/>
  <c r="I347" i="1"/>
  <c r="A418" i="1"/>
  <c r="E416" i="1"/>
  <c r="A416" i="1"/>
  <c r="E412" i="1"/>
  <c r="J412" i="1" s="1"/>
  <c r="E411" i="1"/>
  <c r="E418" i="1"/>
  <c r="J418" i="1" s="1"/>
  <c r="A417" i="1"/>
  <c r="E417" i="1"/>
  <c r="J417" i="1" s="1"/>
  <c r="A412" i="1"/>
  <c r="A411" i="1"/>
  <c r="I115" i="1"/>
  <c r="J72" i="1"/>
  <c r="J79" i="1" s="1"/>
  <c r="J83" i="1" s="1"/>
  <c r="A404" i="1"/>
  <c r="A398" i="1"/>
  <c r="E397" i="1"/>
  <c r="E398" i="1"/>
  <c r="J398" i="1" s="1"/>
  <c r="A397" i="1"/>
  <c r="I339" i="1"/>
  <c r="I340" i="1"/>
  <c r="J73" i="1"/>
  <c r="K79" i="1" s="1"/>
  <c r="K83" i="1" s="1"/>
  <c r="I338" i="1"/>
  <c r="E404" i="1"/>
  <c r="I293" i="1"/>
  <c r="I351" i="1"/>
  <c r="A367" i="1" l="1"/>
  <c r="I118" i="1"/>
  <c r="C146" i="1"/>
  <c r="A371" i="1"/>
  <c r="C371" i="1"/>
  <c r="A319" i="1"/>
  <c r="C319" i="1"/>
  <c r="I295" i="1"/>
  <c r="A315" i="1" s="1"/>
  <c r="I227" i="1"/>
  <c r="I171" i="1"/>
  <c r="I233" i="1"/>
  <c r="A146" i="1"/>
  <c r="I119" i="1"/>
  <c r="C142" i="1" s="1"/>
  <c r="I345" i="1"/>
  <c r="M79" i="1"/>
  <c r="N79" i="1"/>
  <c r="N78" i="1"/>
  <c r="M78" i="1"/>
  <c r="J78" i="1"/>
  <c r="J82" i="1" s="1"/>
  <c r="E421" i="1"/>
  <c r="E413" i="1"/>
  <c r="J404" i="1"/>
  <c r="J411" i="1"/>
  <c r="J397" i="1"/>
  <c r="J401" i="1" s="1"/>
  <c r="E401" i="1"/>
  <c r="K78" i="1"/>
  <c r="K82" i="1" s="1"/>
  <c r="I294" i="1"/>
  <c r="C315" i="1" s="1"/>
  <c r="I116" i="1"/>
  <c r="J419" i="1"/>
  <c r="J416" i="1"/>
  <c r="I344" i="1"/>
  <c r="C367" i="1" s="1"/>
  <c r="F371" i="1" l="1"/>
  <c r="H371" i="1" s="1"/>
  <c r="Q36" i="1" s="1"/>
  <c r="A142" i="1"/>
  <c r="A138" i="1" s="1"/>
  <c r="A311" i="1"/>
  <c r="A363" i="1"/>
  <c r="B363" i="1" s="1"/>
  <c r="F319" i="1"/>
  <c r="H319" i="1" s="1"/>
  <c r="Q29" i="1" s="1"/>
  <c r="E182" i="1"/>
  <c r="C203" i="1" s="1"/>
  <c r="E181" i="1"/>
  <c r="A203" i="1" s="1"/>
  <c r="B182" i="1"/>
  <c r="B181" i="1"/>
  <c r="F146" i="1"/>
  <c r="N17" i="1" s="1"/>
  <c r="E367" i="1"/>
  <c r="A405" i="1"/>
  <c r="E405" i="1"/>
  <c r="O79" i="1"/>
  <c r="J80" i="1" s="1"/>
  <c r="J84" i="1" s="1"/>
  <c r="P80" i="1"/>
  <c r="K81" i="1" s="1"/>
  <c r="K85" i="1" s="1"/>
  <c r="P79" i="1"/>
  <c r="K80" i="1" s="1"/>
  <c r="K84" i="1" s="1"/>
  <c r="O80" i="1"/>
  <c r="J81" i="1" s="1"/>
  <c r="J85" i="1" s="1"/>
  <c r="J421" i="1"/>
  <c r="J413" i="1"/>
  <c r="E315" i="1"/>
  <c r="N36" i="1" l="1"/>
  <c r="I8" i="3"/>
  <c r="J8" i="3" s="1"/>
  <c r="N29" i="1"/>
  <c r="I7" i="3"/>
  <c r="J7" i="3" s="1"/>
  <c r="E142" i="1"/>
  <c r="N16" i="1" s="1"/>
  <c r="E363" i="1"/>
  <c r="E362" i="1"/>
  <c r="C8" i="3" s="1"/>
  <c r="I3" i="3"/>
  <c r="J3" i="3" s="1"/>
  <c r="E240" i="1"/>
  <c r="C262" i="1" s="1"/>
  <c r="E239" i="1"/>
  <c r="A262" i="1" s="1"/>
  <c r="B240" i="1"/>
  <c r="B239" i="1"/>
  <c r="H146" i="1"/>
  <c r="Q17" i="1" s="1"/>
  <c r="I181" i="1"/>
  <c r="C198" i="1" s="1"/>
  <c r="J405" i="1"/>
  <c r="J408" i="1" s="1"/>
  <c r="J424" i="1" s="1"/>
  <c r="D443" i="1" s="1"/>
  <c r="G443" i="1" s="1"/>
  <c r="E408" i="1"/>
  <c r="E423" i="1" s="1"/>
  <c r="H428" i="1" s="1"/>
  <c r="S40" i="1" s="1"/>
  <c r="N28" i="1"/>
  <c r="G7" i="3"/>
  <c r="H7" i="3" s="1"/>
  <c r="G367" i="1"/>
  <c r="N35" i="1"/>
  <c r="G8" i="3"/>
  <c r="B311" i="1"/>
  <c r="G315" i="1"/>
  <c r="B138" i="1"/>
  <c r="J319" i="1"/>
  <c r="U29" i="1" s="1"/>
  <c r="J371" i="1"/>
  <c r="U36" i="1" s="1"/>
  <c r="G3" i="3" l="1"/>
  <c r="H3" i="3" s="1"/>
  <c r="G142" i="1"/>
  <c r="Q16" i="1" s="1"/>
  <c r="E310" i="1"/>
  <c r="E311" i="1"/>
  <c r="E137" i="1"/>
  <c r="E138" i="1"/>
  <c r="J146" i="1"/>
  <c r="U17" i="1" s="1"/>
  <c r="I239" i="1"/>
  <c r="I240" i="1"/>
  <c r="A257" i="1" s="1"/>
  <c r="F262" i="1"/>
  <c r="I6" i="3" s="1"/>
  <c r="J6" i="3" s="1"/>
  <c r="I182" i="1"/>
  <c r="A198" i="1" s="1"/>
  <c r="F428" i="1"/>
  <c r="Q40" i="1" s="1"/>
  <c r="J428" i="1"/>
  <c r="U40" i="1" s="1"/>
  <c r="H429" i="1"/>
  <c r="F429" i="1" s="1"/>
  <c r="Q41" i="1" s="1"/>
  <c r="D475" i="1"/>
  <c r="G362" i="1"/>
  <c r="Q33" i="1" s="1"/>
  <c r="N33" i="1"/>
  <c r="D524" i="1"/>
  <c r="A204" i="1"/>
  <c r="I315" i="1"/>
  <c r="U28" i="1" s="1"/>
  <c r="Q28" i="1"/>
  <c r="I367" i="1"/>
  <c r="U35" i="1" s="1"/>
  <c r="Q35" i="1"/>
  <c r="E8" i="3"/>
  <c r="N34" i="1"/>
  <c r="K429" i="1"/>
  <c r="F436" i="1"/>
  <c r="H436" i="1" s="1"/>
  <c r="C475" i="1"/>
  <c r="C524" i="1" s="1"/>
  <c r="K363" i="1"/>
  <c r="G363" i="1"/>
  <c r="Q34" i="1" s="1"/>
  <c r="H8" i="3"/>
  <c r="I142" i="1" l="1"/>
  <c r="U16" i="1" s="1"/>
  <c r="H262" i="1"/>
  <c r="J262" i="1" s="1"/>
  <c r="O23" i="1"/>
  <c r="F3" i="3"/>
  <c r="C257" i="1"/>
  <c r="C258" i="1" s="1"/>
  <c r="A258" i="1"/>
  <c r="A194" i="1"/>
  <c r="B194" i="1" s="1"/>
  <c r="B63" i="5"/>
  <c r="A199" i="1"/>
  <c r="C204" i="1"/>
  <c r="D67" i="5"/>
  <c r="C199" i="1"/>
  <c r="E524" i="1"/>
  <c r="F524" i="1" s="1"/>
  <c r="F534" i="1" s="1"/>
  <c r="S41" i="1"/>
  <c r="J429" i="1"/>
  <c r="U41" i="1" s="1"/>
  <c r="J436" i="1"/>
  <c r="J437" i="1"/>
  <c r="K362" i="1"/>
  <c r="U33" i="1" s="1"/>
  <c r="F203" i="1"/>
  <c r="B67" i="5"/>
  <c r="E475" i="1"/>
  <c r="F475" i="1" s="1"/>
  <c r="E3" i="3"/>
  <c r="N15" i="1"/>
  <c r="E7" i="3"/>
  <c r="N27" i="1"/>
  <c r="F8" i="3"/>
  <c r="U34" i="1"/>
  <c r="C3" i="3"/>
  <c r="N14" i="1"/>
  <c r="C7" i="3"/>
  <c r="N26" i="1"/>
  <c r="G137" i="1"/>
  <c r="D474" i="1"/>
  <c r="D523" i="1"/>
  <c r="G310" i="1"/>
  <c r="Q26" i="1" s="1"/>
  <c r="C523" i="1"/>
  <c r="G311" i="1"/>
  <c r="Q27" i="1" s="1"/>
  <c r="K311" i="1"/>
  <c r="U27" i="1" s="1"/>
  <c r="C474" i="1"/>
  <c r="D472" i="1"/>
  <c r="C472" i="1"/>
  <c r="G138" i="1"/>
  <c r="Q15" i="1" s="1"/>
  <c r="K138" i="1"/>
  <c r="U15" i="1" s="1"/>
  <c r="E194" i="1" l="1"/>
  <c r="C473" i="1" s="1"/>
  <c r="E193" i="1"/>
  <c r="D522" i="1" s="1"/>
  <c r="A253" i="1"/>
  <c r="B253" i="1" s="1"/>
  <c r="E257" i="1"/>
  <c r="G6" i="3" s="1"/>
  <c r="H6" i="3" s="1"/>
  <c r="E258" i="1"/>
  <c r="G258" i="1" s="1"/>
  <c r="I258" i="1" s="1"/>
  <c r="E199" i="1"/>
  <c r="H524" i="1"/>
  <c r="J524" i="1" s="1"/>
  <c r="H534" i="1" s="1"/>
  <c r="D8" i="3"/>
  <c r="G67" i="5"/>
  <c r="I67" i="5" s="1"/>
  <c r="K67" i="5" s="1"/>
  <c r="F204" i="1"/>
  <c r="H203" i="1"/>
  <c r="N23" i="1"/>
  <c r="I4" i="3"/>
  <c r="J4" i="3" s="1"/>
  <c r="E198" i="1"/>
  <c r="G4" i="3" s="1"/>
  <c r="H4" i="3" s="1"/>
  <c r="D63" i="5"/>
  <c r="H475" i="1"/>
  <c r="J475" i="1" s="1"/>
  <c r="K137" i="1"/>
  <c r="Q14" i="1"/>
  <c r="E523" i="1"/>
  <c r="F523" i="1" s="1"/>
  <c r="F533" i="1" s="1"/>
  <c r="D521" i="1"/>
  <c r="E472" i="1"/>
  <c r="F472" i="1" s="1"/>
  <c r="E474" i="1"/>
  <c r="F474" i="1" s="1"/>
  <c r="H474" i="1" s="1"/>
  <c r="J474" i="1" s="1"/>
  <c r="F7" i="3"/>
  <c r="K310" i="1"/>
  <c r="U26" i="1" s="1"/>
  <c r="C521" i="1"/>
  <c r="F257" i="1" l="1"/>
  <c r="H257" i="1" s="1"/>
  <c r="O22" i="1"/>
  <c r="E252" i="1"/>
  <c r="C6" i="3" s="1"/>
  <c r="E253" i="1"/>
  <c r="C4" i="3"/>
  <c r="D473" i="1"/>
  <c r="E473" i="1" s="1"/>
  <c r="F473" i="1" s="1"/>
  <c r="H473" i="1" s="1"/>
  <c r="J473" i="1" s="1"/>
  <c r="G193" i="1"/>
  <c r="K193" i="1" s="1"/>
  <c r="N20" i="1"/>
  <c r="N22" i="1"/>
  <c r="H204" i="1"/>
  <c r="J204" i="1" s="1"/>
  <c r="G198" i="1"/>
  <c r="Q22" i="1" s="1"/>
  <c r="F63" i="5"/>
  <c r="J203" i="1"/>
  <c r="U23" i="1" s="1"/>
  <c r="Q23" i="1"/>
  <c r="N21" i="1"/>
  <c r="E4" i="3"/>
  <c r="G194" i="1"/>
  <c r="K194" i="1"/>
  <c r="F4" i="3" s="1"/>
  <c r="C522" i="1"/>
  <c r="E522" i="1" s="1"/>
  <c r="F522" i="1" s="1"/>
  <c r="F532" i="1" s="1"/>
  <c r="D3" i="3"/>
  <c r="U14" i="1"/>
  <c r="E521" i="1"/>
  <c r="F521" i="1" s="1"/>
  <c r="F531" i="1" s="1"/>
  <c r="H523" i="1"/>
  <c r="J523" i="1" s="1"/>
  <c r="H533" i="1" s="1"/>
  <c r="D7" i="3"/>
  <c r="H472" i="1"/>
  <c r="J472" i="1" s="1"/>
  <c r="G253" i="1" l="1"/>
  <c r="E6" i="3"/>
  <c r="G252" i="1"/>
  <c r="K252" i="1" s="1"/>
  <c r="D6" i="3" s="1"/>
  <c r="P22" i="1"/>
  <c r="K253" i="1"/>
  <c r="F6" i="3" s="1"/>
  <c r="Q20" i="1"/>
  <c r="I198" i="1"/>
  <c r="U22" i="1" s="1"/>
  <c r="H63" i="5"/>
  <c r="J63" i="5" s="1"/>
  <c r="U21" i="1"/>
  <c r="H522" i="1"/>
  <c r="J522" i="1" s="1"/>
  <c r="H532" i="1" s="1"/>
  <c r="F535" i="1"/>
  <c r="H541" i="1" s="1"/>
  <c r="S44" i="1" s="1"/>
  <c r="F478" i="1"/>
  <c r="H484" i="1" s="1"/>
  <c r="J484" i="1" s="1"/>
  <c r="U42" i="1" s="1"/>
  <c r="D4" i="3"/>
  <c r="U20" i="1"/>
  <c r="H521" i="1"/>
  <c r="J521" i="1" s="1"/>
  <c r="H531" i="1" s="1"/>
  <c r="J478" i="1"/>
  <c r="C498" i="1" l="1"/>
  <c r="H499" i="1" s="1"/>
  <c r="D492" i="1"/>
  <c r="F492" i="1" s="1"/>
  <c r="H492" i="1" s="1"/>
  <c r="G199" i="1"/>
  <c r="I199" i="1" s="1"/>
  <c r="I535" i="1"/>
  <c r="J541" i="1"/>
  <c r="U44" i="1" s="1"/>
  <c r="F541" i="1"/>
  <c r="Q44" i="1" s="1"/>
  <c r="H542" i="1"/>
  <c r="S45" i="1" s="1"/>
  <c r="H485" i="1"/>
  <c r="F485" i="1" s="1"/>
  <c r="Q43" i="1" s="1"/>
  <c r="F484" i="1"/>
  <c r="Q42" i="1" s="1"/>
  <c r="S42" i="1"/>
  <c r="C554" i="1" l="1"/>
  <c r="F554" i="1" s="1"/>
  <c r="D548" i="1"/>
  <c r="F548" i="1" s="1"/>
  <c r="H548" i="1" s="1"/>
  <c r="F542" i="1"/>
  <c r="Q45" i="1" s="1"/>
  <c r="J542" i="1"/>
  <c r="U45" i="1" s="1"/>
  <c r="J485" i="1"/>
  <c r="U43" i="1" s="1"/>
  <c r="S43" i="1"/>
  <c r="F236" i="6"/>
  <c r="B275" i="6"/>
  <c r="A343" i="6"/>
  <c r="E343" i="6"/>
  <c r="K22" i="6"/>
  <c r="B274" i="6"/>
  <c r="A342" i="6"/>
  <c r="F180" i="6"/>
  <c r="F182" i="6"/>
  <c r="F177" i="6"/>
  <c r="B228" i="6"/>
  <c r="F178" i="6"/>
  <c r="F181" i="6"/>
  <c r="B177" i="6"/>
  <c r="B180" i="6"/>
  <c r="E342" i="6"/>
  <c r="B178" i="6"/>
  <c r="F237" i="6"/>
  <c r="B227" i="6"/>
  <c r="E228" i="6"/>
  <c r="I228" i="6"/>
  <c r="G341" i="6"/>
  <c r="E114" i="6"/>
  <c r="I114" i="6" s="1"/>
  <c r="G352" i="6"/>
  <c r="B114" i="6"/>
  <c r="B172" i="6" s="1"/>
  <c r="E177" i="6"/>
  <c r="B116" i="6"/>
  <c r="B174" i="6" s="1"/>
  <c r="G348" i="6"/>
  <c r="G340" i="6"/>
  <c r="E180" i="6"/>
  <c r="E178" i="6"/>
  <c r="I178" i="6" s="1"/>
  <c r="E275" i="6"/>
  <c r="I275" i="6" s="1"/>
  <c r="G333" i="6"/>
  <c r="G334" i="6"/>
  <c r="G347" i="6"/>
  <c r="B113" i="6"/>
  <c r="B171" i="6" s="1"/>
  <c r="G342" i="6"/>
  <c r="E116" i="6"/>
  <c r="E174" i="6" s="1"/>
  <c r="I174" i="6" s="1"/>
  <c r="I23" i="6"/>
  <c r="K29" i="6" s="1"/>
  <c r="G343" i="6"/>
  <c r="J343" i="6"/>
  <c r="E227" i="6"/>
  <c r="I33" i="6"/>
  <c r="F118" i="6" s="1"/>
  <c r="E113" i="6"/>
  <c r="E274" i="6"/>
  <c r="J342" i="6" l="1"/>
  <c r="I180" i="6"/>
  <c r="D372" i="6"/>
  <c r="F119" i="6"/>
  <c r="I177" i="6"/>
  <c r="B233" i="6"/>
  <c r="J78" i="6"/>
  <c r="E277" i="6"/>
  <c r="B231" i="6"/>
  <c r="K79" i="6"/>
  <c r="I274" i="6"/>
  <c r="F117" i="6"/>
  <c r="F175" i="6" s="1"/>
  <c r="E117" i="6"/>
  <c r="B181" i="6"/>
  <c r="I116" i="6"/>
  <c r="F280" i="6"/>
  <c r="M81" i="6"/>
  <c r="K78" i="6"/>
  <c r="E181" i="6"/>
  <c r="I181" i="6" s="1"/>
  <c r="N80" i="6"/>
  <c r="P79" i="6" s="1"/>
  <c r="K80" i="6" s="1"/>
  <c r="M79" i="6"/>
  <c r="O80" i="6" s="1"/>
  <c r="J81" i="6" s="1"/>
  <c r="B278" i="6"/>
  <c r="I227" i="6"/>
  <c r="N81" i="6"/>
  <c r="P80" i="6" s="1"/>
  <c r="K81" i="6" s="1"/>
  <c r="M78" i="6"/>
  <c r="O79" i="6" s="1"/>
  <c r="J80" i="6" s="1"/>
  <c r="E172" i="6"/>
  <c r="I172" i="6" s="1"/>
  <c r="F176" i="6"/>
  <c r="F233" i="6"/>
  <c r="B118" i="6"/>
  <c r="I113" i="6"/>
  <c r="G353" i="6"/>
  <c r="E118" i="6"/>
  <c r="I118" i="6" s="1"/>
  <c r="B450" i="6"/>
  <c r="B277" i="6"/>
  <c r="J79" i="6"/>
  <c r="F230" i="6"/>
  <c r="E231" i="6"/>
  <c r="G354" i="6"/>
  <c r="F285" i="6"/>
  <c r="B452" i="6"/>
  <c r="M80" i="6"/>
  <c r="N78" i="6"/>
  <c r="F452" i="6"/>
  <c r="J452" i="6" s="1"/>
  <c r="F450" i="6"/>
  <c r="J450" i="6" s="1"/>
  <c r="F278" i="6"/>
  <c r="F120" i="6"/>
  <c r="N79" i="6"/>
  <c r="F277" i="6"/>
  <c r="E278" i="6"/>
  <c r="E171" i="6"/>
  <c r="C203" i="6" s="1"/>
  <c r="J87" i="6"/>
  <c r="J63" i="6"/>
  <c r="K84" i="6" s="1"/>
  <c r="E175" i="6"/>
  <c r="E230" i="6"/>
  <c r="F284" i="6"/>
  <c r="M280" i="6"/>
  <c r="E233" i="6"/>
  <c r="I233" i="6" s="1"/>
  <c r="F231" i="6"/>
  <c r="B230" i="6"/>
  <c r="E280" i="6"/>
  <c r="B117" i="6"/>
  <c r="B175" i="6" s="1"/>
  <c r="F283" i="6"/>
  <c r="B280" i="6"/>
  <c r="I175" i="6" l="1"/>
  <c r="I277" i="6"/>
  <c r="C307" i="6"/>
  <c r="C257" i="6"/>
  <c r="I280" i="6"/>
  <c r="I117" i="6"/>
  <c r="A144" i="6" s="1"/>
  <c r="I230" i="6"/>
  <c r="I231" i="6"/>
  <c r="I278" i="6"/>
  <c r="B176" i="6"/>
  <c r="B119" i="6"/>
  <c r="E119" i="6"/>
  <c r="E237" i="6"/>
  <c r="I237" i="6" s="1"/>
  <c r="K83" i="6"/>
  <c r="E353" i="6"/>
  <c r="J353" i="6" s="1"/>
  <c r="E120" i="6"/>
  <c r="I120" i="6" s="1"/>
  <c r="E283" i="6"/>
  <c r="E348" i="6"/>
  <c r="J348" i="6" s="1"/>
  <c r="J83" i="6"/>
  <c r="E284" i="6"/>
  <c r="I284" i="6" s="1"/>
  <c r="E354" i="6"/>
  <c r="J354" i="6" s="1"/>
  <c r="A347" i="6"/>
  <c r="A354" i="6"/>
  <c r="E340" i="6"/>
  <c r="E333" i="6"/>
  <c r="B236" i="6"/>
  <c r="A334" i="6"/>
  <c r="B283" i="6"/>
  <c r="E285" i="6"/>
  <c r="I285" i="6" s="1"/>
  <c r="A333" i="6"/>
  <c r="E347" i="6"/>
  <c r="B285" i="6"/>
  <c r="B120" i="6"/>
  <c r="A340" i="6"/>
  <c r="B237" i="6"/>
  <c r="E236" i="6"/>
  <c r="A352" i="6"/>
  <c r="A353" i="6"/>
  <c r="A348" i="6"/>
  <c r="E352" i="6"/>
  <c r="E176" i="6"/>
  <c r="B284" i="6"/>
  <c r="E334" i="6"/>
  <c r="J334" i="6" s="1"/>
  <c r="J85" i="6"/>
  <c r="K82" i="6"/>
  <c r="B240" i="6"/>
  <c r="E239" i="6"/>
  <c r="I239" i="6" s="1"/>
  <c r="E185" i="6"/>
  <c r="I185" i="6" s="1"/>
  <c r="B184" i="6"/>
  <c r="E240" i="6"/>
  <c r="I240" i="6" s="1"/>
  <c r="B239" i="6"/>
  <c r="B122" i="6"/>
  <c r="E290" i="6"/>
  <c r="I290" i="6" s="1"/>
  <c r="E122" i="6"/>
  <c r="I122" i="6" s="1"/>
  <c r="B185" i="6"/>
  <c r="B290" i="6"/>
  <c r="E123" i="6"/>
  <c r="I123" i="6" s="1"/>
  <c r="E184" i="6"/>
  <c r="I184" i="6" s="1"/>
  <c r="B123" i="6"/>
  <c r="B289" i="6"/>
  <c r="E289" i="6"/>
  <c r="I289" i="6" s="1"/>
  <c r="C148" i="6"/>
  <c r="I171" i="6"/>
  <c r="J84" i="6"/>
  <c r="K85" i="6"/>
  <c r="J82" i="6"/>
  <c r="A303" i="6" l="1"/>
  <c r="A253" i="6"/>
  <c r="A198" i="6"/>
  <c r="B182" i="6"/>
  <c r="A341" i="6"/>
  <c r="E182" i="6"/>
  <c r="I182" i="6" s="1"/>
  <c r="E341" i="6"/>
  <c r="J341" i="6" s="1"/>
  <c r="I176" i="6"/>
  <c r="E337" i="6"/>
  <c r="J333" i="6"/>
  <c r="J337" i="6" s="1"/>
  <c r="I283" i="6"/>
  <c r="A307" i="6"/>
  <c r="F307" i="6" s="1"/>
  <c r="C204" i="6"/>
  <c r="E357" i="6"/>
  <c r="J352" i="6"/>
  <c r="J357" i="6" s="1"/>
  <c r="J340" i="6"/>
  <c r="E349" i="6"/>
  <c r="J347" i="6"/>
  <c r="J349" i="6" s="1"/>
  <c r="A257" i="6"/>
  <c r="F257" i="6" s="1"/>
  <c r="I236" i="6"/>
  <c r="C253" i="6" s="1"/>
  <c r="I119" i="6"/>
  <c r="A148" i="6"/>
  <c r="F148" i="6" s="1"/>
  <c r="C198" i="6" l="1"/>
  <c r="C199" i="6" s="1"/>
  <c r="A249" i="6"/>
  <c r="B249" i="6" s="1"/>
  <c r="C303" i="6"/>
  <c r="A299" i="6"/>
  <c r="B299" i="6" s="1"/>
  <c r="A140" i="6"/>
  <c r="B140" i="6" s="1"/>
  <c r="C144" i="6"/>
  <c r="E144" i="6" s="1"/>
  <c r="J344" i="6"/>
  <c r="J360" i="6" s="1"/>
  <c r="E344" i="6"/>
  <c r="E359" i="6" s="1"/>
  <c r="H364" i="6" s="1"/>
  <c r="A203" i="6"/>
  <c r="A204" i="6" s="1"/>
  <c r="F204" i="6" s="1"/>
  <c r="O23" i="6" s="1"/>
  <c r="A194" i="6"/>
  <c r="B194" i="6" s="1"/>
  <c r="N17" i="6"/>
  <c r="H148" i="6"/>
  <c r="H307" i="6"/>
  <c r="N36" i="6"/>
  <c r="E253" i="6"/>
  <c r="A199" i="6"/>
  <c r="N29" i="6"/>
  <c r="H257" i="6"/>
  <c r="E303" i="6"/>
  <c r="F372" i="6" l="1"/>
  <c r="H372" i="6" s="1"/>
  <c r="J372" i="6" s="1"/>
  <c r="K365" i="6"/>
  <c r="E248" i="6"/>
  <c r="E249" i="6"/>
  <c r="E299" i="6"/>
  <c r="E298" i="6"/>
  <c r="F203" i="6"/>
  <c r="H203" i="6" s="1"/>
  <c r="E194" i="6"/>
  <c r="E193" i="6"/>
  <c r="E198" i="6"/>
  <c r="N22" i="6" s="1"/>
  <c r="E199" i="6"/>
  <c r="O22" i="6" s="1"/>
  <c r="H204" i="6"/>
  <c r="J204" i="6" s="1"/>
  <c r="G303" i="6"/>
  <c r="N35" i="6"/>
  <c r="E140" i="6"/>
  <c r="E139" i="6"/>
  <c r="J307" i="6"/>
  <c r="U36" i="6" s="1"/>
  <c r="Q36" i="6"/>
  <c r="G253" i="6"/>
  <c r="N28" i="6"/>
  <c r="J257" i="6"/>
  <c r="U29" i="6" s="1"/>
  <c r="Q29" i="6"/>
  <c r="J148" i="6"/>
  <c r="U17" i="6" s="1"/>
  <c r="Q17" i="6"/>
  <c r="N16" i="6"/>
  <c r="G144" i="6"/>
  <c r="F364" i="6"/>
  <c r="Q40" i="6" s="1"/>
  <c r="H365" i="6"/>
  <c r="S40" i="6"/>
  <c r="J364" i="6"/>
  <c r="U40" i="6" s="1"/>
  <c r="N23" i="6" l="1"/>
  <c r="G199" i="6"/>
  <c r="I199" i="6" s="1"/>
  <c r="G198" i="6"/>
  <c r="Q22" i="6" s="1"/>
  <c r="Q23" i="6"/>
  <c r="J203" i="6"/>
  <c r="U23" i="6" s="1"/>
  <c r="G194" i="6"/>
  <c r="C446" i="6"/>
  <c r="C397" i="6"/>
  <c r="K194" i="6"/>
  <c r="U21" i="6" s="1"/>
  <c r="N21" i="6"/>
  <c r="N33" i="6"/>
  <c r="D448" i="6"/>
  <c r="D399" i="6"/>
  <c r="G298" i="6"/>
  <c r="G193" i="6"/>
  <c r="D397" i="6"/>
  <c r="N20" i="6"/>
  <c r="D446" i="6"/>
  <c r="N34" i="6"/>
  <c r="K299" i="6"/>
  <c r="U34" i="6" s="1"/>
  <c r="G299" i="6"/>
  <c r="Q34" i="6" s="1"/>
  <c r="C399" i="6"/>
  <c r="C448" i="6" s="1"/>
  <c r="Q35" i="6"/>
  <c r="I303" i="6"/>
  <c r="U35" i="6" s="1"/>
  <c r="Q28" i="6"/>
  <c r="I253" i="6"/>
  <c r="U28" i="6" s="1"/>
  <c r="F365" i="6"/>
  <c r="Q41" i="6" s="1"/>
  <c r="S41" i="6"/>
  <c r="J365" i="6"/>
  <c r="U41" i="6" s="1"/>
  <c r="N14" i="6"/>
  <c r="D396" i="6"/>
  <c r="G139" i="6"/>
  <c r="G248" i="6"/>
  <c r="N26" i="6"/>
  <c r="D447" i="6"/>
  <c r="D398" i="6"/>
  <c r="I144" i="6"/>
  <c r="U16" i="6" s="1"/>
  <c r="Q16" i="6"/>
  <c r="G140" i="6"/>
  <c r="Q15" i="6" s="1"/>
  <c r="K140" i="6"/>
  <c r="U15" i="6" s="1"/>
  <c r="C396" i="6"/>
  <c r="C445" i="6" s="1"/>
  <c r="N15" i="6"/>
  <c r="C447" i="6"/>
  <c r="K249" i="6"/>
  <c r="U27" i="6" s="1"/>
  <c r="C398" i="6"/>
  <c r="N27" i="6"/>
  <c r="G249" i="6"/>
  <c r="Q27" i="6" s="1"/>
  <c r="I198" i="6" l="1"/>
  <c r="U22" i="6" s="1"/>
  <c r="E397" i="6"/>
  <c r="F397" i="6" s="1"/>
  <c r="H397" i="6" s="1"/>
  <c r="Q26" i="6"/>
  <c r="K248" i="6"/>
  <c r="U26" i="6" s="1"/>
  <c r="K193" i="6"/>
  <c r="U20" i="6" s="1"/>
  <c r="Q20" i="6"/>
  <c r="E446" i="6"/>
  <c r="F446" i="6" s="1"/>
  <c r="E398" i="6"/>
  <c r="K298" i="6"/>
  <c r="U33" i="6" s="1"/>
  <c r="Q33" i="6"/>
  <c r="D445" i="6"/>
  <c r="E445" i="6" s="1"/>
  <c r="F445" i="6" s="1"/>
  <c r="E396" i="6"/>
  <c r="E399" i="6"/>
  <c r="K139" i="6"/>
  <c r="U14" i="6" s="1"/>
  <c r="Q14" i="6"/>
  <c r="E448" i="6"/>
  <c r="F448" i="6" s="1"/>
  <c r="E447" i="6"/>
  <c r="F447" i="6" s="1"/>
  <c r="F399" i="6" l="1"/>
  <c r="H399" i="6" s="1"/>
  <c r="F396" i="6"/>
  <c r="H396" i="6" s="1"/>
  <c r="H445" i="6"/>
  <c r="J445" i="6" s="1"/>
  <c r="H455" i="6" s="1"/>
  <c r="F458" i="6"/>
  <c r="H448" i="6"/>
  <c r="J448" i="6" s="1"/>
  <c r="H458" i="6" s="1"/>
  <c r="F398" i="6"/>
  <c r="H398" i="6" s="1"/>
  <c r="J397" i="6"/>
  <c r="F457" i="6"/>
  <c r="F456" i="6"/>
  <c r="F455" i="6"/>
  <c r="H447" i="6"/>
  <c r="J447" i="6" s="1"/>
  <c r="H457" i="6" s="1"/>
  <c r="H446" i="6"/>
  <c r="J446" i="6" s="1"/>
  <c r="H456" i="6" s="1"/>
  <c r="F459" i="6" l="1"/>
  <c r="H465" i="6" s="1"/>
  <c r="S44" i="6" s="1"/>
  <c r="I459" i="6"/>
  <c r="J396" i="6"/>
  <c r="F402" i="6"/>
  <c r="H408" i="6" s="1"/>
  <c r="J398" i="6"/>
  <c r="J399" i="6"/>
  <c r="J465" i="6" l="1"/>
  <c r="U44" i="6" s="1"/>
  <c r="F465" i="6"/>
  <c r="Q44" i="6" s="1"/>
  <c r="H466" i="6"/>
  <c r="F466" i="6" s="1"/>
  <c r="Q45" i="6" s="1"/>
  <c r="J408" i="6"/>
  <c r="U42" i="6" s="1"/>
  <c r="S42" i="6"/>
  <c r="H409" i="6"/>
  <c r="F408" i="6"/>
  <c r="Q42" i="6" s="1"/>
  <c r="J402" i="6"/>
  <c r="D472" i="6"/>
  <c r="F472" i="6" s="1"/>
  <c r="H472" i="6" s="1"/>
  <c r="C478" i="6"/>
  <c r="F478" i="6" s="1"/>
  <c r="J466" i="6" l="1"/>
  <c r="U45" i="6" s="1"/>
  <c r="S45" i="6"/>
  <c r="C422" i="6"/>
  <c r="H423" i="6" s="1"/>
  <c r="D416" i="6"/>
  <c r="F416" i="6" s="1"/>
  <c r="H416" i="6" s="1"/>
  <c r="J409" i="6"/>
  <c r="U43" i="6" s="1"/>
  <c r="S43" i="6"/>
  <c r="F409" i="6"/>
  <c r="Q43" i="6" s="1"/>
  <c r="K26" i="8"/>
  <c r="A419" i="8"/>
  <c r="B177" i="8"/>
  <c r="B231" i="8"/>
  <c r="A426" i="8"/>
  <c r="B298" i="8"/>
  <c r="F299" i="8"/>
  <c r="F349" i="8"/>
  <c r="A420" i="8"/>
  <c r="F182" i="8"/>
  <c r="A427" i="8"/>
  <c r="B350" i="8"/>
  <c r="F298" i="8"/>
  <c r="B230" i="8"/>
  <c r="B349" i="8"/>
  <c r="F350" i="8"/>
  <c r="B176" i="8"/>
  <c r="B299" i="8"/>
  <c r="F118" i="8"/>
  <c r="F244" i="8"/>
  <c r="E419" i="8"/>
  <c r="J419" i="8" s="1"/>
  <c r="E350" i="8"/>
  <c r="I350" i="8" s="1"/>
  <c r="E176" i="8"/>
  <c r="I176" i="8" s="1"/>
  <c r="E299" i="8"/>
  <c r="F113" i="8"/>
  <c r="F169" i="8" s="1"/>
  <c r="F227" i="8" s="1"/>
  <c r="E427" i="8"/>
  <c r="J427" i="8" s="1"/>
  <c r="I24" i="8"/>
  <c r="F120" i="8" s="1"/>
  <c r="I120" i="8" s="1"/>
  <c r="I230" i="8"/>
  <c r="E177" i="8"/>
  <c r="I177" i="8" s="1"/>
  <c r="B113" i="8"/>
  <c r="B169" i="8" s="1"/>
  <c r="B227" i="8" s="1"/>
  <c r="E231" i="8"/>
  <c r="E114" i="8"/>
  <c r="E170" i="8" s="1"/>
  <c r="E426" i="8"/>
  <c r="J426" i="8" s="1"/>
  <c r="F114" i="8"/>
  <c r="F170" i="8" s="1"/>
  <c r="F228" i="8" s="1"/>
  <c r="B114" i="8"/>
  <c r="B170" i="8" s="1"/>
  <c r="B228" i="8" s="1"/>
  <c r="E420" i="8"/>
  <c r="J420" i="8" s="1"/>
  <c r="F116" i="8"/>
  <c r="F174" i="8" s="1"/>
  <c r="F235" i="8" s="1"/>
  <c r="E349" i="8"/>
  <c r="I33" i="8"/>
  <c r="E113" i="8"/>
  <c r="E298" i="8"/>
  <c r="M78" i="8" l="1"/>
  <c r="O79" i="8" s="1"/>
  <c r="K80" i="8"/>
  <c r="K78" i="8"/>
  <c r="I299" i="8"/>
  <c r="I231" i="8"/>
  <c r="N231" i="8"/>
  <c r="O231" i="8"/>
  <c r="E169" i="8"/>
  <c r="N112" i="8"/>
  <c r="I298" i="8"/>
  <c r="N78" i="8"/>
  <c r="N80" i="8"/>
  <c r="P79" i="8" s="1"/>
  <c r="E228" i="8"/>
  <c r="I228" i="8" s="1"/>
  <c r="I170" i="8"/>
  <c r="I169" i="8"/>
  <c r="E227" i="8"/>
  <c r="F359" i="8"/>
  <c r="F310" i="8"/>
  <c r="M81" i="8"/>
  <c r="F308" i="8"/>
  <c r="I349" i="8"/>
  <c r="N81" i="8"/>
  <c r="P80" i="8" s="1"/>
  <c r="D457" i="8"/>
  <c r="M79" i="8"/>
  <c r="O80" i="8" s="1"/>
  <c r="F183" i="8"/>
  <c r="J87" i="8"/>
  <c r="M80" i="8"/>
  <c r="I113" i="8"/>
  <c r="I114" i="8"/>
  <c r="N79" i="8"/>
  <c r="J63" i="8"/>
  <c r="F363" i="8"/>
  <c r="F312" i="8"/>
  <c r="F361" i="8"/>
  <c r="E238" i="8" l="1"/>
  <c r="E235" i="8"/>
  <c r="E237" i="8"/>
  <c r="K84" i="8"/>
  <c r="E234" i="8"/>
  <c r="I240" i="8"/>
  <c r="B237" i="8"/>
  <c r="B240" i="8"/>
  <c r="I241" i="8"/>
  <c r="B241" i="8"/>
  <c r="I237" i="8"/>
  <c r="B238" i="8"/>
  <c r="I238" i="8"/>
  <c r="B116" i="8"/>
  <c r="E116" i="8"/>
  <c r="I116" i="8" s="1"/>
  <c r="E117" i="8"/>
  <c r="I117" i="8" s="1"/>
  <c r="E118" i="8"/>
  <c r="E119" i="8"/>
  <c r="I119" i="8" s="1"/>
  <c r="O112" i="8"/>
  <c r="K82" i="8"/>
  <c r="I183" i="8"/>
  <c r="F313" i="8"/>
  <c r="B367" i="8"/>
  <c r="E315" i="8"/>
  <c r="I315" i="8" s="1"/>
  <c r="E257" i="8"/>
  <c r="I257" i="8" s="1"/>
  <c r="B185" i="8"/>
  <c r="E184" i="8"/>
  <c r="I184" i="8" s="1"/>
  <c r="B257" i="8"/>
  <c r="E367" i="8"/>
  <c r="I367" i="8" s="1"/>
  <c r="B184" i="8"/>
  <c r="B122" i="8"/>
  <c r="E256" i="8"/>
  <c r="I256" i="8" s="1"/>
  <c r="B368" i="8"/>
  <c r="E314" i="8"/>
  <c r="I314" i="8" s="1"/>
  <c r="B314" i="8"/>
  <c r="B121" i="8"/>
  <c r="E121" i="8"/>
  <c r="E368" i="8"/>
  <c r="I368" i="8" s="1"/>
  <c r="B315" i="8"/>
  <c r="B256" i="8"/>
  <c r="E185" i="8"/>
  <c r="I185" i="8" s="1"/>
  <c r="E122" i="8"/>
  <c r="I122" i="8" s="1"/>
  <c r="B307" i="8"/>
  <c r="A438" i="8"/>
  <c r="E432" i="8"/>
  <c r="A417" i="8"/>
  <c r="A437" i="8"/>
  <c r="E437" i="8"/>
  <c r="B361" i="8"/>
  <c r="A439" i="8"/>
  <c r="E358" i="8"/>
  <c r="E175" i="8"/>
  <c r="E311" i="8"/>
  <c r="I311" i="8" s="1"/>
  <c r="B359" i="8"/>
  <c r="A433" i="8"/>
  <c r="E308" i="8"/>
  <c r="B117" i="8"/>
  <c r="B175" i="8" s="1"/>
  <c r="E363" i="8"/>
  <c r="I363" i="8" s="1"/>
  <c r="B358" i="8"/>
  <c r="B312" i="8"/>
  <c r="E438" i="8"/>
  <c r="J438" i="8" s="1"/>
  <c r="E424" i="8"/>
  <c r="E307" i="8"/>
  <c r="E312" i="8"/>
  <c r="I312" i="8" s="1"/>
  <c r="A424" i="8"/>
  <c r="E433" i="8"/>
  <c r="J433" i="8" s="1"/>
  <c r="E411" i="8"/>
  <c r="J411" i="8" s="1"/>
  <c r="E309" i="8"/>
  <c r="I309" i="8" s="1"/>
  <c r="I118" i="8"/>
  <c r="B363" i="8"/>
  <c r="E360" i="8"/>
  <c r="I360" i="8" s="1"/>
  <c r="A410" i="8"/>
  <c r="E361" i="8"/>
  <c r="I361" i="8" s="1"/>
  <c r="B360" i="8"/>
  <c r="B174" i="8"/>
  <c r="B235" i="8"/>
  <c r="E410" i="8"/>
  <c r="B311" i="8"/>
  <c r="B362" i="8"/>
  <c r="E310" i="8"/>
  <c r="I310" i="8" s="1"/>
  <c r="I235" i="8"/>
  <c r="E362" i="8"/>
  <c r="I362" i="8" s="1"/>
  <c r="E174" i="8"/>
  <c r="B309" i="8"/>
  <c r="E439" i="8"/>
  <c r="J439" i="8" s="1"/>
  <c r="B308" i="8"/>
  <c r="A411" i="8"/>
  <c r="E417" i="8"/>
  <c r="B118" i="8"/>
  <c r="B234" i="8"/>
  <c r="A432" i="8"/>
  <c r="B119" i="8"/>
  <c r="B310" i="8"/>
  <c r="E359" i="8"/>
  <c r="I227" i="8"/>
  <c r="I243" i="8" l="1"/>
  <c r="C142" i="8"/>
  <c r="E425" i="8"/>
  <c r="J425" i="8" s="1"/>
  <c r="I308" i="8"/>
  <c r="A328" i="8" s="1"/>
  <c r="C332" i="8"/>
  <c r="E418" i="8"/>
  <c r="J418" i="8" s="1"/>
  <c r="E182" i="8"/>
  <c r="I182" i="8" s="1"/>
  <c r="E181" i="8"/>
  <c r="I181" i="8" s="1"/>
  <c r="B181" i="8"/>
  <c r="B182" i="8"/>
  <c r="I174" i="8"/>
  <c r="I359" i="8"/>
  <c r="A380" i="8" s="1"/>
  <c r="C384" i="8"/>
  <c r="I175" i="8"/>
  <c r="I358" i="8"/>
  <c r="C380" i="8" s="1"/>
  <c r="A384" i="8"/>
  <c r="I121" i="8"/>
  <c r="A146" i="8"/>
  <c r="I313" i="8"/>
  <c r="F366" i="8"/>
  <c r="I366" i="8" s="1"/>
  <c r="I307" i="8"/>
  <c r="C328" i="8" s="1"/>
  <c r="A332" i="8"/>
  <c r="J410" i="8"/>
  <c r="J414" i="8" s="1"/>
  <c r="E414" i="8"/>
  <c r="A142" i="8"/>
  <c r="C146" i="8"/>
  <c r="J437" i="8"/>
  <c r="J442" i="8" s="1"/>
  <c r="E442" i="8"/>
  <c r="A418" i="8"/>
  <c r="J417" i="8"/>
  <c r="J424" i="8"/>
  <c r="A425" i="8"/>
  <c r="I234" i="8"/>
  <c r="B244" i="8"/>
  <c r="E434" i="8"/>
  <c r="J432" i="8"/>
  <c r="J434" i="8" s="1"/>
  <c r="C270" i="8" l="1"/>
  <c r="C271" i="8" s="1"/>
  <c r="C203" i="8"/>
  <c r="C204" i="8" s="1"/>
  <c r="A203" i="8"/>
  <c r="A204" i="8" s="1"/>
  <c r="F384" i="8"/>
  <c r="F146" i="8"/>
  <c r="H146" i="8" s="1"/>
  <c r="E421" i="8"/>
  <c r="A198" i="8"/>
  <c r="A199" i="8" s="1"/>
  <c r="E428" i="8"/>
  <c r="J428" i="8"/>
  <c r="J421" i="8"/>
  <c r="J445" i="8" s="1"/>
  <c r="E380" i="8"/>
  <c r="A376" i="8"/>
  <c r="B376" i="8" s="1"/>
  <c r="H384" i="8"/>
  <c r="N36" i="8"/>
  <c r="T8" i="3"/>
  <c r="U8" i="3" s="1"/>
  <c r="E444" i="8"/>
  <c r="H449" i="8" s="1"/>
  <c r="C198" i="8"/>
  <c r="C199" i="8" s="1"/>
  <c r="I244" i="8"/>
  <c r="A270" i="8" s="1"/>
  <c r="C275" i="8"/>
  <c r="A138" i="8"/>
  <c r="B138" i="8" s="1"/>
  <c r="E142" i="8"/>
  <c r="F332" i="8"/>
  <c r="A275" i="8"/>
  <c r="A324" i="8"/>
  <c r="B324" i="8" s="1"/>
  <c r="E328" i="8"/>
  <c r="F203" i="8" l="1"/>
  <c r="T3" i="3"/>
  <c r="U3" i="3" s="1"/>
  <c r="N17" i="8"/>
  <c r="F204" i="8"/>
  <c r="H204" i="8" s="1"/>
  <c r="J204" i="8" s="1"/>
  <c r="E198" i="8"/>
  <c r="A194" i="8"/>
  <c r="B194" i="8" s="1"/>
  <c r="E193" i="8" s="1"/>
  <c r="E199" i="8"/>
  <c r="G199" i="8" s="1"/>
  <c r="I199" i="8" s="1"/>
  <c r="A266" i="8"/>
  <c r="B266" i="8" s="1"/>
  <c r="A271" i="8"/>
  <c r="E271" i="8" s="1"/>
  <c r="G271" i="8" s="1"/>
  <c r="I271" i="8" s="1"/>
  <c r="E270" i="8"/>
  <c r="N22" i="8"/>
  <c r="R4" i="3"/>
  <c r="S4" i="3" s="1"/>
  <c r="G198" i="8"/>
  <c r="R7" i="3"/>
  <c r="S7" i="3" s="1"/>
  <c r="N28" i="8"/>
  <c r="G328" i="8"/>
  <c r="E323" i="8"/>
  <c r="E324" i="8"/>
  <c r="H203" i="8"/>
  <c r="T4" i="3"/>
  <c r="U4" i="3" s="1"/>
  <c r="N23" i="8"/>
  <c r="H332" i="8"/>
  <c r="T7" i="3"/>
  <c r="U7" i="3" s="1"/>
  <c r="N29" i="8"/>
  <c r="Q17" i="8"/>
  <c r="J146" i="8"/>
  <c r="U17" i="8" s="1"/>
  <c r="F449" i="8"/>
  <c r="Q40" i="8" s="1"/>
  <c r="S40" i="8"/>
  <c r="H450" i="8"/>
  <c r="J449" i="8"/>
  <c r="U40" i="8" s="1"/>
  <c r="J384" i="8"/>
  <c r="U36" i="8" s="1"/>
  <c r="Q36" i="8"/>
  <c r="N16" i="8"/>
  <c r="G142" i="8"/>
  <c r="R3" i="3"/>
  <c r="S3" i="3" s="1"/>
  <c r="E376" i="8"/>
  <c r="E375" i="8"/>
  <c r="D464" i="8"/>
  <c r="G464" i="8" s="1"/>
  <c r="K450" i="8"/>
  <c r="F457" i="8"/>
  <c r="H457" i="8" s="1"/>
  <c r="E137" i="8"/>
  <c r="E138" i="8"/>
  <c r="F275" i="8"/>
  <c r="N35" i="8"/>
  <c r="G380" i="8"/>
  <c r="R8" i="3"/>
  <c r="S8" i="3" s="1"/>
  <c r="E194" i="8" l="1"/>
  <c r="N27" i="8"/>
  <c r="C546" i="8"/>
  <c r="C496" i="8"/>
  <c r="P7" i="3"/>
  <c r="G324" i="8"/>
  <c r="Q27" i="8" s="1"/>
  <c r="K324" i="8"/>
  <c r="Q22" i="8"/>
  <c r="I198" i="8"/>
  <c r="U22" i="8" s="1"/>
  <c r="Q23" i="8"/>
  <c r="J203" i="8"/>
  <c r="U23" i="8" s="1"/>
  <c r="R6" i="3"/>
  <c r="S6" i="3" s="1"/>
  <c r="F270" i="8"/>
  <c r="H270" i="8" s="1"/>
  <c r="O22" i="8"/>
  <c r="N8" i="3"/>
  <c r="N33" i="8"/>
  <c r="D547" i="8"/>
  <c r="G375" i="8"/>
  <c r="D497" i="8"/>
  <c r="I142" i="8"/>
  <c r="U16" i="8" s="1"/>
  <c r="Q16" i="8"/>
  <c r="C497" i="8"/>
  <c r="C547" i="8" s="1"/>
  <c r="G376" i="8"/>
  <c r="Q34" i="8" s="1"/>
  <c r="N34" i="8"/>
  <c r="K376" i="8"/>
  <c r="P8" i="3"/>
  <c r="I328" i="8"/>
  <c r="U28" i="8" s="1"/>
  <c r="Q28" i="8"/>
  <c r="J450" i="8"/>
  <c r="U41" i="8" s="1"/>
  <c r="F450" i="8"/>
  <c r="Q41" i="8" s="1"/>
  <c r="S41" i="8"/>
  <c r="G137" i="8"/>
  <c r="D493" i="8"/>
  <c r="N14" i="8"/>
  <c r="N3" i="3"/>
  <c r="J457" i="8"/>
  <c r="J458" i="8"/>
  <c r="E265" i="8"/>
  <c r="E266" i="8"/>
  <c r="G323" i="8"/>
  <c r="D496" i="8"/>
  <c r="E496" i="8" s="1"/>
  <c r="N7" i="3"/>
  <c r="D546" i="8"/>
  <c r="N26" i="8"/>
  <c r="O23" i="8"/>
  <c r="T6" i="3"/>
  <c r="U6" i="3" s="1"/>
  <c r="H275" i="8"/>
  <c r="J275" i="8" s="1"/>
  <c r="K194" i="8"/>
  <c r="P4" i="3"/>
  <c r="C494" i="8"/>
  <c r="G194" i="8"/>
  <c r="N21" i="8"/>
  <c r="C544" i="8"/>
  <c r="I380" i="8"/>
  <c r="U35" i="8" s="1"/>
  <c r="Q35" i="8"/>
  <c r="G138" i="8"/>
  <c r="Q15" i="8" s="1"/>
  <c r="K138" i="8"/>
  <c r="C493" i="8"/>
  <c r="C543" i="8" s="1"/>
  <c r="P3" i="3"/>
  <c r="N15" i="8"/>
  <c r="J332" i="8"/>
  <c r="U29" i="8" s="1"/>
  <c r="Q29" i="8"/>
  <c r="N20" i="8"/>
  <c r="G193" i="8"/>
  <c r="N4" i="3"/>
  <c r="D494" i="8"/>
  <c r="E494" i="8" s="1"/>
  <c r="D544" i="8"/>
  <c r="Q20" i="8" l="1"/>
  <c r="K193" i="8"/>
  <c r="K137" i="8"/>
  <c r="Q14" i="8"/>
  <c r="Q4" i="3"/>
  <c r="U21" i="8"/>
  <c r="Q7" i="3"/>
  <c r="U27" i="8"/>
  <c r="F496" i="8"/>
  <c r="H496" i="8" s="1"/>
  <c r="E547" i="8"/>
  <c r="F547" i="8" s="1"/>
  <c r="E493" i="8"/>
  <c r="D543" i="8"/>
  <c r="E543" i="8" s="1"/>
  <c r="U34" i="8"/>
  <c r="Q8" i="3"/>
  <c r="K266" i="8"/>
  <c r="Q6" i="3" s="1"/>
  <c r="P6" i="3"/>
  <c r="G266" i="8"/>
  <c r="C495" i="8"/>
  <c r="C545" i="8" s="1"/>
  <c r="Q3" i="3"/>
  <c r="U15" i="8"/>
  <c r="K323" i="8"/>
  <c r="Q26" i="8"/>
  <c r="G265" i="8"/>
  <c r="K265" i="8" s="1"/>
  <c r="O6" i="3" s="1"/>
  <c r="D495" i="8"/>
  <c r="N6" i="3"/>
  <c r="E497" i="8"/>
  <c r="E546" i="8"/>
  <c r="F546" i="8" s="1"/>
  <c r="E544" i="8"/>
  <c r="F544" i="8" s="1"/>
  <c r="F494" i="8"/>
  <c r="H494" i="8" s="1"/>
  <c r="Q33" i="8"/>
  <c r="K375" i="8"/>
  <c r="H547" i="8" l="1"/>
  <c r="F543" i="8"/>
  <c r="H543" i="8"/>
  <c r="F493" i="8"/>
  <c r="F497" i="8"/>
  <c r="H497" i="8" s="1"/>
  <c r="J547" i="8"/>
  <c r="H557" i="8" s="1"/>
  <c r="F557" i="8"/>
  <c r="J496" i="8"/>
  <c r="O7" i="3"/>
  <c r="U26" i="8"/>
  <c r="F556" i="8"/>
  <c r="U14" i="8"/>
  <c r="O3" i="3"/>
  <c r="H546" i="8"/>
  <c r="J546" i="8" s="1"/>
  <c r="H556" i="8" s="1"/>
  <c r="D545" i="8"/>
  <c r="E545" i="8" s="1"/>
  <c r="F545" i="8" s="1"/>
  <c r="E495" i="8"/>
  <c r="O4" i="3"/>
  <c r="U20" i="8"/>
  <c r="O8" i="3"/>
  <c r="U33" i="8"/>
  <c r="J494" i="8"/>
  <c r="F555" i="8"/>
  <c r="H544" i="8"/>
  <c r="J544" i="8" s="1"/>
  <c r="H555" i="8" s="1"/>
  <c r="H545" i="8" l="1"/>
  <c r="J545" i="8" s="1"/>
  <c r="H493" i="8"/>
  <c r="J493" i="8" s="1"/>
  <c r="J497" i="8"/>
  <c r="F495" i="8"/>
  <c r="H495" i="8" s="1"/>
  <c r="J543" i="8"/>
  <c r="H554" i="8" s="1"/>
  <c r="I558" i="8" s="1"/>
  <c r="F554" i="8"/>
  <c r="F558" i="8" s="1"/>
  <c r="H564" i="8" s="1"/>
  <c r="J564" i="8" l="1"/>
  <c r="U44" i="8" s="1"/>
  <c r="F564" i="8"/>
  <c r="Q44" i="8" s="1"/>
  <c r="S44" i="8"/>
  <c r="H565" i="8"/>
  <c r="D571" i="8"/>
  <c r="F571" i="8" s="1"/>
  <c r="H571" i="8" s="1"/>
  <c r="C577" i="8"/>
  <c r="F577" i="8" s="1"/>
  <c r="J495" i="8"/>
  <c r="J500" i="8" s="1"/>
  <c r="F500" i="8"/>
  <c r="H506" i="8" s="1"/>
  <c r="C520" i="8" l="1"/>
  <c r="H521" i="8" s="1"/>
  <c r="D514" i="8"/>
  <c r="F514" i="8" s="1"/>
  <c r="H514" i="8" s="1"/>
  <c r="S42" i="8"/>
  <c r="J506" i="8"/>
  <c r="U42" i="8" s="1"/>
  <c r="F506" i="8"/>
  <c r="Q42" i="8" s="1"/>
  <c r="H507" i="8"/>
  <c r="S45" i="8"/>
  <c r="J565" i="8"/>
  <c r="U45" i="8" s="1"/>
  <c r="F565" i="8"/>
  <c r="Q45" i="8" s="1"/>
  <c r="S43" i="8" l="1"/>
  <c r="F507" i="8"/>
  <c r="Q43" i="8" s="1"/>
  <c r="J507" i="8"/>
  <c r="U43" i="8" s="1"/>
</calcChain>
</file>

<file path=xl/comments1.xml><?xml version="1.0" encoding="utf-8"?>
<comments xmlns="http://schemas.openxmlformats.org/spreadsheetml/2006/main">
  <authors>
    <author>spekmezci</author>
    <author>omer faruk ersoy</author>
    <author>selayp</author>
    <author>Onur Ferdi OZALPUK</author>
  </authors>
  <commentList>
    <comment ref="L5" authorId="0" shapeId="0">
      <text>
        <r>
          <rPr>
            <b/>
            <sz val="9"/>
            <color indexed="81"/>
            <rFont val="Tahoma"/>
            <family val="2"/>
            <charset val="162"/>
          </rPr>
          <t>spekmezci:</t>
        </r>
        <r>
          <rPr>
            <sz val="9"/>
            <color indexed="81"/>
            <rFont val="Tahoma"/>
            <family val="2"/>
            <charset val="162"/>
          </rPr>
          <t xml:space="preserve">
Basınç dayanımı-beton sınıfı buna göre Fck=16MPa ise C16</t>
        </r>
      </text>
    </comment>
    <comment ref="L6" authorId="0" shapeId="0">
      <text>
        <r>
          <rPr>
            <b/>
            <sz val="9"/>
            <color indexed="81"/>
            <rFont val="Tahoma"/>
            <family val="2"/>
            <charset val="162"/>
          </rPr>
          <t>Yield Stress, fy :Eğilme Donatısı Akma Gerilmesi</t>
        </r>
      </text>
    </comment>
    <comment ref="L7" authorId="1" shapeId="0">
      <text>
        <r>
          <rPr>
            <b/>
            <sz val="8"/>
            <color indexed="81"/>
            <rFont val="Tahoma"/>
            <family val="2"/>
            <charset val="162"/>
          </rPr>
          <t>omer faruk ersoy:</t>
        </r>
        <r>
          <rPr>
            <sz val="8"/>
            <color indexed="81"/>
            <rFont val="Tahoma"/>
            <family val="2"/>
            <charset val="162"/>
          </rPr>
          <t xml:space="preserve">
paspayı</t>
        </r>
      </text>
    </comment>
    <comment ref="L8" authorId="0" shapeId="0">
      <text>
        <r>
          <rPr>
            <b/>
            <sz val="9"/>
            <color indexed="81"/>
            <rFont val="Tahoma"/>
            <family val="2"/>
            <charset val="162"/>
          </rPr>
          <t xml:space="preserve">Résistance à la rupture
(eğilme dayanımı) </t>
        </r>
      </text>
    </comment>
    <comment ref="K22" authorId="1" shapeId="0">
      <text>
        <r>
          <rPr>
            <b/>
            <sz val="8"/>
            <color indexed="81"/>
            <rFont val="Tahoma"/>
            <family val="2"/>
            <charset val="162"/>
          </rPr>
          <t>omer faruk ersoy:</t>
        </r>
        <r>
          <rPr>
            <sz val="8"/>
            <color indexed="81"/>
            <rFont val="Tahoma"/>
            <family val="2"/>
            <charset val="162"/>
          </rPr>
          <t xml:space="preserve">
hs=(1/6~1/8)hw olamalıdır.</t>
        </r>
      </text>
    </comment>
    <comment ref="I32" authorId="0" shapeId="0">
      <text>
        <r>
          <rPr>
            <b/>
            <sz val="9"/>
            <color indexed="81"/>
            <rFont val="Tahoma"/>
            <family val="2"/>
            <charset val="162"/>
          </rPr>
          <t>ONUR BAŞER</t>
        </r>
      </text>
    </comment>
    <comment ref="C37" authorId="0" shapeId="0">
      <text>
        <r>
          <rPr>
            <b/>
            <sz val="9"/>
            <color indexed="81"/>
            <rFont val="Tahoma"/>
            <family val="2"/>
            <charset val="162"/>
          </rPr>
          <t>inşaatta temel kayada beklenen maks yatay yer ivmesinin doğru bir şekilde tahmin edilmesine bağlıdır</t>
        </r>
      </text>
    </comment>
    <comment ref="I37" authorId="0" shapeId="0">
      <text>
        <r>
          <rPr>
            <b/>
            <sz val="9"/>
            <color indexed="81"/>
            <rFont val="Tahoma"/>
            <family val="2"/>
            <charset val="162"/>
          </rPr>
          <t>Deprem risk analizi raporu</t>
        </r>
      </text>
    </comment>
    <comment ref="I43" authorId="0" shapeId="0">
      <text>
        <r>
          <rPr>
            <b/>
            <sz val="9"/>
            <color indexed="81"/>
            <rFont val="Tahoma"/>
            <family val="2"/>
            <charset val="162"/>
          </rPr>
          <t>Geoteknik Onur 21
kPa olarak verdi</t>
        </r>
      </text>
    </comment>
    <comment ref="I44" authorId="0" shapeId="0">
      <text>
        <r>
          <rPr>
            <b/>
            <sz val="9"/>
            <color indexed="81"/>
            <rFont val="Tahoma"/>
            <family val="2"/>
            <charset val="162"/>
          </rPr>
          <t>Geoteknik onur 18kPa olarak verdi</t>
        </r>
      </text>
    </comment>
    <comment ref="H45" authorId="0" shapeId="0">
      <text>
        <r>
          <rPr>
            <b/>
            <sz val="9"/>
            <color indexed="81"/>
            <rFont val="Tahoma"/>
            <family val="2"/>
            <charset val="162"/>
          </rPr>
          <t>emniyetli yönde kalmak üzere zeminin
kohezyonu ihmal edilerek</t>
        </r>
      </text>
    </comment>
    <comment ref="I47" authorId="0" shapeId="0">
      <text>
        <r>
          <rPr>
            <b/>
            <sz val="9"/>
            <color indexed="81"/>
            <rFont val="Tahoma"/>
            <family val="2"/>
            <charset val="162"/>
          </rPr>
          <t>spekmezci:</t>
        </r>
        <r>
          <rPr>
            <sz val="9"/>
            <color indexed="81"/>
            <rFont val="Tahoma"/>
            <family val="2"/>
            <charset val="162"/>
          </rPr>
          <t xml:space="preserve">
safety against sliding over any horizontal plane~dsi'nin kitabında var bişeyler</t>
        </r>
      </text>
    </comment>
    <comment ref="I49" authorId="2" shapeId="0">
      <text>
        <r>
          <rPr>
            <b/>
            <sz val="9"/>
            <color indexed="81"/>
            <rFont val="Tahoma"/>
            <family val="2"/>
          </rPr>
          <t>selayp:</t>
        </r>
        <r>
          <rPr>
            <sz val="9"/>
            <color indexed="81"/>
            <rFont val="Tahoma"/>
            <family val="2"/>
          </rPr>
          <t xml:space="preserve">
Onur 600kpa önerdi</t>
        </r>
      </text>
    </comment>
    <comment ref="F58" authorId="0" shapeId="0">
      <text>
        <r>
          <rPr>
            <b/>
            <sz val="9"/>
            <color indexed="81"/>
            <rFont val="Tahoma"/>
            <family val="2"/>
            <charset val="162"/>
          </rPr>
          <t>betonun  hesap çekme dayanımı</t>
        </r>
      </text>
    </comment>
    <comment ref="H58" authorId="0" shapeId="0">
      <text>
        <r>
          <rPr>
            <b/>
            <sz val="9"/>
            <color indexed="81"/>
            <rFont val="Tahoma"/>
            <family val="2"/>
            <charset val="162"/>
          </rPr>
          <t>betonun hesap çekme dayanımı</t>
        </r>
        <r>
          <rPr>
            <sz val="9"/>
            <color indexed="81"/>
            <rFont val="Tahoma"/>
            <family val="2"/>
            <charset val="162"/>
          </rPr>
          <t xml:space="preserve">
</t>
        </r>
      </text>
    </comment>
    <comment ref="I58" authorId="0" shapeId="0">
      <text>
        <r>
          <rPr>
            <b/>
            <sz val="9"/>
            <color indexed="81"/>
            <rFont val="Tahoma"/>
            <family val="2"/>
            <charset val="162"/>
          </rPr>
          <t>min. Yield strength (çeliğin karakteristik dayanımı)</t>
        </r>
      </text>
    </comment>
    <comment ref="J58" authorId="0" shapeId="0">
      <text>
        <r>
          <rPr>
            <b/>
            <sz val="9"/>
            <color indexed="81"/>
            <rFont val="Tahoma"/>
            <family val="2"/>
            <charset val="162"/>
          </rPr>
          <t>çeliğin hesap dayanımı</t>
        </r>
      </text>
    </comment>
    <comment ref="I63" authorId="0" shapeId="0">
      <text>
        <r>
          <rPr>
            <b/>
            <sz val="9"/>
            <color indexed="81"/>
            <rFont val="Tahoma"/>
            <family val="2"/>
            <charset val="162"/>
          </rPr>
          <t>Statik aktif basınç katsayısı</t>
        </r>
      </text>
    </comment>
    <comment ref="I67" authorId="0" shapeId="0">
      <text>
        <r>
          <rPr>
            <b/>
            <sz val="9"/>
            <color indexed="81"/>
            <rFont val="Tahoma"/>
            <family val="2"/>
            <charset val="162"/>
          </rPr>
          <t>Toprak basıncının hesabında kullanılan yatay eşdeğer deprem katsayısı
Mehmet Bey Ch=k</t>
        </r>
      </text>
    </comment>
    <comment ref="I69" authorId="0" shapeId="0">
      <text>
        <r>
          <rPr>
            <b/>
            <sz val="9"/>
            <color indexed="81"/>
            <rFont val="Tahoma"/>
            <family val="2"/>
            <charset val="162"/>
          </rPr>
          <t>Toprak basıncının hesabında kullanılan düşey eşdeğer deprem katsayısı</t>
        </r>
      </text>
    </comment>
    <comment ref="I78" authorId="0" shapeId="0">
      <text>
        <r>
          <rPr>
            <b/>
            <sz val="9"/>
            <color indexed="81"/>
            <rFont val="Tahoma"/>
            <family val="2"/>
            <charset val="162"/>
          </rPr>
          <t>Toplam Aktif Basınç Katsayısı (kuruda)</t>
        </r>
      </text>
    </comment>
    <comment ref="K78" authorId="0" shapeId="0">
      <text>
        <r>
          <rPr>
            <b/>
            <sz val="9"/>
            <color indexed="81"/>
            <rFont val="Tahoma"/>
            <family val="2"/>
            <charset val="162"/>
          </rPr>
          <t>spekmezci:</t>
        </r>
        <r>
          <rPr>
            <sz val="9"/>
            <color indexed="81"/>
            <rFont val="Tahoma"/>
            <family val="2"/>
            <charset val="162"/>
          </rPr>
          <t xml:space="preserve">
spekmezci:
Bu değerlerden maks. Olanı hesaba girecek</t>
        </r>
      </text>
    </comment>
    <comment ref="I80" authorId="0" shapeId="0">
      <text>
        <r>
          <rPr>
            <b/>
            <sz val="9"/>
            <color indexed="81"/>
            <rFont val="Tahoma"/>
            <family val="2"/>
            <charset val="162"/>
          </rPr>
          <t>Toplam Aktif Basınç Katsayısı (ıslak zeminde)</t>
        </r>
      </text>
    </comment>
    <comment ref="K80" authorId="3" shapeId="0">
      <text>
        <r>
          <rPr>
            <b/>
            <sz val="9"/>
            <color indexed="81"/>
            <rFont val="Tahoma"/>
            <family val="2"/>
          </rPr>
          <t>Onur Ferdi OZALPUK:</t>
        </r>
        <r>
          <rPr>
            <sz val="9"/>
            <color indexed="81"/>
            <rFont val="Tahoma"/>
            <family val="2"/>
          </rPr>
          <t xml:space="preserve">
gökdere projesine özel olarak bu kısım düzenlendi. Diğer projeler için kullanırken kontrol edilmeli</t>
        </r>
      </text>
    </comment>
    <comment ref="I82" authorId="0" shapeId="0">
      <text>
        <r>
          <rPr>
            <b/>
            <sz val="9"/>
            <color indexed="81"/>
            <rFont val="Tahoma"/>
            <family val="2"/>
            <charset val="162"/>
          </rPr>
          <t>Dinamik aktif basınç katsayısı kuru</t>
        </r>
      </text>
    </comment>
    <comment ref="H138" authorId="0" shapeId="0">
      <text>
        <r>
          <rPr>
            <b/>
            <sz val="9"/>
            <color indexed="81"/>
            <rFont val="Tahoma"/>
            <family val="2"/>
            <charset val="162"/>
          </rPr>
          <t>spekmezci:</t>
        </r>
        <r>
          <rPr>
            <sz val="9"/>
            <color indexed="81"/>
            <rFont val="Tahoma"/>
            <family val="2"/>
            <charset val="162"/>
          </rPr>
          <t xml:space="preserve">
In order to maintain compressive stresses at the found. Level, the min pressure should be greater than or equal to zero.</t>
        </r>
      </text>
    </comment>
    <comment ref="A140" authorId="0" shapeId="0">
      <text>
        <r>
          <rPr>
            <b/>
            <sz val="9"/>
            <color indexed="81"/>
            <rFont val="Tahoma"/>
            <family val="2"/>
            <charset val="162"/>
          </rPr>
          <t>spekmezci:</t>
        </r>
        <r>
          <rPr>
            <sz val="9"/>
            <color indexed="81"/>
            <rFont val="Tahoma"/>
            <family val="2"/>
            <charset val="162"/>
          </rPr>
          <t xml:space="preserve">
Overturning
</t>
        </r>
      </text>
    </comment>
    <comment ref="B144" authorId="0" shapeId="0">
      <text>
        <r>
          <rPr>
            <b/>
            <sz val="9"/>
            <color indexed="81"/>
            <rFont val="Tahoma"/>
            <family val="2"/>
            <charset val="162"/>
          </rPr>
          <t>spekmezci:</t>
        </r>
        <r>
          <rPr>
            <sz val="9"/>
            <color indexed="81"/>
            <rFont val="Tahoma"/>
            <family val="2"/>
            <charset val="162"/>
          </rPr>
          <t xml:space="preserve">
sliding over any horizontal plane</t>
        </r>
      </text>
    </comment>
    <comment ref="J484" authorId="0" shapeId="0">
      <text>
        <r>
          <rPr>
            <b/>
            <sz val="9"/>
            <color indexed="81"/>
            <rFont val="Tahoma"/>
            <family val="2"/>
            <charset val="162"/>
          </rPr>
          <t>1.) If Vd&gt; Vmax change the size of the beam
2.) If Vd&lt;Vcr min. shear reinf. should be used
3.) If Vcr&lt;Vd&lt;Vmax shear reinf. should be designed</t>
        </r>
      </text>
    </comment>
    <comment ref="C538" authorId="3" shapeId="0">
      <text>
        <r>
          <rPr>
            <b/>
            <sz val="9"/>
            <color indexed="81"/>
            <rFont val="Tahoma"/>
            <family val="2"/>
          </rPr>
          <t>Onur Ferdi OZALPUK:</t>
        </r>
        <r>
          <rPr>
            <sz val="9"/>
            <color indexed="81"/>
            <rFont val="Tahoma"/>
            <family val="2"/>
          </rPr>
          <t xml:space="preserve">
bu projeye özel arka ampatman 50 cm kalınlaştırıldı</t>
        </r>
      </text>
    </comment>
  </commentList>
</comments>
</file>

<file path=xl/comments2.xml><?xml version="1.0" encoding="utf-8"?>
<comments xmlns="http://schemas.openxmlformats.org/spreadsheetml/2006/main">
  <authors>
    <author>spekmezci</author>
    <author>omer faruk ersoy</author>
    <author>selayp</author>
    <author>Onur Ferdi OZALPUK</author>
  </authors>
  <commentList>
    <comment ref="L5" authorId="0" shapeId="0">
      <text>
        <r>
          <rPr>
            <b/>
            <sz val="9"/>
            <color indexed="81"/>
            <rFont val="Tahoma"/>
            <family val="2"/>
            <charset val="162"/>
          </rPr>
          <t>spekmezci:</t>
        </r>
        <r>
          <rPr>
            <sz val="9"/>
            <color indexed="81"/>
            <rFont val="Tahoma"/>
            <family val="2"/>
            <charset val="162"/>
          </rPr>
          <t xml:space="preserve">
Basınç dayanımı-beton sınıfı buna göre Fck=16MPa ise C16</t>
        </r>
      </text>
    </comment>
    <comment ref="L6" authorId="0" shapeId="0">
      <text>
        <r>
          <rPr>
            <b/>
            <sz val="9"/>
            <color indexed="81"/>
            <rFont val="Tahoma"/>
            <family val="2"/>
            <charset val="162"/>
          </rPr>
          <t>Yield Stress, fy :Eğilme Donatısı Akma Gerilmesi</t>
        </r>
      </text>
    </comment>
    <comment ref="L7" authorId="1" shapeId="0">
      <text>
        <r>
          <rPr>
            <b/>
            <sz val="8"/>
            <color indexed="81"/>
            <rFont val="Tahoma"/>
            <family val="2"/>
            <charset val="162"/>
          </rPr>
          <t>omer faruk ersoy:</t>
        </r>
        <r>
          <rPr>
            <sz val="8"/>
            <color indexed="81"/>
            <rFont val="Tahoma"/>
            <family val="2"/>
            <charset val="162"/>
          </rPr>
          <t xml:space="preserve">
paspayı</t>
        </r>
      </text>
    </comment>
    <comment ref="L8" authorId="0" shapeId="0">
      <text>
        <r>
          <rPr>
            <b/>
            <sz val="9"/>
            <color indexed="81"/>
            <rFont val="Tahoma"/>
            <family val="2"/>
            <charset val="162"/>
          </rPr>
          <t xml:space="preserve">Résistance à la rupture
(eğilme dayanımı) </t>
        </r>
      </text>
    </comment>
    <comment ref="K22" authorId="1" shapeId="0">
      <text>
        <r>
          <rPr>
            <b/>
            <sz val="8"/>
            <color indexed="81"/>
            <rFont val="Tahoma"/>
            <family val="2"/>
            <charset val="162"/>
          </rPr>
          <t>omer faruk ersoy:</t>
        </r>
        <r>
          <rPr>
            <sz val="8"/>
            <color indexed="81"/>
            <rFont val="Tahoma"/>
            <family val="2"/>
            <charset val="162"/>
          </rPr>
          <t xml:space="preserve">
hs=(1/6~1/8)hw olamalıdır.</t>
        </r>
      </text>
    </comment>
    <comment ref="I32" authorId="0" shapeId="0">
      <text>
        <r>
          <rPr>
            <b/>
            <sz val="9"/>
            <color indexed="81"/>
            <rFont val="Tahoma"/>
            <family val="2"/>
            <charset val="162"/>
          </rPr>
          <t>ONUR BAŞER</t>
        </r>
      </text>
    </comment>
    <comment ref="C37" authorId="0" shapeId="0">
      <text>
        <r>
          <rPr>
            <b/>
            <sz val="9"/>
            <color indexed="81"/>
            <rFont val="Tahoma"/>
            <family val="2"/>
            <charset val="162"/>
          </rPr>
          <t>inşaatta temel kayada beklenen maks yatay yer ivmesinin doğru bir şekilde tahmin edilmesine bağlıdır</t>
        </r>
      </text>
    </comment>
    <comment ref="I37" authorId="0" shapeId="0">
      <text>
        <r>
          <rPr>
            <b/>
            <sz val="9"/>
            <color indexed="81"/>
            <rFont val="Tahoma"/>
            <family val="2"/>
            <charset val="162"/>
          </rPr>
          <t>Deprem risk analizi raporu</t>
        </r>
      </text>
    </comment>
    <comment ref="I43" authorId="0" shapeId="0">
      <text>
        <r>
          <rPr>
            <b/>
            <sz val="9"/>
            <color indexed="81"/>
            <rFont val="Tahoma"/>
            <family val="2"/>
            <charset val="162"/>
          </rPr>
          <t>Geoteknik Onur 21
kPa olarak verdi</t>
        </r>
      </text>
    </comment>
    <comment ref="I44" authorId="0" shapeId="0">
      <text>
        <r>
          <rPr>
            <b/>
            <sz val="9"/>
            <color indexed="81"/>
            <rFont val="Tahoma"/>
            <family val="2"/>
            <charset val="162"/>
          </rPr>
          <t>Geoteknik onur 18kPa olarak verdi</t>
        </r>
      </text>
    </comment>
    <comment ref="H45" authorId="0" shapeId="0">
      <text>
        <r>
          <rPr>
            <b/>
            <sz val="9"/>
            <color indexed="81"/>
            <rFont val="Tahoma"/>
            <family val="2"/>
            <charset val="162"/>
          </rPr>
          <t>emniyetli yönde kalmak üzere zeminin
kohezyonu ihmal edilerek</t>
        </r>
      </text>
    </comment>
    <comment ref="I47" authorId="0" shapeId="0">
      <text>
        <r>
          <rPr>
            <b/>
            <sz val="9"/>
            <color indexed="81"/>
            <rFont val="Tahoma"/>
            <family val="2"/>
            <charset val="162"/>
          </rPr>
          <t>spekmezci:</t>
        </r>
        <r>
          <rPr>
            <sz val="9"/>
            <color indexed="81"/>
            <rFont val="Tahoma"/>
            <family val="2"/>
            <charset val="162"/>
          </rPr>
          <t xml:space="preserve">
safety against sliding over any horizontal plane~dsi'nin kitabında var bişeyler</t>
        </r>
      </text>
    </comment>
    <comment ref="I49" authorId="2" shapeId="0">
      <text>
        <r>
          <rPr>
            <b/>
            <sz val="9"/>
            <color indexed="81"/>
            <rFont val="Tahoma"/>
            <family val="2"/>
          </rPr>
          <t>selayp:</t>
        </r>
        <r>
          <rPr>
            <sz val="9"/>
            <color indexed="81"/>
            <rFont val="Tahoma"/>
            <family val="2"/>
          </rPr>
          <t xml:space="preserve">
Onur 600kpa önerdi</t>
        </r>
      </text>
    </comment>
    <comment ref="F58" authorId="0" shapeId="0">
      <text>
        <r>
          <rPr>
            <b/>
            <sz val="9"/>
            <color indexed="81"/>
            <rFont val="Tahoma"/>
            <family val="2"/>
            <charset val="162"/>
          </rPr>
          <t>betonun  hesap çekme dayanımı</t>
        </r>
      </text>
    </comment>
    <comment ref="H58" authorId="0" shapeId="0">
      <text>
        <r>
          <rPr>
            <b/>
            <sz val="9"/>
            <color indexed="81"/>
            <rFont val="Tahoma"/>
            <family val="2"/>
            <charset val="162"/>
          </rPr>
          <t>betonun hesap çekme dayanımı</t>
        </r>
        <r>
          <rPr>
            <sz val="9"/>
            <color indexed="81"/>
            <rFont val="Tahoma"/>
            <family val="2"/>
            <charset val="162"/>
          </rPr>
          <t xml:space="preserve">
</t>
        </r>
      </text>
    </comment>
    <comment ref="I58" authorId="0" shapeId="0">
      <text>
        <r>
          <rPr>
            <b/>
            <sz val="9"/>
            <color indexed="81"/>
            <rFont val="Tahoma"/>
            <family val="2"/>
            <charset val="162"/>
          </rPr>
          <t>min. Yield strength (çeliğin karakteristik dayanımı)</t>
        </r>
      </text>
    </comment>
    <comment ref="J58" authorId="0" shapeId="0">
      <text>
        <r>
          <rPr>
            <b/>
            <sz val="9"/>
            <color indexed="81"/>
            <rFont val="Tahoma"/>
            <family val="2"/>
            <charset val="162"/>
          </rPr>
          <t>çeliğin hesap dayanımı</t>
        </r>
      </text>
    </comment>
    <comment ref="I63" authorId="0" shapeId="0">
      <text>
        <r>
          <rPr>
            <b/>
            <sz val="9"/>
            <color indexed="81"/>
            <rFont val="Tahoma"/>
            <family val="2"/>
            <charset val="162"/>
          </rPr>
          <t>Statik aktif basınç katsayısı</t>
        </r>
      </text>
    </comment>
    <comment ref="I67" authorId="0" shapeId="0">
      <text>
        <r>
          <rPr>
            <b/>
            <sz val="9"/>
            <color indexed="81"/>
            <rFont val="Tahoma"/>
            <family val="2"/>
            <charset val="162"/>
          </rPr>
          <t>Toprak basıncının hesabında kullanılan yatay eşdeğer deprem katsayısı
Mehmet Bey Ch=k</t>
        </r>
      </text>
    </comment>
    <comment ref="I69" authorId="0" shapeId="0">
      <text>
        <r>
          <rPr>
            <b/>
            <sz val="9"/>
            <color indexed="81"/>
            <rFont val="Tahoma"/>
            <family val="2"/>
            <charset val="162"/>
          </rPr>
          <t>Toprak basıncının hesabında kullanılan düşey eşdeğer deprem katsayısı</t>
        </r>
      </text>
    </comment>
    <comment ref="I78" authorId="0" shapeId="0">
      <text>
        <r>
          <rPr>
            <b/>
            <sz val="9"/>
            <color indexed="81"/>
            <rFont val="Tahoma"/>
            <family val="2"/>
            <charset val="162"/>
          </rPr>
          <t>Toplam Aktif Basınç Katsayısı (kuruda)</t>
        </r>
      </text>
    </comment>
    <comment ref="K78" authorId="0" shapeId="0">
      <text>
        <r>
          <rPr>
            <b/>
            <sz val="9"/>
            <color indexed="81"/>
            <rFont val="Tahoma"/>
            <family val="2"/>
            <charset val="162"/>
          </rPr>
          <t>spekmezci:</t>
        </r>
        <r>
          <rPr>
            <sz val="9"/>
            <color indexed="81"/>
            <rFont val="Tahoma"/>
            <family val="2"/>
            <charset val="162"/>
          </rPr>
          <t xml:space="preserve">
spekmezci:
Bu değerlerden maks. Olanı hesaba girecek</t>
        </r>
      </text>
    </comment>
    <comment ref="I80" authorId="0" shapeId="0">
      <text>
        <r>
          <rPr>
            <b/>
            <sz val="9"/>
            <color indexed="81"/>
            <rFont val="Tahoma"/>
            <family val="2"/>
            <charset val="162"/>
          </rPr>
          <t>Toplam Aktif Basınç Katsayısı (ıslak zeminde)</t>
        </r>
      </text>
    </comment>
    <comment ref="K80" authorId="3" shapeId="0">
      <text>
        <r>
          <rPr>
            <b/>
            <sz val="9"/>
            <color indexed="81"/>
            <rFont val="Tahoma"/>
            <family val="2"/>
          </rPr>
          <t>Onur Ferdi OZALPUK:</t>
        </r>
        <r>
          <rPr>
            <sz val="9"/>
            <color indexed="81"/>
            <rFont val="Tahoma"/>
            <family val="2"/>
          </rPr>
          <t xml:space="preserve">
gökdere projesine özel olarak bu kısım düzenlendi. Diğer projeler için kullanırken kontrol edilmeli</t>
        </r>
      </text>
    </comment>
    <comment ref="I82" authorId="0" shapeId="0">
      <text>
        <r>
          <rPr>
            <b/>
            <sz val="9"/>
            <color indexed="81"/>
            <rFont val="Tahoma"/>
            <family val="2"/>
            <charset val="162"/>
          </rPr>
          <t>Dinamik aktif basınç katsayısı kuru</t>
        </r>
      </text>
    </comment>
    <comment ref="H140" authorId="0" shapeId="0">
      <text>
        <r>
          <rPr>
            <b/>
            <sz val="9"/>
            <color indexed="81"/>
            <rFont val="Tahoma"/>
            <family val="2"/>
            <charset val="162"/>
          </rPr>
          <t>spekmezci:</t>
        </r>
        <r>
          <rPr>
            <sz val="9"/>
            <color indexed="81"/>
            <rFont val="Tahoma"/>
            <family val="2"/>
            <charset val="162"/>
          </rPr>
          <t xml:space="preserve">
In order to maintain compressive stresses at the found. Level, the min pressure should be greater than or equal to zero.</t>
        </r>
      </text>
    </comment>
    <comment ref="A142" authorId="0" shapeId="0">
      <text>
        <r>
          <rPr>
            <b/>
            <sz val="9"/>
            <color indexed="81"/>
            <rFont val="Tahoma"/>
            <family val="2"/>
            <charset val="162"/>
          </rPr>
          <t>spekmezci:</t>
        </r>
        <r>
          <rPr>
            <sz val="9"/>
            <color indexed="81"/>
            <rFont val="Tahoma"/>
            <family val="2"/>
            <charset val="162"/>
          </rPr>
          <t xml:space="preserve">
Overturning
</t>
        </r>
      </text>
    </comment>
    <comment ref="B146" authorId="0" shapeId="0">
      <text>
        <r>
          <rPr>
            <b/>
            <sz val="9"/>
            <color indexed="81"/>
            <rFont val="Tahoma"/>
            <family val="2"/>
            <charset val="162"/>
          </rPr>
          <t>spekmezci:</t>
        </r>
        <r>
          <rPr>
            <sz val="9"/>
            <color indexed="81"/>
            <rFont val="Tahoma"/>
            <family val="2"/>
            <charset val="162"/>
          </rPr>
          <t xml:space="preserve">
sliding over any horizontal plane</t>
        </r>
      </text>
    </comment>
    <comment ref="A194" authorId="1" shapeId="0">
      <text>
        <r>
          <rPr>
            <b/>
            <sz val="8"/>
            <color indexed="81"/>
            <rFont val="Tahoma"/>
            <family val="2"/>
            <charset val="162"/>
          </rPr>
          <t>omer faruk ersoy:</t>
        </r>
        <r>
          <rPr>
            <sz val="8"/>
            <color indexed="81"/>
            <rFont val="Tahoma"/>
            <family val="2"/>
            <charset val="162"/>
          </rPr>
          <t xml:space="preserve">
X&gt;0 OLMALIDIR EĞER SONUCUN NEGATİF ÇIKMASI DURUMUNDA KESİT DEĞERLERİ KONROL EDİLMELİDİR.</t>
        </r>
      </text>
    </comment>
    <comment ref="A249" authorId="1" shapeId="0">
      <text>
        <r>
          <rPr>
            <b/>
            <sz val="8"/>
            <color indexed="81"/>
            <rFont val="Tahoma"/>
            <family val="2"/>
            <charset val="162"/>
          </rPr>
          <t>omer faruk ersoy:</t>
        </r>
        <r>
          <rPr>
            <sz val="8"/>
            <color indexed="81"/>
            <rFont val="Tahoma"/>
            <family val="2"/>
            <charset val="162"/>
          </rPr>
          <t xml:space="preserve">
X&gt;0 OLMALIDIR EĞER SONUCUN NEGATİF ÇIKMASI DURUMUNDA KESİT DEĞERLERİ KONROL EDİLMELİDİR.</t>
        </r>
      </text>
    </comment>
    <comment ref="A299" authorId="1" shapeId="0">
      <text>
        <r>
          <rPr>
            <b/>
            <sz val="8"/>
            <color indexed="81"/>
            <rFont val="Tahoma"/>
            <family val="2"/>
            <charset val="162"/>
          </rPr>
          <t>omer faruk ersoy:</t>
        </r>
        <r>
          <rPr>
            <sz val="8"/>
            <color indexed="81"/>
            <rFont val="Tahoma"/>
            <family val="2"/>
            <charset val="162"/>
          </rPr>
          <t xml:space="preserve">
X&gt;0 OLMALIDIR EĞER SONUCUN NEGATİF ÇIKMASI DURUMUNDA KESİT DEĞERLERİ KONROL EDİLMELİDİR.</t>
        </r>
      </text>
    </comment>
    <comment ref="J408" authorId="0" shapeId="0">
      <text>
        <r>
          <rPr>
            <b/>
            <sz val="9"/>
            <color indexed="81"/>
            <rFont val="Tahoma"/>
            <family val="2"/>
            <charset val="162"/>
          </rPr>
          <t>1.) If Vd&gt; Vmax change the size of the beam
2.) If Vd&lt;Vcr min. shear reinf. should be used
3.) If Vcr&lt;Vd&lt;Vmax shear reinf. should be designed</t>
        </r>
      </text>
    </comment>
  </commentList>
</comments>
</file>

<file path=xl/comments3.xml><?xml version="1.0" encoding="utf-8"?>
<comments xmlns="http://schemas.openxmlformats.org/spreadsheetml/2006/main">
  <authors>
    <author>spekmezci</author>
    <author>omer faruk ersoy</author>
    <author>selayp</author>
    <author>Onur Ferdi OZALPUK</author>
  </authors>
  <commentList>
    <comment ref="L5" authorId="0" shapeId="0">
      <text>
        <r>
          <rPr>
            <b/>
            <sz val="9"/>
            <color indexed="81"/>
            <rFont val="Tahoma"/>
            <family val="2"/>
            <charset val="162"/>
          </rPr>
          <t>spekmezci:</t>
        </r>
        <r>
          <rPr>
            <sz val="9"/>
            <color indexed="81"/>
            <rFont val="Tahoma"/>
            <family val="2"/>
            <charset val="162"/>
          </rPr>
          <t xml:space="preserve">
Basınç dayanımı-beton sınıfı buna göre Fck=16MPa ise C16</t>
        </r>
      </text>
    </comment>
    <comment ref="L6" authorId="0" shapeId="0">
      <text>
        <r>
          <rPr>
            <b/>
            <sz val="9"/>
            <color indexed="81"/>
            <rFont val="Tahoma"/>
            <family val="2"/>
            <charset val="162"/>
          </rPr>
          <t>Yield Stress, fy :Eğilme Donatısı Akma Gerilmesi</t>
        </r>
      </text>
    </comment>
    <comment ref="L7" authorId="1" shapeId="0">
      <text>
        <r>
          <rPr>
            <b/>
            <sz val="8"/>
            <color indexed="81"/>
            <rFont val="Tahoma"/>
            <family val="2"/>
            <charset val="162"/>
          </rPr>
          <t>omer faruk ersoy:</t>
        </r>
        <r>
          <rPr>
            <sz val="8"/>
            <color indexed="81"/>
            <rFont val="Tahoma"/>
            <family val="2"/>
            <charset val="162"/>
          </rPr>
          <t xml:space="preserve">
paspayı</t>
        </r>
      </text>
    </comment>
    <comment ref="L8" authorId="0" shapeId="0">
      <text>
        <r>
          <rPr>
            <b/>
            <sz val="9"/>
            <color indexed="81"/>
            <rFont val="Tahoma"/>
            <family val="2"/>
            <charset val="162"/>
          </rPr>
          <t xml:space="preserve">Résistance à la rupture
(eğilme dayanımı) </t>
        </r>
      </text>
    </comment>
    <comment ref="K22" authorId="1" shapeId="0">
      <text>
        <r>
          <rPr>
            <b/>
            <sz val="8"/>
            <color indexed="81"/>
            <rFont val="Tahoma"/>
            <family val="2"/>
            <charset val="162"/>
          </rPr>
          <t>omer faruk ersoy:</t>
        </r>
        <r>
          <rPr>
            <sz val="8"/>
            <color indexed="81"/>
            <rFont val="Tahoma"/>
            <family val="2"/>
            <charset val="162"/>
          </rPr>
          <t xml:space="preserve">
hs=(1/6~1/8)hw olamalıdır.</t>
        </r>
      </text>
    </comment>
    <comment ref="I32" authorId="0" shapeId="0">
      <text>
        <r>
          <rPr>
            <b/>
            <sz val="9"/>
            <color indexed="81"/>
            <rFont val="Tahoma"/>
            <family val="2"/>
            <charset val="162"/>
          </rPr>
          <t>ONUR BAŞER</t>
        </r>
      </text>
    </comment>
    <comment ref="C37" authorId="0" shapeId="0">
      <text>
        <r>
          <rPr>
            <b/>
            <sz val="9"/>
            <color indexed="81"/>
            <rFont val="Tahoma"/>
            <family val="2"/>
            <charset val="162"/>
          </rPr>
          <t>inşaatta temel kayada beklenen maks yatay yer ivmesinin doğru bir şekilde tahmin edilmesine bağlıdır</t>
        </r>
      </text>
    </comment>
    <comment ref="I37" authorId="0" shapeId="0">
      <text>
        <r>
          <rPr>
            <b/>
            <sz val="9"/>
            <color indexed="81"/>
            <rFont val="Tahoma"/>
            <family val="2"/>
            <charset val="162"/>
          </rPr>
          <t>Deprem risk analizi raporu</t>
        </r>
      </text>
    </comment>
    <comment ref="I43" authorId="0" shapeId="0">
      <text>
        <r>
          <rPr>
            <b/>
            <sz val="9"/>
            <color indexed="81"/>
            <rFont val="Tahoma"/>
            <family val="2"/>
            <charset val="162"/>
          </rPr>
          <t>Geoteknik Onur 21
kPa olarak verdi</t>
        </r>
      </text>
    </comment>
    <comment ref="I44" authorId="0" shapeId="0">
      <text>
        <r>
          <rPr>
            <b/>
            <sz val="9"/>
            <color indexed="81"/>
            <rFont val="Tahoma"/>
            <family val="2"/>
            <charset val="162"/>
          </rPr>
          <t>Geoteknik onur 18kPa olarak verdi</t>
        </r>
      </text>
    </comment>
    <comment ref="H45" authorId="0" shapeId="0">
      <text>
        <r>
          <rPr>
            <b/>
            <sz val="9"/>
            <color indexed="81"/>
            <rFont val="Tahoma"/>
            <family val="2"/>
            <charset val="162"/>
          </rPr>
          <t>emniyetli yönde kalmak üzere zeminin
kohezyonu ihmal edilerek</t>
        </r>
      </text>
    </comment>
    <comment ref="I47" authorId="0" shapeId="0">
      <text>
        <r>
          <rPr>
            <b/>
            <sz val="9"/>
            <color indexed="81"/>
            <rFont val="Tahoma"/>
            <family val="2"/>
            <charset val="162"/>
          </rPr>
          <t>spekmezci:</t>
        </r>
        <r>
          <rPr>
            <sz val="9"/>
            <color indexed="81"/>
            <rFont val="Tahoma"/>
            <family val="2"/>
            <charset val="162"/>
          </rPr>
          <t xml:space="preserve">
safety against sliding over any horizontal plane~dsi'nin kitabında var bişeyler</t>
        </r>
      </text>
    </comment>
    <comment ref="I49" authorId="2" shapeId="0">
      <text>
        <r>
          <rPr>
            <b/>
            <sz val="9"/>
            <color indexed="81"/>
            <rFont val="Tahoma"/>
            <family val="2"/>
          </rPr>
          <t>selayp:</t>
        </r>
        <r>
          <rPr>
            <sz val="9"/>
            <color indexed="81"/>
            <rFont val="Tahoma"/>
            <family val="2"/>
          </rPr>
          <t xml:space="preserve">
Onur 600kpa önerdi</t>
        </r>
      </text>
    </comment>
    <comment ref="F58" authorId="0" shapeId="0">
      <text>
        <r>
          <rPr>
            <b/>
            <sz val="9"/>
            <color indexed="81"/>
            <rFont val="Tahoma"/>
            <family val="2"/>
            <charset val="162"/>
          </rPr>
          <t>betonun  hesap çekme dayanımı</t>
        </r>
      </text>
    </comment>
    <comment ref="H58" authorId="0" shapeId="0">
      <text>
        <r>
          <rPr>
            <b/>
            <sz val="9"/>
            <color indexed="81"/>
            <rFont val="Tahoma"/>
            <family val="2"/>
            <charset val="162"/>
          </rPr>
          <t>betonun hesap çekme dayanımı</t>
        </r>
        <r>
          <rPr>
            <sz val="9"/>
            <color indexed="81"/>
            <rFont val="Tahoma"/>
            <family val="2"/>
            <charset val="162"/>
          </rPr>
          <t xml:space="preserve">
</t>
        </r>
      </text>
    </comment>
    <comment ref="I58" authorId="0" shapeId="0">
      <text>
        <r>
          <rPr>
            <b/>
            <sz val="9"/>
            <color indexed="81"/>
            <rFont val="Tahoma"/>
            <family val="2"/>
            <charset val="162"/>
          </rPr>
          <t>min. Yield strength (çeliğin karakteristik dayanımı)</t>
        </r>
      </text>
    </comment>
    <comment ref="J58" authorId="0" shapeId="0">
      <text>
        <r>
          <rPr>
            <b/>
            <sz val="9"/>
            <color indexed="81"/>
            <rFont val="Tahoma"/>
            <family val="2"/>
            <charset val="162"/>
          </rPr>
          <t>çeliğin hesap dayanımı</t>
        </r>
      </text>
    </comment>
    <comment ref="I63" authorId="0" shapeId="0">
      <text>
        <r>
          <rPr>
            <b/>
            <sz val="9"/>
            <color indexed="81"/>
            <rFont val="Tahoma"/>
            <family val="2"/>
            <charset val="162"/>
          </rPr>
          <t>Statik aktif basınç katsayısı</t>
        </r>
      </text>
    </comment>
    <comment ref="I67" authorId="0" shapeId="0">
      <text>
        <r>
          <rPr>
            <b/>
            <sz val="9"/>
            <color indexed="81"/>
            <rFont val="Tahoma"/>
            <family val="2"/>
            <charset val="162"/>
          </rPr>
          <t>Toprak basıncının hesabında kullanılan yatay eşdeğer deprem katsayısı
Mehmet Bey Ch=k</t>
        </r>
      </text>
    </comment>
    <comment ref="I69" authorId="0" shapeId="0">
      <text>
        <r>
          <rPr>
            <b/>
            <sz val="9"/>
            <color indexed="81"/>
            <rFont val="Tahoma"/>
            <family val="2"/>
            <charset val="162"/>
          </rPr>
          <t>Toprak basıncının hesabında kullanılan düşey eşdeğer deprem katsayısı</t>
        </r>
      </text>
    </comment>
    <comment ref="I78" authorId="0" shapeId="0">
      <text>
        <r>
          <rPr>
            <b/>
            <sz val="9"/>
            <color indexed="81"/>
            <rFont val="Tahoma"/>
            <family val="2"/>
            <charset val="162"/>
          </rPr>
          <t>Toplam Aktif Basınç Katsayısı (kuruda)</t>
        </r>
      </text>
    </comment>
    <comment ref="K78" authorId="0" shapeId="0">
      <text>
        <r>
          <rPr>
            <b/>
            <sz val="9"/>
            <color indexed="81"/>
            <rFont val="Tahoma"/>
            <family val="2"/>
            <charset val="162"/>
          </rPr>
          <t>spekmezci:</t>
        </r>
        <r>
          <rPr>
            <sz val="9"/>
            <color indexed="81"/>
            <rFont val="Tahoma"/>
            <family val="2"/>
            <charset val="162"/>
          </rPr>
          <t xml:space="preserve">
spekmezci:
Bu değerlerden maks. Olanı hesaba girecek</t>
        </r>
      </text>
    </comment>
    <comment ref="I80" authorId="0" shapeId="0">
      <text>
        <r>
          <rPr>
            <b/>
            <sz val="9"/>
            <color indexed="81"/>
            <rFont val="Tahoma"/>
            <family val="2"/>
            <charset val="162"/>
          </rPr>
          <t>Toplam Aktif Basınç Katsayısı (ıslak zeminde)</t>
        </r>
      </text>
    </comment>
    <comment ref="K80" authorId="3" shapeId="0">
      <text>
        <r>
          <rPr>
            <b/>
            <sz val="9"/>
            <color indexed="81"/>
            <rFont val="Tahoma"/>
            <family val="2"/>
          </rPr>
          <t>Onur Ferdi OZALPUK:</t>
        </r>
        <r>
          <rPr>
            <sz val="9"/>
            <color indexed="81"/>
            <rFont val="Tahoma"/>
            <family val="2"/>
          </rPr>
          <t xml:space="preserve">
gökdere projesine özel olarak bu kısım düzenlendi. Diğer projeler için kullanırken kontrol edilmeli</t>
        </r>
      </text>
    </comment>
    <comment ref="I82" authorId="0" shapeId="0">
      <text>
        <r>
          <rPr>
            <b/>
            <sz val="9"/>
            <color indexed="81"/>
            <rFont val="Tahoma"/>
            <family val="2"/>
            <charset val="162"/>
          </rPr>
          <t>Dinamik aktif basınç katsayısı kuru</t>
        </r>
      </text>
    </comment>
    <comment ref="H138" authorId="0" shapeId="0">
      <text>
        <r>
          <rPr>
            <b/>
            <sz val="9"/>
            <color indexed="81"/>
            <rFont val="Tahoma"/>
            <family val="2"/>
            <charset val="162"/>
          </rPr>
          <t>spekmezci:</t>
        </r>
        <r>
          <rPr>
            <sz val="9"/>
            <color indexed="81"/>
            <rFont val="Tahoma"/>
            <family val="2"/>
            <charset val="162"/>
          </rPr>
          <t xml:space="preserve">
In order to maintain compressive stresses at the found. Level, the min pressure should be greater than or equal to zero.</t>
        </r>
      </text>
    </comment>
    <comment ref="A140" authorId="0" shapeId="0">
      <text>
        <r>
          <rPr>
            <b/>
            <sz val="9"/>
            <color indexed="81"/>
            <rFont val="Tahoma"/>
            <family val="2"/>
            <charset val="162"/>
          </rPr>
          <t>spekmezci:</t>
        </r>
        <r>
          <rPr>
            <sz val="9"/>
            <color indexed="81"/>
            <rFont val="Tahoma"/>
            <family val="2"/>
            <charset val="162"/>
          </rPr>
          <t xml:space="preserve">
Overturning
</t>
        </r>
      </text>
    </comment>
    <comment ref="B144" authorId="0" shapeId="0">
      <text>
        <r>
          <rPr>
            <b/>
            <sz val="9"/>
            <color indexed="81"/>
            <rFont val="Tahoma"/>
            <family val="2"/>
            <charset val="162"/>
          </rPr>
          <t>spekmezci:</t>
        </r>
        <r>
          <rPr>
            <sz val="9"/>
            <color indexed="81"/>
            <rFont val="Tahoma"/>
            <family val="2"/>
            <charset val="162"/>
          </rPr>
          <t xml:space="preserve">
sliding over any horizontal plane</t>
        </r>
      </text>
    </comment>
    <comment ref="J506" authorId="0" shapeId="0">
      <text>
        <r>
          <rPr>
            <b/>
            <sz val="9"/>
            <color indexed="81"/>
            <rFont val="Tahoma"/>
            <family val="2"/>
            <charset val="162"/>
          </rPr>
          <t>1.) If Vd&gt; Vmax change the size of the beam
2.) If Vd&lt;Vcr min. shear reinf. should be used
3.) If Vcr&lt;Vd&lt;Vmax shear reinf. should be designed</t>
        </r>
      </text>
    </comment>
  </commentList>
</comments>
</file>

<file path=xl/sharedStrings.xml><?xml version="1.0" encoding="utf-8"?>
<sst xmlns="http://schemas.openxmlformats.org/spreadsheetml/2006/main" count="1593" uniqueCount="378">
  <si>
    <t>Perde yüksekliği</t>
  </si>
  <si>
    <r>
      <t>h</t>
    </r>
    <r>
      <rPr>
        <vertAlign val="subscript"/>
        <sz val="10"/>
        <color indexed="8"/>
        <rFont val="Arial"/>
        <family val="2"/>
        <charset val="162"/>
      </rPr>
      <t>w</t>
    </r>
    <r>
      <rPr>
        <sz val="10"/>
        <color indexed="8"/>
        <rFont val="Arial"/>
        <family val="2"/>
        <charset val="162"/>
      </rPr>
      <t xml:space="preserve"> =</t>
    </r>
  </si>
  <si>
    <t>Temel Yüksekliği</t>
  </si>
  <si>
    <r>
      <t>h</t>
    </r>
    <r>
      <rPr>
        <vertAlign val="subscript"/>
        <sz val="10"/>
        <color indexed="8"/>
        <rFont val="Arial"/>
        <family val="2"/>
        <charset val="162"/>
      </rPr>
      <t>s</t>
    </r>
    <r>
      <rPr>
        <sz val="10"/>
        <color indexed="8"/>
        <rFont val="Arial"/>
        <family val="2"/>
        <charset val="162"/>
      </rPr>
      <t xml:space="preserve"> =</t>
    </r>
  </si>
  <si>
    <t>Toplam Duvar Yüksekliği</t>
  </si>
  <si>
    <t>h =</t>
  </si>
  <si>
    <t>b =</t>
  </si>
  <si>
    <r>
      <t>b</t>
    </r>
    <r>
      <rPr>
        <vertAlign val="subscript"/>
        <sz val="10"/>
        <rFont val="Arial"/>
        <family val="2"/>
        <charset val="162"/>
      </rPr>
      <t>w</t>
    </r>
    <r>
      <rPr>
        <sz val="10"/>
        <color indexed="8"/>
        <rFont val="Arial"/>
        <family val="2"/>
        <charset val="162"/>
      </rPr>
      <t xml:space="preserve"> =</t>
    </r>
  </si>
  <si>
    <r>
      <t>b</t>
    </r>
    <r>
      <rPr>
        <vertAlign val="subscript"/>
        <sz val="10"/>
        <rFont val="Arial"/>
        <family val="2"/>
        <charset val="162"/>
      </rPr>
      <t>t</t>
    </r>
    <r>
      <rPr>
        <sz val="10"/>
        <color indexed="8"/>
        <rFont val="Arial"/>
        <family val="2"/>
        <charset val="162"/>
      </rPr>
      <t xml:space="preserve"> =</t>
    </r>
  </si>
  <si>
    <r>
      <t>b</t>
    </r>
    <r>
      <rPr>
        <vertAlign val="subscript"/>
        <sz val="10"/>
        <rFont val="Arial"/>
        <family val="2"/>
        <charset val="162"/>
      </rPr>
      <t>r</t>
    </r>
    <r>
      <rPr>
        <sz val="10"/>
        <color indexed="8"/>
        <rFont val="Arial"/>
        <family val="2"/>
        <charset val="162"/>
      </rPr>
      <t xml:space="preserve"> =</t>
    </r>
  </si>
  <si>
    <r>
      <t>b</t>
    </r>
    <r>
      <rPr>
        <vertAlign val="subscript"/>
        <sz val="10"/>
        <rFont val="Arial"/>
        <family val="2"/>
        <charset val="162"/>
      </rPr>
      <t>f</t>
    </r>
    <r>
      <rPr>
        <sz val="10"/>
        <color indexed="8"/>
        <rFont val="Arial"/>
        <family val="2"/>
        <charset val="162"/>
      </rPr>
      <t xml:space="preserve"> =</t>
    </r>
  </si>
  <si>
    <t>m</t>
  </si>
  <si>
    <t>Perde üst genişliği</t>
  </si>
  <si>
    <t>Perde alt genişliği</t>
  </si>
  <si>
    <t>Arka ampatman genişliği</t>
  </si>
  <si>
    <t>Ön ampatman genişliği</t>
  </si>
  <si>
    <t>Toplam temel genişliği</t>
  </si>
  <si>
    <t>Zeminin içsel sürtünme açısı</t>
  </si>
  <si>
    <t>f =</t>
  </si>
  <si>
    <t>derece</t>
  </si>
  <si>
    <t>Dolgu zeminin duvar ile yaptığı düşey açı</t>
  </si>
  <si>
    <t>Dolgu zeminin yatayla yaptığı açı</t>
  </si>
  <si>
    <t>a =</t>
  </si>
  <si>
    <t>Sürjarj yükü</t>
  </si>
  <si>
    <t>q =</t>
  </si>
  <si>
    <t>t/m²</t>
  </si>
  <si>
    <t>Ao=</t>
  </si>
  <si>
    <t>Betonun birim hacim ağırlığı</t>
  </si>
  <si>
    <r>
      <t>g</t>
    </r>
    <r>
      <rPr>
        <vertAlign val="subscript"/>
        <sz val="10"/>
        <color indexed="8"/>
        <rFont val="Arial"/>
        <family val="2"/>
        <charset val="162"/>
      </rPr>
      <t>c</t>
    </r>
    <r>
      <rPr>
        <sz val="10"/>
        <color indexed="8"/>
        <rFont val="Arial"/>
        <family val="2"/>
        <charset val="162"/>
      </rPr>
      <t xml:space="preserve"> =</t>
    </r>
  </si>
  <si>
    <r>
      <t>g</t>
    </r>
    <r>
      <rPr>
        <vertAlign val="subscript"/>
        <sz val="10"/>
        <color indexed="8"/>
        <rFont val="Arial"/>
        <family val="2"/>
        <charset val="162"/>
      </rPr>
      <t>w</t>
    </r>
    <r>
      <rPr>
        <sz val="10"/>
        <color indexed="8"/>
        <rFont val="Arial"/>
        <family val="2"/>
        <charset val="162"/>
      </rPr>
      <t xml:space="preserve"> =</t>
    </r>
  </si>
  <si>
    <t>t/m³</t>
  </si>
  <si>
    <t>Suyun birim hacim ağırlığı</t>
  </si>
  <si>
    <t>Dolgu zemin birim hacim ağırlığı (doygun)</t>
  </si>
  <si>
    <r>
      <t>g</t>
    </r>
    <r>
      <rPr>
        <vertAlign val="subscript"/>
        <sz val="10"/>
        <color indexed="8"/>
        <rFont val="Arial"/>
        <family val="2"/>
        <charset val="162"/>
      </rPr>
      <t>doy</t>
    </r>
    <r>
      <rPr>
        <sz val="10"/>
        <color indexed="8"/>
        <rFont val="Arial"/>
        <family val="2"/>
        <charset val="162"/>
      </rPr>
      <t xml:space="preserve"> =</t>
    </r>
  </si>
  <si>
    <t>Dolgu zemin birim hacim ağırlığı (normal)</t>
  </si>
  <si>
    <r>
      <t>g</t>
    </r>
    <r>
      <rPr>
        <vertAlign val="subscript"/>
        <sz val="10"/>
        <color indexed="8"/>
        <rFont val="Arial"/>
        <family val="2"/>
        <charset val="162"/>
      </rPr>
      <t>nor</t>
    </r>
    <r>
      <rPr>
        <sz val="10"/>
        <color indexed="8"/>
        <rFont val="Arial"/>
        <family val="2"/>
        <charset val="162"/>
      </rPr>
      <t xml:space="preserve"> =</t>
    </r>
  </si>
  <si>
    <t>Dolgu kohezyonu</t>
  </si>
  <si>
    <t>c =</t>
  </si>
  <si>
    <t>Beton yüzey ile zemin arasındaki sürtünme açısı</t>
  </si>
  <si>
    <t>Yapı önem katsayısı</t>
  </si>
  <si>
    <t>I =</t>
  </si>
  <si>
    <r>
      <t>K</t>
    </r>
    <r>
      <rPr>
        <vertAlign val="subscript"/>
        <sz val="10"/>
        <color indexed="8"/>
        <rFont val="Arial"/>
        <family val="2"/>
        <charset val="162"/>
      </rPr>
      <t>AS</t>
    </r>
    <r>
      <rPr>
        <sz val="10"/>
        <color indexed="8"/>
        <rFont val="Arial"/>
        <family val="2"/>
        <charset val="162"/>
      </rPr>
      <t xml:space="preserve"> =</t>
    </r>
  </si>
  <si>
    <r>
      <t>d</t>
    </r>
    <r>
      <rPr>
        <sz val="10"/>
        <rFont val="Arial"/>
        <family val="2"/>
        <charset val="162"/>
      </rPr>
      <t>(</t>
    </r>
    <r>
      <rPr>
        <sz val="10"/>
        <rFont val="Symbol"/>
        <family val="1"/>
        <charset val="2"/>
      </rPr>
      <t>f</t>
    </r>
    <r>
      <rPr>
        <sz val="10"/>
        <rFont val="Arial"/>
        <family val="2"/>
        <charset val="162"/>
      </rPr>
      <t>/2) =</t>
    </r>
  </si>
  <si>
    <r>
      <t>C</t>
    </r>
    <r>
      <rPr>
        <vertAlign val="subscript"/>
        <sz val="10"/>
        <color indexed="8"/>
        <rFont val="Arial"/>
        <family val="2"/>
        <charset val="162"/>
      </rPr>
      <t>h</t>
    </r>
    <r>
      <rPr>
        <sz val="10"/>
        <color indexed="8"/>
        <rFont val="Arial"/>
        <family val="2"/>
        <charset val="162"/>
      </rPr>
      <t xml:space="preserve"> =</t>
    </r>
  </si>
  <si>
    <r>
      <t>C</t>
    </r>
    <r>
      <rPr>
        <vertAlign val="subscript"/>
        <sz val="10"/>
        <color indexed="8"/>
        <rFont val="Arial"/>
        <family val="2"/>
        <charset val="162"/>
      </rPr>
      <t>v</t>
    </r>
    <r>
      <rPr>
        <sz val="10"/>
        <color indexed="8"/>
        <rFont val="Arial"/>
        <family val="2"/>
        <charset val="162"/>
      </rPr>
      <t xml:space="preserve"> =</t>
    </r>
  </si>
  <si>
    <r>
      <t>K</t>
    </r>
    <r>
      <rPr>
        <vertAlign val="subscript"/>
        <sz val="10"/>
        <color indexed="8"/>
        <rFont val="Arial"/>
        <family val="2"/>
        <charset val="162"/>
      </rPr>
      <t>at;kuru</t>
    </r>
    <r>
      <rPr>
        <sz val="10"/>
        <color indexed="8"/>
        <rFont val="Arial"/>
        <family val="2"/>
        <charset val="162"/>
      </rPr>
      <t xml:space="preserve"> =</t>
    </r>
  </si>
  <si>
    <r>
      <t>K</t>
    </r>
    <r>
      <rPr>
        <vertAlign val="subscript"/>
        <sz val="10"/>
        <color indexed="8"/>
        <rFont val="Arial"/>
        <family val="2"/>
        <charset val="162"/>
      </rPr>
      <t>at;ıslak</t>
    </r>
    <r>
      <rPr>
        <sz val="10"/>
        <color indexed="8"/>
        <rFont val="Arial"/>
        <family val="2"/>
        <charset val="162"/>
      </rPr>
      <t xml:space="preserve"> =</t>
    </r>
  </si>
  <si>
    <r>
      <t>K</t>
    </r>
    <r>
      <rPr>
        <vertAlign val="subscript"/>
        <sz val="10"/>
        <color indexed="8"/>
        <rFont val="Arial"/>
        <family val="2"/>
        <charset val="162"/>
      </rPr>
      <t>ad;kuru</t>
    </r>
    <r>
      <rPr>
        <sz val="10"/>
        <color indexed="8"/>
        <rFont val="Arial"/>
        <family val="2"/>
        <charset val="162"/>
      </rPr>
      <t xml:space="preserve"> = </t>
    </r>
  </si>
  <si>
    <r>
      <t>l</t>
    </r>
    <r>
      <rPr>
        <vertAlign val="subscript"/>
        <sz val="10"/>
        <color indexed="8"/>
        <rFont val="Arial"/>
        <family val="2"/>
        <charset val="162"/>
      </rPr>
      <t>ıslak</t>
    </r>
    <r>
      <rPr>
        <sz val="10"/>
        <color indexed="8"/>
        <rFont val="Arial"/>
        <family val="2"/>
        <charset val="162"/>
      </rPr>
      <t xml:space="preserve"> =</t>
    </r>
  </si>
  <si>
    <r>
      <t>l</t>
    </r>
    <r>
      <rPr>
        <vertAlign val="subscript"/>
        <sz val="10"/>
        <color indexed="8"/>
        <rFont val="Arial"/>
        <family val="2"/>
        <charset val="162"/>
      </rPr>
      <t>kuru</t>
    </r>
    <r>
      <rPr>
        <sz val="10"/>
        <color indexed="8"/>
        <rFont val="Arial"/>
        <family val="2"/>
        <charset val="162"/>
      </rPr>
      <t xml:space="preserve"> =</t>
    </r>
  </si>
  <si>
    <r>
      <t>K</t>
    </r>
    <r>
      <rPr>
        <vertAlign val="subscript"/>
        <sz val="10"/>
        <color indexed="8"/>
        <rFont val="Arial"/>
        <family val="2"/>
        <charset val="162"/>
      </rPr>
      <t>ad;ıslak</t>
    </r>
    <r>
      <rPr>
        <sz val="10"/>
        <color indexed="8"/>
        <rFont val="Arial"/>
        <family val="2"/>
        <charset val="162"/>
      </rPr>
      <t xml:space="preserve"> = </t>
    </r>
  </si>
  <si>
    <t>Zemin emniyet gerilmesi</t>
  </si>
  <si>
    <r>
      <t>s</t>
    </r>
    <r>
      <rPr>
        <vertAlign val="subscript"/>
        <sz val="10"/>
        <color indexed="8"/>
        <rFont val="Arial"/>
        <family val="2"/>
        <charset val="162"/>
      </rPr>
      <t>em</t>
    </r>
    <r>
      <rPr>
        <sz val="10"/>
        <color indexed="8"/>
        <rFont val="Arial"/>
        <family val="2"/>
        <charset val="162"/>
      </rPr>
      <t xml:space="preserve"> =</t>
    </r>
  </si>
  <si>
    <t>Zemin Parametreleri Hesabı</t>
  </si>
  <si>
    <t>Moment Kolu (m)</t>
  </si>
  <si>
    <t>Moment Değerleri                       (ton.m/m)</t>
  </si>
  <si>
    <t>Yapıya Ait Yükler                                              (ton)</t>
  </si>
  <si>
    <r>
      <t>W</t>
    </r>
    <r>
      <rPr>
        <vertAlign val="subscript"/>
        <sz val="10"/>
        <color indexed="8"/>
        <rFont val="Arial"/>
        <family val="2"/>
        <charset val="162"/>
      </rPr>
      <t>B1</t>
    </r>
    <r>
      <rPr>
        <sz val="10"/>
        <color indexed="8"/>
        <rFont val="Arial"/>
        <family val="2"/>
        <charset val="162"/>
      </rPr>
      <t xml:space="preserve"> =</t>
    </r>
  </si>
  <si>
    <r>
      <t>W</t>
    </r>
    <r>
      <rPr>
        <vertAlign val="subscript"/>
        <sz val="10"/>
        <color indexed="8"/>
        <rFont val="Arial"/>
        <family val="2"/>
        <charset val="162"/>
      </rPr>
      <t>B2</t>
    </r>
    <r>
      <rPr>
        <sz val="10"/>
        <color indexed="8"/>
        <rFont val="Arial"/>
        <family val="2"/>
        <charset val="162"/>
      </rPr>
      <t xml:space="preserve"> =</t>
    </r>
  </si>
  <si>
    <r>
      <t>W</t>
    </r>
    <r>
      <rPr>
        <vertAlign val="subscript"/>
        <sz val="10"/>
        <color indexed="8"/>
        <rFont val="Arial"/>
        <family val="2"/>
        <charset val="162"/>
      </rPr>
      <t>B3</t>
    </r>
    <r>
      <rPr>
        <sz val="10"/>
        <color indexed="8"/>
        <rFont val="Arial"/>
        <family val="2"/>
        <charset val="162"/>
      </rPr>
      <t xml:space="preserve"> =</t>
    </r>
  </si>
  <si>
    <r>
      <t>W</t>
    </r>
    <r>
      <rPr>
        <vertAlign val="subscript"/>
        <sz val="10"/>
        <color indexed="8"/>
        <rFont val="Arial"/>
        <family val="2"/>
        <charset val="162"/>
      </rPr>
      <t>D1</t>
    </r>
    <r>
      <rPr>
        <sz val="10"/>
        <color indexed="8"/>
        <rFont val="Arial"/>
        <family val="2"/>
        <charset val="162"/>
      </rPr>
      <t xml:space="preserve"> =</t>
    </r>
  </si>
  <si>
    <r>
      <t>W</t>
    </r>
    <r>
      <rPr>
        <vertAlign val="subscript"/>
        <sz val="10"/>
        <color indexed="8"/>
        <rFont val="Arial"/>
        <family val="2"/>
        <charset val="162"/>
      </rPr>
      <t>D2</t>
    </r>
    <r>
      <rPr>
        <sz val="10"/>
        <color indexed="8"/>
        <rFont val="Arial"/>
        <family val="2"/>
        <charset val="162"/>
      </rPr>
      <t xml:space="preserve"> =</t>
    </r>
  </si>
  <si>
    <r>
      <t>P</t>
    </r>
    <r>
      <rPr>
        <vertAlign val="subscript"/>
        <sz val="10"/>
        <color indexed="8"/>
        <rFont val="Arial"/>
        <family val="2"/>
        <charset val="162"/>
      </rPr>
      <t>A</t>
    </r>
    <r>
      <rPr>
        <sz val="10"/>
        <color indexed="8"/>
        <rFont val="Arial"/>
        <family val="2"/>
        <charset val="162"/>
      </rPr>
      <t xml:space="preserve"> =</t>
    </r>
  </si>
  <si>
    <r>
      <t>P</t>
    </r>
    <r>
      <rPr>
        <vertAlign val="subscript"/>
        <sz val="10"/>
        <color indexed="8"/>
        <rFont val="Arial"/>
        <family val="2"/>
        <charset val="162"/>
      </rPr>
      <t>S</t>
    </r>
    <r>
      <rPr>
        <sz val="10"/>
        <color indexed="8"/>
        <rFont val="Arial"/>
        <family val="2"/>
        <charset val="162"/>
      </rPr>
      <t xml:space="preserve"> =</t>
    </r>
  </si>
  <si>
    <r>
      <t>å</t>
    </r>
    <r>
      <rPr>
        <sz val="10"/>
        <color indexed="8"/>
        <rFont val="Arial"/>
        <family val="2"/>
        <charset val="162"/>
      </rPr>
      <t>M</t>
    </r>
    <r>
      <rPr>
        <vertAlign val="subscript"/>
        <sz val="10"/>
        <color indexed="8"/>
        <rFont val="Arial"/>
        <family val="2"/>
        <charset val="162"/>
      </rPr>
      <t>k</t>
    </r>
    <r>
      <rPr>
        <sz val="10"/>
        <color indexed="8"/>
        <rFont val="Arial"/>
        <family val="2"/>
        <charset val="162"/>
      </rPr>
      <t xml:space="preserve"> </t>
    </r>
  </si>
  <si>
    <r>
      <t>å</t>
    </r>
    <r>
      <rPr>
        <sz val="10"/>
        <color indexed="8"/>
        <rFont val="Arial"/>
        <family val="2"/>
        <charset val="162"/>
      </rPr>
      <t>M</t>
    </r>
    <r>
      <rPr>
        <vertAlign val="subscript"/>
        <sz val="10"/>
        <color indexed="8"/>
        <rFont val="Arial"/>
        <family val="2"/>
        <charset val="162"/>
      </rPr>
      <t>d</t>
    </r>
    <r>
      <rPr>
        <sz val="10"/>
        <color indexed="8"/>
        <rFont val="Arial"/>
        <family val="2"/>
        <charset val="162"/>
      </rPr>
      <t xml:space="preserve"> </t>
    </r>
  </si>
  <si>
    <t>GS</t>
  </si>
  <si>
    <r>
      <t>å</t>
    </r>
    <r>
      <rPr>
        <sz val="10"/>
        <color indexed="8"/>
        <rFont val="Arial"/>
        <family val="2"/>
        <charset val="162"/>
      </rPr>
      <t xml:space="preserve">H </t>
    </r>
  </si>
  <si>
    <r>
      <t>å</t>
    </r>
    <r>
      <rPr>
        <sz val="10"/>
        <color indexed="8"/>
        <rFont val="Arial"/>
        <family val="2"/>
        <charset val="162"/>
      </rPr>
      <t xml:space="preserve">V </t>
    </r>
  </si>
  <si>
    <t>Devrilme Kontrolü</t>
  </si>
  <si>
    <t>Kayma Kontrolü</t>
  </si>
  <si>
    <t>Zemin Gerilmesi Kontrolü</t>
  </si>
  <si>
    <r>
      <t>s</t>
    </r>
    <r>
      <rPr>
        <vertAlign val="subscript"/>
        <sz val="11"/>
        <color indexed="8"/>
        <rFont val="Calibri"/>
        <family val="2"/>
        <charset val="162"/>
      </rPr>
      <t>max</t>
    </r>
    <r>
      <rPr>
        <sz val="11"/>
        <color theme="1"/>
        <rFont val="Calibri"/>
        <family val="2"/>
        <charset val="162"/>
        <scheme val="minor"/>
      </rPr>
      <t xml:space="preserve"> =</t>
    </r>
  </si>
  <si>
    <r>
      <t>s</t>
    </r>
    <r>
      <rPr>
        <vertAlign val="subscript"/>
        <sz val="11"/>
        <color indexed="8"/>
        <rFont val="Calibri"/>
        <family val="2"/>
        <charset val="162"/>
      </rPr>
      <t>min</t>
    </r>
    <r>
      <rPr>
        <sz val="11"/>
        <color theme="1"/>
        <rFont val="Calibri"/>
        <family val="2"/>
        <charset val="162"/>
        <scheme val="minor"/>
      </rPr>
      <t xml:space="preserve"> =</t>
    </r>
  </si>
  <si>
    <r>
      <t>s</t>
    </r>
    <r>
      <rPr>
        <vertAlign val="subscript"/>
        <sz val="11"/>
        <color indexed="8"/>
        <rFont val="Calibri"/>
        <family val="2"/>
        <charset val="162"/>
      </rPr>
      <t>min;em</t>
    </r>
    <r>
      <rPr>
        <sz val="11"/>
        <color theme="1"/>
        <rFont val="Calibri"/>
        <family val="2"/>
        <charset val="162"/>
        <scheme val="minor"/>
      </rPr>
      <t xml:space="preserve"> =</t>
    </r>
  </si>
  <si>
    <r>
      <t>s</t>
    </r>
    <r>
      <rPr>
        <vertAlign val="subscript"/>
        <sz val="11"/>
        <color indexed="8"/>
        <rFont val="Calibri"/>
        <family val="2"/>
        <charset val="162"/>
      </rPr>
      <t>max;em</t>
    </r>
    <r>
      <rPr>
        <sz val="11"/>
        <color theme="1"/>
        <rFont val="Calibri"/>
        <family val="2"/>
        <charset val="162"/>
        <scheme val="minor"/>
      </rPr>
      <t xml:space="preserve"> =</t>
    </r>
  </si>
  <si>
    <r>
      <t>W</t>
    </r>
    <r>
      <rPr>
        <vertAlign val="subscript"/>
        <sz val="10"/>
        <color indexed="8"/>
        <rFont val="Arial"/>
        <family val="2"/>
        <charset val="162"/>
      </rPr>
      <t>B1D</t>
    </r>
    <r>
      <rPr>
        <sz val="10"/>
        <color indexed="8"/>
        <rFont val="Arial"/>
        <family val="2"/>
        <charset val="162"/>
      </rPr>
      <t xml:space="preserve"> =</t>
    </r>
  </si>
  <si>
    <r>
      <t>W</t>
    </r>
    <r>
      <rPr>
        <vertAlign val="subscript"/>
        <sz val="10"/>
        <color indexed="8"/>
        <rFont val="Arial"/>
        <family val="2"/>
        <charset val="162"/>
      </rPr>
      <t>B2D</t>
    </r>
    <r>
      <rPr>
        <sz val="10"/>
        <color indexed="8"/>
        <rFont val="Arial"/>
        <family val="2"/>
        <charset val="162"/>
      </rPr>
      <t xml:space="preserve"> =</t>
    </r>
  </si>
  <si>
    <r>
      <t>W</t>
    </r>
    <r>
      <rPr>
        <vertAlign val="subscript"/>
        <sz val="10"/>
        <color indexed="8"/>
        <rFont val="Arial"/>
        <family val="2"/>
        <charset val="162"/>
      </rPr>
      <t>B3D</t>
    </r>
    <r>
      <rPr>
        <sz val="10"/>
        <color indexed="8"/>
        <rFont val="Arial"/>
        <family val="2"/>
        <charset val="162"/>
      </rPr>
      <t xml:space="preserve"> =</t>
    </r>
  </si>
  <si>
    <t>Yapı atalet etkisi</t>
  </si>
  <si>
    <r>
      <t>P</t>
    </r>
    <r>
      <rPr>
        <vertAlign val="subscript"/>
        <sz val="10"/>
        <color indexed="8"/>
        <rFont val="Arial"/>
        <family val="2"/>
        <charset val="162"/>
      </rPr>
      <t>AD</t>
    </r>
    <r>
      <rPr>
        <sz val="10"/>
        <color indexed="8"/>
        <rFont val="Arial"/>
        <family val="2"/>
        <charset val="162"/>
      </rPr>
      <t xml:space="preserve"> =</t>
    </r>
  </si>
  <si>
    <t>Q =</t>
  </si>
  <si>
    <t>U =</t>
  </si>
  <si>
    <r>
      <t>W</t>
    </r>
    <r>
      <rPr>
        <vertAlign val="subscript"/>
        <sz val="10"/>
        <color indexed="8"/>
        <rFont val="Arial"/>
        <family val="2"/>
        <charset val="162"/>
      </rPr>
      <t>DW1</t>
    </r>
    <r>
      <rPr>
        <sz val="10"/>
        <color indexed="8"/>
        <rFont val="Arial"/>
        <family val="2"/>
        <charset val="162"/>
      </rPr>
      <t xml:space="preserve"> =</t>
    </r>
  </si>
  <si>
    <r>
      <t>W</t>
    </r>
    <r>
      <rPr>
        <vertAlign val="subscript"/>
        <sz val="10"/>
        <color indexed="8"/>
        <rFont val="Arial"/>
        <family val="2"/>
        <charset val="162"/>
      </rPr>
      <t>DW2</t>
    </r>
    <r>
      <rPr>
        <sz val="10"/>
        <color indexed="8"/>
        <rFont val="Arial"/>
        <family val="2"/>
        <charset val="162"/>
      </rPr>
      <t xml:space="preserve"> =</t>
    </r>
  </si>
  <si>
    <r>
      <t>P</t>
    </r>
    <r>
      <rPr>
        <vertAlign val="subscript"/>
        <sz val="10"/>
        <color indexed="8"/>
        <rFont val="Arial"/>
        <family val="2"/>
        <charset val="162"/>
      </rPr>
      <t>A1</t>
    </r>
    <r>
      <rPr>
        <sz val="10"/>
        <color indexed="8"/>
        <rFont val="Arial"/>
        <family val="2"/>
        <charset val="162"/>
      </rPr>
      <t xml:space="preserve"> =</t>
    </r>
  </si>
  <si>
    <r>
      <t>P</t>
    </r>
    <r>
      <rPr>
        <vertAlign val="subscript"/>
        <sz val="10"/>
        <color indexed="8"/>
        <rFont val="Arial"/>
        <family val="2"/>
        <charset val="162"/>
      </rPr>
      <t>A2</t>
    </r>
    <r>
      <rPr>
        <sz val="10"/>
        <color indexed="8"/>
        <rFont val="Arial"/>
        <family val="2"/>
        <charset val="162"/>
      </rPr>
      <t xml:space="preserve"> =</t>
    </r>
  </si>
  <si>
    <r>
      <t>W</t>
    </r>
    <r>
      <rPr>
        <vertAlign val="subscript"/>
        <sz val="10"/>
        <color indexed="8"/>
        <rFont val="Arial"/>
        <family val="2"/>
        <charset val="162"/>
      </rPr>
      <t>W</t>
    </r>
    <r>
      <rPr>
        <sz val="10"/>
        <color indexed="8"/>
        <rFont val="Arial"/>
        <family val="2"/>
        <charset val="162"/>
      </rPr>
      <t xml:space="preserve"> =</t>
    </r>
  </si>
  <si>
    <t>Feyezan hali normal durum su seviyesi yüksekliği (temel altından)</t>
  </si>
  <si>
    <t>Feyezan sonu normal durum su seviyesi yüksekliği (temel altından)</t>
  </si>
  <si>
    <r>
      <t>h</t>
    </r>
    <r>
      <rPr>
        <vertAlign val="subscript"/>
        <sz val="10"/>
        <color indexed="8"/>
        <rFont val="Arial"/>
        <family val="2"/>
        <charset val="162"/>
      </rPr>
      <t>su;f</t>
    </r>
    <r>
      <rPr>
        <sz val="10"/>
        <color indexed="8"/>
        <rFont val="Arial"/>
        <family val="2"/>
        <charset val="162"/>
      </rPr>
      <t xml:space="preserve"> =</t>
    </r>
  </si>
  <si>
    <r>
      <t>h</t>
    </r>
    <r>
      <rPr>
        <vertAlign val="subscript"/>
        <sz val="10"/>
        <color indexed="8"/>
        <rFont val="Arial"/>
        <family val="2"/>
        <charset val="162"/>
      </rPr>
      <t>su;s</t>
    </r>
    <r>
      <rPr>
        <sz val="10"/>
        <color indexed="8"/>
        <rFont val="Arial"/>
        <family val="2"/>
        <charset val="162"/>
      </rPr>
      <t xml:space="preserve"> =</t>
    </r>
  </si>
  <si>
    <r>
      <t>P</t>
    </r>
    <r>
      <rPr>
        <vertAlign val="subscript"/>
        <sz val="10"/>
        <color indexed="8"/>
        <rFont val="Arial"/>
        <family val="2"/>
        <charset val="162"/>
      </rPr>
      <t>W</t>
    </r>
    <r>
      <rPr>
        <sz val="10"/>
        <color indexed="8"/>
        <rFont val="Arial"/>
        <family val="2"/>
        <charset val="162"/>
      </rPr>
      <t xml:space="preserve"> =</t>
    </r>
  </si>
  <si>
    <r>
      <t>P</t>
    </r>
    <r>
      <rPr>
        <vertAlign val="subscript"/>
        <sz val="10"/>
        <color indexed="8"/>
        <rFont val="Arial"/>
        <family val="2"/>
        <charset val="162"/>
      </rPr>
      <t>WP</t>
    </r>
    <r>
      <rPr>
        <sz val="10"/>
        <color indexed="8"/>
        <rFont val="Arial"/>
        <family val="2"/>
        <charset val="162"/>
      </rPr>
      <t xml:space="preserve"> =</t>
    </r>
  </si>
  <si>
    <r>
      <t xml:space="preserve">   K</t>
    </r>
    <r>
      <rPr>
        <vertAlign val="subscript"/>
        <sz val="10"/>
        <color indexed="8"/>
        <rFont val="Arial"/>
        <family val="2"/>
        <charset val="162"/>
      </rPr>
      <t>ad</t>
    </r>
    <r>
      <rPr>
        <sz val="10"/>
        <color indexed="8"/>
        <rFont val="Arial"/>
        <family val="2"/>
        <charset val="162"/>
      </rPr>
      <t xml:space="preserve"> = K</t>
    </r>
    <r>
      <rPr>
        <vertAlign val="subscript"/>
        <sz val="10"/>
        <color indexed="8"/>
        <rFont val="Arial"/>
        <family val="2"/>
        <charset val="162"/>
      </rPr>
      <t>at</t>
    </r>
    <r>
      <rPr>
        <sz val="10"/>
        <color indexed="8"/>
        <rFont val="Arial"/>
        <family val="2"/>
        <charset val="162"/>
      </rPr>
      <t xml:space="preserve"> – K</t>
    </r>
    <r>
      <rPr>
        <vertAlign val="subscript"/>
        <sz val="10"/>
        <color indexed="8"/>
        <rFont val="Arial"/>
        <family val="2"/>
        <charset val="162"/>
      </rPr>
      <t>as</t>
    </r>
    <r>
      <rPr>
        <sz val="10"/>
        <color indexed="8"/>
        <rFont val="Arial"/>
        <family val="2"/>
        <charset val="162"/>
      </rPr>
      <t xml:space="preserve"> </t>
    </r>
  </si>
  <si>
    <t>gerilme</t>
  </si>
  <si>
    <t>devrilme</t>
  </si>
  <si>
    <t>kayma</t>
  </si>
  <si>
    <r>
      <t>s</t>
    </r>
    <r>
      <rPr>
        <vertAlign val="subscript"/>
        <sz val="11"/>
        <color indexed="8"/>
        <rFont val="Calibri"/>
        <family val="2"/>
        <charset val="162"/>
      </rPr>
      <t>max</t>
    </r>
    <r>
      <rPr>
        <sz val="11"/>
        <color theme="1"/>
        <rFont val="Calibri"/>
        <family val="2"/>
        <charset val="162"/>
        <scheme val="minor"/>
      </rPr>
      <t xml:space="preserve"> =</t>
    </r>
  </si>
  <si>
    <r>
      <t>s</t>
    </r>
    <r>
      <rPr>
        <vertAlign val="subscript"/>
        <sz val="11"/>
        <color indexed="8"/>
        <rFont val="Calibri"/>
        <family val="2"/>
        <charset val="162"/>
      </rPr>
      <t>min</t>
    </r>
    <r>
      <rPr>
        <sz val="11"/>
        <color theme="1"/>
        <rFont val="Calibri"/>
        <family val="2"/>
        <charset val="162"/>
        <scheme val="minor"/>
      </rPr>
      <t xml:space="preserve"> =</t>
    </r>
  </si>
  <si>
    <r>
      <t>s</t>
    </r>
    <r>
      <rPr>
        <vertAlign val="subscript"/>
        <sz val="11"/>
        <color indexed="8"/>
        <rFont val="Calibri"/>
        <family val="2"/>
        <charset val="162"/>
      </rPr>
      <t>max;em</t>
    </r>
    <r>
      <rPr>
        <sz val="11"/>
        <color theme="1"/>
        <rFont val="Calibri"/>
        <family val="2"/>
        <charset val="162"/>
        <scheme val="minor"/>
      </rPr>
      <t xml:space="preserve"> =</t>
    </r>
  </si>
  <si>
    <r>
      <t>s</t>
    </r>
    <r>
      <rPr>
        <vertAlign val="subscript"/>
        <sz val="11"/>
        <color indexed="8"/>
        <rFont val="Calibri"/>
        <family val="2"/>
        <charset val="162"/>
      </rPr>
      <t>min;em</t>
    </r>
    <r>
      <rPr>
        <sz val="11"/>
        <color theme="1"/>
        <rFont val="Calibri"/>
        <family val="2"/>
        <charset val="162"/>
        <scheme val="minor"/>
      </rPr>
      <t xml:space="preserve"> =</t>
    </r>
  </si>
  <si>
    <t>Donatı</t>
  </si>
  <si>
    <t>fc' =</t>
  </si>
  <si>
    <t>fy=</t>
  </si>
  <si>
    <t>MPa</t>
  </si>
  <si>
    <t>fr=</t>
  </si>
  <si>
    <t>Perde Donatısı</t>
  </si>
  <si>
    <t>Temel Üst</t>
  </si>
  <si>
    <t>Temel Alt</t>
  </si>
  <si>
    <t>Vd=</t>
  </si>
  <si>
    <t>Md=</t>
  </si>
  <si>
    <t>t.m/m</t>
  </si>
  <si>
    <t>t/m</t>
  </si>
  <si>
    <t>1. Durum</t>
  </si>
  <si>
    <t>2. Durum</t>
  </si>
  <si>
    <t>3. Durum</t>
  </si>
  <si>
    <t>4. Durum</t>
  </si>
  <si>
    <r>
      <t>s</t>
    </r>
    <r>
      <rPr>
        <b/>
        <vertAlign val="subscript"/>
        <sz val="11"/>
        <color indexed="8"/>
        <rFont val="Calibri"/>
        <family val="2"/>
        <charset val="162"/>
      </rPr>
      <t>min</t>
    </r>
    <r>
      <rPr>
        <sz val="11"/>
        <color theme="1"/>
        <rFont val="Calibri"/>
        <family val="2"/>
        <charset val="162"/>
        <scheme val="minor"/>
      </rPr>
      <t xml:space="preserve">           (t/m²)</t>
    </r>
  </si>
  <si>
    <r>
      <t>s</t>
    </r>
    <r>
      <rPr>
        <b/>
        <vertAlign val="subscript"/>
        <sz val="11"/>
        <color indexed="8"/>
        <rFont val="Calibri"/>
        <family val="2"/>
        <charset val="162"/>
      </rPr>
      <t>max</t>
    </r>
    <r>
      <rPr>
        <sz val="11"/>
        <color theme="1"/>
        <rFont val="Calibri"/>
        <family val="2"/>
        <charset val="162"/>
        <scheme val="minor"/>
      </rPr>
      <t xml:space="preserve"> (t/m²)</t>
    </r>
  </si>
  <si>
    <r>
      <t>s</t>
    </r>
    <r>
      <rPr>
        <b/>
        <vertAlign val="subscript"/>
        <sz val="11"/>
        <color indexed="8"/>
        <rFont val="Calibri"/>
        <family val="2"/>
        <charset val="162"/>
      </rPr>
      <t>BB</t>
    </r>
    <r>
      <rPr>
        <sz val="11"/>
        <color theme="1"/>
        <rFont val="Calibri"/>
        <family val="2"/>
        <charset val="162"/>
        <scheme val="minor"/>
      </rPr>
      <t xml:space="preserve"> (t/m²)</t>
    </r>
  </si>
  <si>
    <r>
      <t>Moment Kolu</t>
    </r>
    <r>
      <rPr>
        <sz val="11"/>
        <color indexed="8"/>
        <rFont val="Arial"/>
        <family val="2"/>
        <charset val="162"/>
      </rPr>
      <t xml:space="preserve">                (m)</t>
    </r>
  </si>
  <si>
    <t>W=</t>
  </si>
  <si>
    <r>
      <t xml:space="preserve">B-B kesiti hesabı </t>
    </r>
    <r>
      <rPr>
        <sz val="10"/>
        <color indexed="8"/>
        <rFont val="Arial"/>
        <family val="2"/>
        <charset val="162"/>
      </rPr>
      <t>(kesit hesabinda, kesitte oluşan iç kuvvetler 4 durum için gerilme dağılımına göre elde edilebilecek en elverişsiz hesaba göre hesaplanmıştır)</t>
    </r>
  </si>
  <si>
    <r>
      <t xml:space="preserve">C-C kesiti hesabı </t>
    </r>
    <r>
      <rPr>
        <sz val="10"/>
        <color indexed="8"/>
        <rFont val="Arial"/>
        <family val="2"/>
        <charset val="162"/>
      </rPr>
      <t>(kesit hesabı; kesitte oluşabilecek iç kuvvetler, dolgu yükü ile gerilme dağılımlarının birbiriyle etkileşiminden elde edilen en elverişsiz kesit tesirine hesaplanmıştır)</t>
    </r>
  </si>
  <si>
    <r>
      <t>s</t>
    </r>
    <r>
      <rPr>
        <b/>
        <vertAlign val="subscript"/>
        <sz val="11"/>
        <color indexed="8"/>
        <rFont val="Calibri"/>
        <family val="2"/>
        <charset val="162"/>
      </rPr>
      <t>CC</t>
    </r>
    <r>
      <rPr>
        <sz val="11"/>
        <color theme="1"/>
        <rFont val="Calibri"/>
        <family val="2"/>
        <charset val="162"/>
        <scheme val="minor"/>
      </rPr>
      <t xml:space="preserve"> (t/m²)</t>
    </r>
  </si>
  <si>
    <r>
      <t>W</t>
    </r>
    <r>
      <rPr>
        <vertAlign val="subscript"/>
        <sz val="10"/>
        <color indexed="8"/>
        <rFont val="Arial"/>
        <family val="2"/>
        <charset val="162"/>
      </rPr>
      <t>D</t>
    </r>
    <r>
      <rPr>
        <sz val="10"/>
        <color indexed="8"/>
        <rFont val="Arial"/>
        <family val="2"/>
        <charset val="162"/>
      </rPr>
      <t xml:space="preserve"> =</t>
    </r>
  </si>
  <si>
    <t>1. durum</t>
  </si>
  <si>
    <t>2. durum</t>
  </si>
  <si>
    <t>3. durum</t>
  </si>
  <si>
    <t>4. durum</t>
  </si>
  <si>
    <r>
      <t>F</t>
    </r>
    <r>
      <rPr>
        <sz val="10"/>
        <color indexed="8"/>
        <rFont val="Symbol"/>
        <family val="1"/>
        <charset val="2"/>
      </rPr>
      <t>s</t>
    </r>
    <r>
      <rPr>
        <vertAlign val="subscript"/>
        <sz val="10"/>
        <color indexed="8"/>
        <rFont val="Arial"/>
        <family val="2"/>
        <charset val="162"/>
      </rPr>
      <t>em;3</t>
    </r>
    <r>
      <rPr>
        <sz val="10"/>
        <color indexed="8"/>
        <rFont val="Arial"/>
        <family val="2"/>
        <charset val="162"/>
      </rPr>
      <t xml:space="preserve"> + W + W</t>
    </r>
    <r>
      <rPr>
        <vertAlign val="subscript"/>
        <sz val="10"/>
        <color indexed="8"/>
        <rFont val="Arial"/>
        <family val="2"/>
        <charset val="162"/>
      </rPr>
      <t>D1</t>
    </r>
    <r>
      <rPr>
        <sz val="10"/>
        <color indexed="8"/>
        <rFont val="Arial"/>
        <family val="2"/>
        <charset val="162"/>
      </rPr>
      <t xml:space="preserve"> + W</t>
    </r>
    <r>
      <rPr>
        <vertAlign val="subscript"/>
        <sz val="10"/>
        <color indexed="8"/>
        <rFont val="Arial"/>
        <family val="2"/>
        <charset val="162"/>
      </rPr>
      <t>Dw1</t>
    </r>
  </si>
  <si>
    <r>
      <t>F</t>
    </r>
    <r>
      <rPr>
        <sz val="10"/>
        <color indexed="8"/>
        <rFont val="Symbol"/>
        <family val="1"/>
        <charset val="2"/>
      </rPr>
      <t>s</t>
    </r>
    <r>
      <rPr>
        <vertAlign val="subscript"/>
        <sz val="10"/>
        <color indexed="8"/>
        <rFont val="Arial"/>
        <family val="2"/>
        <charset val="162"/>
      </rPr>
      <t>em;4</t>
    </r>
    <r>
      <rPr>
        <sz val="10"/>
        <color indexed="8"/>
        <rFont val="Arial"/>
        <family val="2"/>
        <charset val="162"/>
      </rPr>
      <t xml:space="preserve"> + W + W</t>
    </r>
    <r>
      <rPr>
        <vertAlign val="subscript"/>
        <sz val="10"/>
        <color indexed="8"/>
        <rFont val="Arial"/>
        <family val="2"/>
        <charset val="162"/>
      </rPr>
      <t>D1</t>
    </r>
    <r>
      <rPr>
        <sz val="10"/>
        <color indexed="8"/>
        <rFont val="Arial"/>
        <family val="2"/>
        <charset val="162"/>
      </rPr>
      <t xml:space="preserve"> + W</t>
    </r>
    <r>
      <rPr>
        <vertAlign val="subscript"/>
        <sz val="10"/>
        <color indexed="8"/>
        <rFont val="Arial"/>
        <family val="2"/>
        <charset val="162"/>
      </rPr>
      <t>Dw1</t>
    </r>
  </si>
  <si>
    <r>
      <t>F</t>
    </r>
    <r>
      <rPr>
        <sz val="10"/>
        <color indexed="8"/>
        <rFont val="Symbol"/>
        <family val="1"/>
        <charset val="2"/>
      </rPr>
      <t>s</t>
    </r>
    <r>
      <rPr>
        <vertAlign val="subscript"/>
        <sz val="10"/>
        <color indexed="8"/>
        <rFont val="Arial"/>
        <family val="2"/>
        <charset val="162"/>
      </rPr>
      <t>em;2</t>
    </r>
    <r>
      <rPr>
        <sz val="10"/>
        <color indexed="8"/>
        <rFont val="Arial"/>
        <family val="2"/>
        <charset val="162"/>
      </rPr>
      <t xml:space="preserve"> + W + W</t>
    </r>
    <r>
      <rPr>
        <vertAlign val="subscript"/>
        <sz val="10"/>
        <color indexed="8"/>
        <rFont val="Arial"/>
        <family val="2"/>
        <charset val="162"/>
      </rPr>
      <t>D</t>
    </r>
    <r>
      <rPr>
        <sz val="10"/>
        <color indexed="8"/>
        <rFont val="Arial"/>
        <family val="2"/>
        <charset val="162"/>
      </rPr>
      <t xml:space="preserve"> + Q</t>
    </r>
  </si>
  <si>
    <r>
      <t>F</t>
    </r>
    <r>
      <rPr>
        <sz val="10"/>
        <color indexed="8"/>
        <rFont val="Symbol"/>
        <family val="1"/>
        <charset val="2"/>
      </rPr>
      <t>s</t>
    </r>
    <r>
      <rPr>
        <vertAlign val="subscript"/>
        <sz val="10"/>
        <color indexed="8"/>
        <rFont val="Arial"/>
        <family val="2"/>
        <charset val="162"/>
      </rPr>
      <t>em;1</t>
    </r>
    <r>
      <rPr>
        <sz val="10"/>
        <color indexed="8"/>
        <rFont val="Arial"/>
        <family val="2"/>
        <charset val="162"/>
      </rPr>
      <t xml:space="preserve"> + W + W</t>
    </r>
    <r>
      <rPr>
        <vertAlign val="subscript"/>
        <sz val="10"/>
        <color indexed="8"/>
        <rFont val="Arial"/>
        <family val="2"/>
        <charset val="162"/>
      </rPr>
      <t>D</t>
    </r>
    <r>
      <rPr>
        <sz val="10"/>
        <color indexed="8"/>
        <rFont val="Arial"/>
        <family val="2"/>
        <charset val="162"/>
      </rPr>
      <t xml:space="preserve"> + Q</t>
    </r>
  </si>
  <si>
    <r>
      <t xml:space="preserve">M  </t>
    </r>
    <r>
      <rPr>
        <sz val="11"/>
        <color indexed="8"/>
        <rFont val="Arial"/>
        <family val="2"/>
        <charset val="162"/>
      </rPr>
      <t xml:space="preserve">                (t.m/m)</t>
    </r>
  </si>
  <si>
    <r>
      <t>V</t>
    </r>
    <r>
      <rPr>
        <sz val="11"/>
        <color indexed="8"/>
        <rFont val="Arial"/>
        <family val="2"/>
        <charset val="162"/>
      </rPr>
      <t xml:space="preserve">                   (t/m)</t>
    </r>
  </si>
  <si>
    <t>Malzemeler</t>
  </si>
  <si>
    <t>Beton Sınıfı            (Mpa)</t>
  </si>
  <si>
    <t>Donatı Sınıfı    (Mpa)</t>
  </si>
  <si>
    <r>
      <t>f</t>
    </r>
    <r>
      <rPr>
        <vertAlign val="subscript"/>
        <sz val="10"/>
        <color indexed="8"/>
        <rFont val="Calibri"/>
        <family val="2"/>
        <charset val="162"/>
      </rPr>
      <t>yk</t>
    </r>
    <r>
      <rPr>
        <sz val="10"/>
        <color indexed="8"/>
        <rFont val="Calibri"/>
        <family val="2"/>
        <charset val="162"/>
      </rPr>
      <t xml:space="preserve">  (t/cm</t>
    </r>
    <r>
      <rPr>
        <vertAlign val="superscript"/>
        <sz val="10"/>
        <color indexed="8"/>
        <rFont val="Calibri"/>
        <family val="2"/>
        <charset val="162"/>
      </rPr>
      <t>2</t>
    </r>
    <r>
      <rPr>
        <sz val="10"/>
        <color indexed="8"/>
        <rFont val="Calibri"/>
        <family val="2"/>
        <charset val="162"/>
      </rPr>
      <t>)</t>
    </r>
  </si>
  <si>
    <r>
      <t>f</t>
    </r>
    <r>
      <rPr>
        <vertAlign val="subscript"/>
        <sz val="10"/>
        <color indexed="8"/>
        <rFont val="Calibri"/>
        <family val="2"/>
        <charset val="162"/>
      </rPr>
      <t>yd</t>
    </r>
    <r>
      <rPr>
        <sz val="10"/>
        <color indexed="8"/>
        <rFont val="Calibri"/>
        <family val="2"/>
        <charset val="162"/>
      </rPr>
      <t xml:space="preserve">  (t/cm</t>
    </r>
    <r>
      <rPr>
        <vertAlign val="superscript"/>
        <sz val="10"/>
        <color indexed="8"/>
        <rFont val="Calibri"/>
        <family val="2"/>
        <charset val="162"/>
      </rPr>
      <t>2</t>
    </r>
    <r>
      <rPr>
        <sz val="10"/>
        <color indexed="8"/>
        <rFont val="Calibri"/>
        <family val="2"/>
        <charset val="162"/>
      </rPr>
      <t>)</t>
    </r>
  </si>
  <si>
    <t>Kesme Hesabı Kontrolü</t>
  </si>
  <si>
    <r>
      <t>V</t>
    </r>
    <r>
      <rPr>
        <vertAlign val="subscript"/>
        <sz val="11"/>
        <color indexed="8"/>
        <rFont val="Calibri"/>
        <family val="2"/>
        <charset val="162"/>
      </rPr>
      <t>max</t>
    </r>
    <r>
      <rPr>
        <sz val="11"/>
        <color theme="1"/>
        <rFont val="Calibri"/>
        <family val="2"/>
        <charset val="162"/>
        <scheme val="minor"/>
      </rPr>
      <t xml:space="preserve"> =0.22 x f</t>
    </r>
    <r>
      <rPr>
        <vertAlign val="subscript"/>
        <sz val="11"/>
        <color indexed="8"/>
        <rFont val="Calibri"/>
        <family val="2"/>
        <charset val="162"/>
      </rPr>
      <t>cd</t>
    </r>
    <r>
      <rPr>
        <sz val="11"/>
        <color theme="1"/>
        <rFont val="Calibri"/>
        <family val="2"/>
        <charset val="162"/>
        <scheme val="minor"/>
      </rPr>
      <t xml:space="preserve"> x b</t>
    </r>
    <r>
      <rPr>
        <vertAlign val="subscript"/>
        <sz val="11"/>
        <color indexed="8"/>
        <rFont val="Calibri"/>
        <family val="2"/>
        <charset val="162"/>
      </rPr>
      <t>w</t>
    </r>
    <r>
      <rPr>
        <sz val="11"/>
        <color theme="1"/>
        <rFont val="Calibri"/>
        <family val="2"/>
        <charset val="162"/>
        <scheme val="minor"/>
      </rPr>
      <t xml:space="preserve"> x d =</t>
    </r>
  </si>
  <si>
    <r>
      <t>V</t>
    </r>
    <r>
      <rPr>
        <vertAlign val="subscript"/>
        <sz val="11"/>
        <color indexed="8"/>
        <rFont val="Calibri"/>
        <family val="2"/>
        <charset val="162"/>
      </rPr>
      <t>cr</t>
    </r>
    <r>
      <rPr>
        <sz val="11"/>
        <color indexed="8"/>
        <rFont val="Calibri"/>
        <family val="2"/>
        <charset val="162"/>
      </rPr>
      <t xml:space="preserve"> =0.65 x f</t>
    </r>
    <r>
      <rPr>
        <vertAlign val="subscript"/>
        <sz val="11"/>
        <color indexed="8"/>
        <rFont val="Calibri"/>
        <family val="2"/>
        <charset val="162"/>
      </rPr>
      <t>ctd</t>
    </r>
    <r>
      <rPr>
        <sz val="11"/>
        <color indexed="8"/>
        <rFont val="Calibri"/>
        <family val="2"/>
        <charset val="162"/>
      </rPr>
      <t xml:space="preserve"> x b</t>
    </r>
    <r>
      <rPr>
        <vertAlign val="subscript"/>
        <sz val="11"/>
        <color indexed="8"/>
        <rFont val="Calibri"/>
        <family val="2"/>
        <charset val="162"/>
      </rPr>
      <t>w</t>
    </r>
    <r>
      <rPr>
        <sz val="11"/>
        <color indexed="8"/>
        <rFont val="Calibri"/>
        <family val="2"/>
        <charset val="162"/>
      </rPr>
      <t xml:space="preserve"> x d =</t>
    </r>
  </si>
  <si>
    <t>bw (cm)</t>
  </si>
  <si>
    <t>d (cm)</t>
  </si>
  <si>
    <t>Eğilme Hesabı Kontrolü</t>
  </si>
  <si>
    <t>NOTLAR</t>
  </si>
  <si>
    <t>Programı kullanırken kullanıcı açısından dikkat edilmesi gereken yerler vardır</t>
  </si>
  <si>
    <t>1. hesaplarda mantık hatalarının oldugu örnekten alınmıştır. Gerekli düzeltmeler yapılmasına rağmen gözden kaçan hatalar olabilir.</t>
  </si>
  <si>
    <t>2. kesme hesabında Vcr değerinin %30'u Vmax değerinin %90 alınarak azaltma yapılmıştır.</t>
  </si>
  <si>
    <t>3. eğilme hesabı örnek hesaptan alınmamıştır.</t>
  </si>
  <si>
    <t>4. hesaplarda yalnızca mavi renkli yazılarla oynanabilir.</t>
  </si>
  <si>
    <r>
      <rPr>
        <sz val="10"/>
        <color indexed="8"/>
        <rFont val="Symbol"/>
        <family val="1"/>
        <charset val="2"/>
      </rPr>
      <t>f</t>
    </r>
    <r>
      <rPr>
        <sz val="10"/>
        <color indexed="8"/>
        <rFont val="Arial"/>
        <family val="2"/>
        <charset val="162"/>
      </rPr>
      <t xml:space="preserve"> M</t>
    </r>
    <r>
      <rPr>
        <vertAlign val="subscript"/>
        <sz val="10"/>
        <color indexed="8"/>
        <rFont val="Arial"/>
        <family val="2"/>
        <charset val="162"/>
      </rPr>
      <t>n</t>
    </r>
    <r>
      <rPr>
        <sz val="10"/>
        <color indexed="8"/>
        <rFont val="Arial"/>
        <family val="2"/>
        <charset val="162"/>
      </rPr>
      <t xml:space="preserve"> =</t>
    </r>
  </si>
  <si>
    <r>
      <t>Vmax</t>
    </r>
    <r>
      <rPr>
        <sz val="10"/>
        <color indexed="8"/>
        <rFont val="Arial"/>
        <family val="2"/>
        <charset val="162"/>
      </rPr>
      <t xml:space="preserve">                (t/m)</t>
    </r>
  </si>
  <si>
    <r>
      <t>Mmax</t>
    </r>
    <r>
      <rPr>
        <sz val="10"/>
        <color indexed="8"/>
        <rFont val="Arial"/>
        <family val="2"/>
        <charset val="162"/>
      </rPr>
      <t xml:space="preserve">                (t.m/m)</t>
    </r>
  </si>
  <si>
    <t>Kesme Hesabı Tahkikleri</t>
  </si>
  <si>
    <t>B-B Kesiti (ön)</t>
  </si>
  <si>
    <t>A-A Kesiti (Perde)</t>
  </si>
  <si>
    <t>Eğilme Donatısı Kontrolü</t>
  </si>
  <si>
    <t>C-C Kesiti (arka)</t>
  </si>
  <si>
    <r>
      <t xml:space="preserve">V  </t>
    </r>
    <r>
      <rPr>
        <sz val="11"/>
        <color indexed="8"/>
        <rFont val="Arial"/>
        <family val="2"/>
        <charset val="162"/>
      </rPr>
      <t xml:space="preserve">                     (t/m)</t>
    </r>
  </si>
  <si>
    <r>
      <t>f</t>
    </r>
    <r>
      <rPr>
        <vertAlign val="subscript"/>
        <sz val="10"/>
        <color indexed="8"/>
        <rFont val="Calibri"/>
        <family val="2"/>
        <charset val="162"/>
      </rPr>
      <t>ck</t>
    </r>
    <r>
      <rPr>
        <sz val="10"/>
        <color indexed="8"/>
        <rFont val="Calibri"/>
        <family val="2"/>
        <charset val="162"/>
      </rPr>
      <t>*     (t/cm</t>
    </r>
    <r>
      <rPr>
        <vertAlign val="superscript"/>
        <sz val="10"/>
        <color indexed="8"/>
        <rFont val="Calibri"/>
        <family val="2"/>
        <charset val="162"/>
      </rPr>
      <t>2</t>
    </r>
    <r>
      <rPr>
        <sz val="10"/>
        <color indexed="8"/>
        <rFont val="Calibri"/>
        <family val="2"/>
        <charset val="162"/>
      </rPr>
      <t>)</t>
    </r>
  </si>
  <si>
    <r>
      <t>f</t>
    </r>
    <r>
      <rPr>
        <vertAlign val="subscript"/>
        <sz val="10"/>
        <color indexed="8"/>
        <rFont val="Calibri"/>
        <family val="2"/>
        <charset val="162"/>
      </rPr>
      <t>cd</t>
    </r>
    <r>
      <rPr>
        <sz val="10"/>
        <color indexed="8"/>
        <rFont val="Calibri"/>
        <family val="2"/>
        <charset val="162"/>
      </rPr>
      <t>*    (t/cm</t>
    </r>
    <r>
      <rPr>
        <vertAlign val="superscript"/>
        <sz val="10"/>
        <color indexed="8"/>
        <rFont val="Calibri"/>
        <family val="2"/>
        <charset val="162"/>
      </rPr>
      <t>2</t>
    </r>
    <r>
      <rPr>
        <sz val="10"/>
        <color indexed="8"/>
        <rFont val="Calibri"/>
        <family val="2"/>
        <charset val="162"/>
      </rPr>
      <t>)</t>
    </r>
  </si>
  <si>
    <r>
      <t>f</t>
    </r>
    <r>
      <rPr>
        <vertAlign val="subscript"/>
        <sz val="10"/>
        <color indexed="8"/>
        <rFont val="Calibri"/>
        <family val="2"/>
        <charset val="162"/>
      </rPr>
      <t>ctk</t>
    </r>
    <r>
      <rPr>
        <sz val="10"/>
        <color indexed="8"/>
        <rFont val="Calibri"/>
        <family val="2"/>
        <charset val="162"/>
      </rPr>
      <t>*    (t/cm</t>
    </r>
    <r>
      <rPr>
        <vertAlign val="superscript"/>
        <sz val="10"/>
        <color indexed="8"/>
        <rFont val="Calibri"/>
        <family val="2"/>
        <charset val="162"/>
      </rPr>
      <t>2</t>
    </r>
    <r>
      <rPr>
        <sz val="10"/>
        <color indexed="8"/>
        <rFont val="Calibri"/>
        <family val="2"/>
        <charset val="162"/>
      </rPr>
      <t>)</t>
    </r>
  </si>
  <si>
    <r>
      <t>f</t>
    </r>
    <r>
      <rPr>
        <vertAlign val="subscript"/>
        <sz val="10"/>
        <color indexed="8"/>
        <rFont val="Calibri"/>
        <family val="2"/>
        <charset val="162"/>
      </rPr>
      <t>ctd</t>
    </r>
    <r>
      <rPr>
        <sz val="10"/>
        <color indexed="8"/>
        <rFont val="Calibri"/>
        <family val="2"/>
        <charset val="162"/>
      </rPr>
      <t>*   (t/cm</t>
    </r>
    <r>
      <rPr>
        <vertAlign val="superscript"/>
        <sz val="10"/>
        <color indexed="8"/>
        <rFont val="Calibri"/>
        <family val="2"/>
        <charset val="162"/>
      </rPr>
      <t>2</t>
    </r>
    <r>
      <rPr>
        <sz val="10"/>
        <color indexed="8"/>
        <rFont val="Calibri"/>
        <family val="2"/>
        <charset val="162"/>
      </rPr>
      <t>)</t>
    </r>
  </si>
  <si>
    <t>*  BERKTAY, İlhan, 1995,  Betonarme I, TBMMOB İnşaat Mühendisleri Odası Yayını, İstanbul</t>
  </si>
  <si>
    <t>2. durum makimumsa elle giriş yapınız</t>
  </si>
  <si>
    <t>+</t>
  </si>
  <si>
    <t>Ek</t>
  </si>
  <si>
    <r>
      <t>h</t>
    </r>
    <r>
      <rPr>
        <vertAlign val="subscript"/>
        <sz val="10"/>
        <color indexed="8"/>
        <rFont val="Arial"/>
        <family val="2"/>
        <charset val="162"/>
      </rPr>
      <t>su;i</t>
    </r>
    <r>
      <rPr>
        <sz val="10"/>
        <color indexed="8"/>
        <rFont val="Arial"/>
        <family val="2"/>
        <charset val="162"/>
      </rPr>
      <t xml:space="preserve"> =</t>
    </r>
  </si>
  <si>
    <t>İşletme Hali su seviyesi(Temel altından)</t>
  </si>
  <si>
    <t>1. Durum - 1.4 G + 1.6 Q + 1.6 E</t>
  </si>
  <si>
    <t xml:space="preserve">Yapıya Ait Yükler(ton)  </t>
  </si>
  <si>
    <t>Toplam</t>
  </si>
  <si>
    <t>2. Durum - 1.0 G + 1.0 Eq</t>
  </si>
  <si>
    <t xml:space="preserve"> İNŞAAT SONU NORMAL DURUM STABİLİTE ANALİZİ (1.Durum)"</t>
  </si>
  <si>
    <t xml:space="preserve"> İNŞAAT SONU DEPREMLİ DURUM STABİLİTE ANALİZİ (2.Durum)"</t>
  </si>
  <si>
    <t xml:space="preserve">Md = </t>
  </si>
  <si>
    <t xml:space="preserve"> KESİT HESAPLARI</t>
  </si>
  <si>
    <t>paspayı=</t>
  </si>
  <si>
    <r>
      <t>m/s</t>
    </r>
    <r>
      <rPr>
        <vertAlign val="superscript"/>
        <sz val="10"/>
        <color indexed="8"/>
        <rFont val="Arial"/>
        <family val="2"/>
        <charset val="162"/>
      </rPr>
      <t>2</t>
    </r>
  </si>
  <si>
    <t>Etkin yer ivmesi katsayısı (k)</t>
  </si>
  <si>
    <t>Hidrolik hesaplardan</t>
  </si>
  <si>
    <t>Eşik Yüksekliği</t>
  </si>
  <si>
    <t>P=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</si>
  <si>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</si>
  <si>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0.75 Sağlam kaya alırsak kurtarabilir</t>
  </si>
  <si>
    <r>
      <t>P</t>
    </r>
    <r>
      <rPr>
        <vertAlign val="subscript"/>
        <sz val="10"/>
        <color indexed="8"/>
        <rFont val="Arial"/>
        <family val="2"/>
        <charset val="162"/>
      </rPr>
      <t>A3</t>
    </r>
    <r>
      <rPr>
        <sz val="10"/>
        <color indexed="8"/>
        <rFont val="Arial"/>
        <family val="2"/>
        <charset val="162"/>
      </rPr>
      <t xml:space="preserve"> =</t>
    </r>
  </si>
  <si>
    <r>
      <t>m</t>
    </r>
    <r>
      <rPr>
        <b/>
        <sz val="10"/>
        <rFont val="Arial"/>
        <family val="2"/>
        <charset val="162"/>
      </rPr>
      <t xml:space="preserve"> =</t>
    </r>
  </si>
  <si>
    <t>YÜKLEMELER</t>
  </si>
  <si>
    <t>1.  Durum</t>
  </si>
  <si>
    <t>2.  Durum</t>
  </si>
  <si>
    <t>3.  Durum</t>
  </si>
  <si>
    <t>4.  Durum</t>
  </si>
  <si>
    <r>
      <t>σ</t>
    </r>
    <r>
      <rPr>
        <b/>
        <vertAlign val="subscript"/>
        <sz val="11"/>
        <color theme="1"/>
        <rFont val="Arial Tur"/>
        <charset val="162"/>
      </rPr>
      <t>min</t>
    </r>
    <r>
      <rPr>
        <b/>
        <sz val="11"/>
        <color theme="1"/>
        <rFont val="Arial Tur"/>
        <charset val="162"/>
      </rPr>
      <t xml:space="preserve"> </t>
    </r>
    <r>
      <rPr>
        <b/>
        <sz val="11"/>
        <color theme="1"/>
        <rFont val="Arial"/>
        <family val="2"/>
        <charset val="162"/>
      </rPr>
      <t>≥</t>
    </r>
    <r>
      <rPr>
        <b/>
        <sz val="11"/>
        <color theme="1"/>
        <rFont val="Arial Tur"/>
        <charset val="162"/>
      </rPr>
      <t xml:space="preserve"> 0</t>
    </r>
  </si>
  <si>
    <r>
      <t>∑M</t>
    </r>
    <r>
      <rPr>
        <b/>
        <vertAlign val="subscript"/>
        <sz val="11"/>
        <color theme="1"/>
        <rFont val="Arial Tur"/>
        <charset val="162"/>
      </rPr>
      <t xml:space="preserve">k </t>
    </r>
    <r>
      <rPr>
        <b/>
        <sz val="11"/>
        <color theme="1"/>
        <rFont val="Arial Tur"/>
        <charset val="162"/>
      </rPr>
      <t>/ ∑M</t>
    </r>
    <r>
      <rPr>
        <b/>
        <vertAlign val="subscript"/>
        <sz val="11"/>
        <color theme="1"/>
        <rFont val="Arial Tur"/>
        <charset val="162"/>
      </rPr>
      <t>d</t>
    </r>
  </si>
  <si>
    <r>
      <t xml:space="preserve">∑V </t>
    </r>
    <r>
      <rPr>
        <b/>
        <sz val="11"/>
        <color theme="1"/>
        <rFont val="Arial"/>
        <family val="2"/>
        <charset val="162"/>
      </rPr>
      <t>µ</t>
    </r>
    <r>
      <rPr>
        <b/>
        <sz val="11"/>
        <color theme="1"/>
        <rFont val="Arial Tur"/>
        <charset val="162"/>
      </rPr>
      <t xml:space="preserve"> / ∑H</t>
    </r>
  </si>
  <si>
    <r>
      <t xml:space="preserve">A-A kesiti hesabı </t>
    </r>
    <r>
      <rPr>
        <sz val="10"/>
        <color indexed="8"/>
        <rFont val="Arial"/>
        <family val="2"/>
        <charset val="162"/>
      </rPr>
      <t>(perde kesit hesabinda en elverissiz yukleme 4. durum yuklemesidir)</t>
    </r>
  </si>
  <si>
    <t xml:space="preserve">       </t>
  </si>
  <si>
    <t>3. Durum - 1.4 G + 1.6 Q + 1.6 E</t>
  </si>
  <si>
    <t>4. Durum - 1.4 G + 1.6 Q + 1.6 E</t>
  </si>
  <si>
    <t>KESİT KONTROLÜ</t>
  </si>
  <si>
    <r>
      <t>m</t>
    </r>
    <r>
      <rPr>
        <vertAlign val="superscript"/>
        <sz val="10"/>
        <color indexed="8"/>
        <rFont val="Arial"/>
        <family val="2"/>
        <charset val="162"/>
      </rPr>
      <t>3</t>
    </r>
  </si>
  <si>
    <r>
      <t>m</t>
    </r>
    <r>
      <rPr>
        <vertAlign val="superscript"/>
        <sz val="10"/>
        <color indexed="8"/>
        <rFont val="Arial"/>
        <family val="2"/>
        <charset val="162"/>
      </rPr>
      <t>2</t>
    </r>
  </si>
  <si>
    <t>=</t>
  </si>
  <si>
    <t>-</t>
  </si>
  <si>
    <r>
      <t>t/m</t>
    </r>
    <r>
      <rPr>
        <b/>
        <vertAlign val="superscript"/>
        <sz val="10"/>
        <rFont val="Arial"/>
        <family val="2"/>
        <charset val="162"/>
      </rPr>
      <t>2</t>
    </r>
  </si>
  <si>
    <r>
      <t>t/m</t>
    </r>
    <r>
      <rPr>
        <b/>
        <vertAlign val="superscript"/>
        <sz val="11"/>
        <color indexed="8"/>
        <rFont val="Arial"/>
        <family val="2"/>
        <charset val="162"/>
      </rPr>
      <t>2</t>
    </r>
  </si>
  <si>
    <r>
      <t>W</t>
    </r>
    <r>
      <rPr>
        <vertAlign val="subscript"/>
        <sz val="10"/>
        <color indexed="8"/>
        <rFont val="Arial"/>
        <family val="2"/>
        <charset val="162"/>
      </rPr>
      <t>D1D</t>
    </r>
    <r>
      <rPr>
        <sz val="10"/>
        <color indexed="8"/>
        <rFont val="Arial"/>
        <family val="2"/>
        <charset val="162"/>
      </rPr>
      <t xml:space="preserve"> =</t>
    </r>
  </si>
  <si>
    <r>
      <t>W</t>
    </r>
    <r>
      <rPr>
        <vertAlign val="subscript"/>
        <sz val="10"/>
        <color indexed="8"/>
        <rFont val="Arial"/>
        <family val="2"/>
        <charset val="162"/>
      </rPr>
      <t>D2D</t>
    </r>
    <r>
      <rPr>
        <sz val="10"/>
        <color indexed="8"/>
        <rFont val="Arial"/>
        <family val="2"/>
        <charset val="162"/>
      </rPr>
      <t xml:space="preserve"> =</t>
    </r>
  </si>
  <si>
    <r>
      <t>P</t>
    </r>
    <r>
      <rPr>
        <vertAlign val="subscript"/>
        <sz val="10"/>
        <color indexed="8"/>
        <rFont val="Arial"/>
        <family val="2"/>
        <charset val="162"/>
      </rPr>
      <t>P1</t>
    </r>
    <r>
      <rPr>
        <sz val="10"/>
        <color indexed="8"/>
        <rFont val="Arial"/>
        <family val="2"/>
        <charset val="162"/>
      </rPr>
      <t xml:space="preserve"> =</t>
    </r>
  </si>
  <si>
    <r>
      <t>P</t>
    </r>
    <r>
      <rPr>
        <vertAlign val="subscript"/>
        <sz val="10"/>
        <color indexed="8"/>
        <rFont val="Arial"/>
        <family val="2"/>
        <charset val="162"/>
      </rPr>
      <t>P2</t>
    </r>
    <r>
      <rPr>
        <sz val="10"/>
        <color indexed="8"/>
        <rFont val="Arial"/>
        <family val="2"/>
        <charset val="162"/>
      </rPr>
      <t>=</t>
    </r>
  </si>
  <si>
    <t>kayma dişi mesafesi</t>
  </si>
  <si>
    <r>
      <t>b</t>
    </r>
    <r>
      <rPr>
        <vertAlign val="subscript"/>
        <sz val="10"/>
        <color indexed="8"/>
        <rFont val="Arial"/>
        <family val="2"/>
        <charset val="162"/>
      </rPr>
      <t>dx</t>
    </r>
    <r>
      <rPr>
        <sz val="10"/>
        <color indexed="8"/>
        <rFont val="Arial"/>
        <family val="2"/>
        <charset val="162"/>
      </rPr>
      <t>=</t>
    </r>
  </si>
  <si>
    <t>Kayma dişi yüksekliği</t>
  </si>
  <si>
    <r>
      <t>b</t>
    </r>
    <r>
      <rPr>
        <vertAlign val="subscript"/>
        <sz val="10"/>
        <color indexed="8"/>
        <rFont val="Arial"/>
        <family val="2"/>
        <charset val="162"/>
      </rPr>
      <t>dh</t>
    </r>
    <r>
      <rPr>
        <sz val="10"/>
        <color indexed="8"/>
        <rFont val="Arial"/>
        <family val="2"/>
        <charset val="162"/>
      </rPr>
      <t>=</t>
    </r>
  </si>
  <si>
    <t>Kayma dişi genişliği</t>
  </si>
  <si>
    <r>
      <t>b</t>
    </r>
    <r>
      <rPr>
        <vertAlign val="subscript"/>
        <sz val="10"/>
        <color indexed="8"/>
        <rFont val="Arial"/>
        <family val="2"/>
        <charset val="162"/>
      </rPr>
      <t>dw</t>
    </r>
    <r>
      <rPr>
        <sz val="10"/>
        <color indexed="8"/>
        <rFont val="Arial"/>
        <family val="2"/>
        <charset val="162"/>
      </rPr>
      <t>=</t>
    </r>
  </si>
  <si>
    <r>
      <t>K</t>
    </r>
    <r>
      <rPr>
        <vertAlign val="subscript"/>
        <sz val="11"/>
        <color indexed="8"/>
        <rFont val="Arial"/>
        <family val="2"/>
        <charset val="162"/>
      </rPr>
      <t>ps</t>
    </r>
    <r>
      <rPr>
        <sz val="11"/>
        <color indexed="8"/>
        <rFont val="Arial"/>
        <family val="2"/>
        <charset val="162"/>
      </rPr>
      <t>=</t>
    </r>
  </si>
  <si>
    <t>ENERJİ   KIRICI  HAVUZ  RADYESİ  STABİLİTESİ</t>
  </si>
  <si>
    <t>Fey.SS</t>
  </si>
  <si>
    <t>hw_max=</t>
  </si>
  <si>
    <t>V=</t>
  </si>
  <si>
    <t>m/s</t>
  </si>
  <si>
    <t>%50 Fey.SS</t>
  </si>
  <si>
    <t>hw_nor=</t>
  </si>
  <si>
    <t>A</t>
  </si>
  <si>
    <t>B</t>
  </si>
  <si>
    <t>L/3</t>
  </si>
  <si>
    <t>L x 2/3</t>
  </si>
  <si>
    <t>u=</t>
  </si>
  <si>
    <t>%50 Kaldırma Kuvveti</t>
  </si>
  <si>
    <t>ALTTAN KALDIRMA EMNİYETİ</t>
  </si>
  <si>
    <t>Feyezanın uzun süreli olmadığı göz önünde bulundurularak altta oluşan kaldırma kuvvetinin %50'si hesaba katılacaktır.</t>
  </si>
  <si>
    <t>Hidrodinamik etki olarak, su giriş hızının %40'ının 1/3'ü, basınç dalgalanmasının etkisi olarak alınmıştır.</t>
  </si>
  <si>
    <t>( A ) NOKTASINDA</t>
  </si>
  <si>
    <t>Yüzme em. =</t>
  </si>
  <si>
    <r>
      <t>Σ↓N / Σ</t>
    </r>
    <r>
      <rPr>
        <sz val="10"/>
        <rFont val="Arial"/>
        <family val="2"/>
        <charset val="162"/>
      </rPr>
      <t>↑</t>
    </r>
    <r>
      <rPr>
        <sz val="11"/>
        <color theme="1"/>
        <rFont val="Calibri"/>
        <family val="2"/>
        <charset val="162"/>
        <scheme val="minor"/>
      </rPr>
      <t>U  &gt; 1.2</t>
    </r>
  </si>
  <si>
    <t>Σ↓N=</t>
  </si>
  <si>
    <t>↓G (Radye) + ↓W (Su)</t>
  </si>
  <si>
    <t>Σ↑U=</t>
  </si>
  <si>
    <t>↑U (Kaldırma) + ↑H (Hidrodinamik İtki)</t>
  </si>
  <si>
    <t>t/m2</t>
  </si>
  <si>
    <r>
      <t>Σ↓N/Σ</t>
    </r>
    <r>
      <rPr>
        <b/>
        <sz val="10"/>
        <rFont val="Arial"/>
        <family val="2"/>
        <charset val="162"/>
      </rPr>
      <t>↑</t>
    </r>
    <r>
      <rPr>
        <b/>
        <sz val="10"/>
        <rFont val="Arial Tur"/>
        <charset val="162"/>
      </rPr>
      <t>U=</t>
    </r>
  </si>
  <si>
    <t>Ankraj kullanılırsa;</t>
  </si>
  <si>
    <t>→   Fe=</t>
  </si>
  <si>
    <t>cm²</t>
  </si>
  <si>
    <t>(S420) σeç=</t>
  </si>
  <si>
    <t>t/cm²</t>
  </si>
  <si>
    <t>m² için;</t>
  </si>
  <si>
    <r>
      <t>F</t>
    </r>
    <r>
      <rPr>
        <vertAlign val="subscript"/>
        <sz val="10"/>
        <rFont val="Arial Tur"/>
        <charset val="162"/>
      </rPr>
      <t>ank</t>
    </r>
    <r>
      <rPr>
        <sz val="11"/>
        <color theme="1"/>
        <rFont val="Calibri"/>
        <family val="2"/>
        <charset val="162"/>
        <scheme val="minor"/>
      </rPr>
      <t xml:space="preserve">=As×σeç= </t>
    </r>
  </si>
  <si>
    <t>t (1 adet ankraj için)</t>
  </si>
  <si>
    <t>ANKRAJ BOYU HESABI</t>
  </si>
  <si>
    <t>Beton şerbeti</t>
  </si>
  <si>
    <t>a)</t>
  </si>
  <si>
    <t>Ankraj ile beton arasındaki aderansa göre:</t>
  </si>
  <si>
    <t>Ankraj Kuv. =</t>
  </si>
  <si>
    <t>Ankraj çevresi × Kayma Gerilmesi</t>
  </si>
  <si>
    <t>Kaya</t>
  </si>
  <si>
    <r>
      <t xml:space="preserve">As × σeç= l × π × D × </t>
    </r>
    <r>
      <rPr>
        <sz val="10"/>
        <rFont val="Symbol"/>
        <family val="1"/>
        <charset val="2"/>
      </rPr>
      <t>t</t>
    </r>
    <r>
      <rPr>
        <sz val="11"/>
        <color theme="1"/>
        <rFont val="Calibri"/>
        <family val="2"/>
        <charset val="162"/>
        <scheme val="minor"/>
      </rPr>
      <t>b →</t>
    </r>
  </si>
  <si>
    <r>
      <t xml:space="preserve">l =As × σeç / ( π × D × </t>
    </r>
    <r>
      <rPr>
        <sz val="10"/>
        <rFont val="Symbol"/>
        <family val="1"/>
        <charset val="2"/>
      </rPr>
      <t>t</t>
    </r>
    <r>
      <rPr>
        <sz val="11"/>
        <color theme="1"/>
        <rFont val="Calibri"/>
        <family val="2"/>
        <charset val="162"/>
        <scheme val="minor"/>
      </rPr>
      <t>b )</t>
    </r>
  </si>
  <si>
    <t>As × σeç =</t>
  </si>
  <si>
    <t>kg</t>
  </si>
  <si>
    <t>D=</t>
  </si>
  <si>
    <t>cm</t>
  </si>
  <si>
    <r>
      <t xml:space="preserve">(C20) </t>
    </r>
    <r>
      <rPr>
        <sz val="10"/>
        <rFont val="Symbol"/>
        <family val="1"/>
        <charset val="2"/>
      </rPr>
      <t>t</t>
    </r>
    <r>
      <rPr>
        <sz val="11"/>
        <color theme="1"/>
        <rFont val="Calibri"/>
        <family val="2"/>
        <charset val="162"/>
        <scheme val="minor"/>
      </rPr>
      <t>b =</t>
    </r>
  </si>
  <si>
    <t>kg/cm²</t>
  </si>
  <si>
    <t>Ankraj boyu:      l =</t>
  </si>
  <si>
    <r>
      <t>l</t>
    </r>
    <r>
      <rPr>
        <vertAlign val="subscript"/>
        <sz val="10"/>
        <rFont val="Arial Tur"/>
        <charset val="162"/>
      </rPr>
      <t>min</t>
    </r>
    <r>
      <rPr>
        <sz val="11"/>
        <color theme="1"/>
        <rFont val="Calibri"/>
        <family val="2"/>
        <charset val="162"/>
        <scheme val="minor"/>
      </rPr>
      <t xml:space="preserve"> (40</t>
    </r>
    <r>
      <rPr>
        <sz val="10"/>
        <rFont val="Calibri"/>
        <family val="2"/>
        <charset val="162"/>
      </rPr>
      <t>ø</t>
    </r>
    <r>
      <rPr>
        <sz val="11"/>
        <color theme="1"/>
        <rFont val="Calibri"/>
        <family val="2"/>
        <charset val="162"/>
        <scheme val="minor"/>
      </rPr>
      <t>) =</t>
    </r>
  </si>
  <si>
    <t>cm seçilmiştir.</t>
  </si>
  <si>
    <t>b1)</t>
  </si>
  <si>
    <t>Ankraj ile enjeksiyon arasındaki aderansa göre:</t>
  </si>
  <si>
    <r>
      <rPr>
        <sz val="10"/>
        <rFont val="Calibri"/>
        <family val="2"/>
        <charset val="162"/>
      </rPr>
      <t>ø</t>
    </r>
    <r>
      <rPr>
        <sz val="11"/>
        <color theme="1"/>
        <rFont val="Calibri"/>
        <family val="2"/>
        <charset val="162"/>
        <scheme val="minor"/>
      </rPr>
      <t xml:space="preserve"> </t>
    </r>
    <r>
      <rPr>
        <sz val="10"/>
        <rFont val="Calibri"/>
        <family val="2"/>
        <charset val="162"/>
      </rPr>
      <t>&lt;</t>
    </r>
    <r>
      <rPr>
        <sz val="11"/>
        <color theme="1"/>
        <rFont val="Calibri"/>
        <family val="2"/>
        <charset val="162"/>
        <scheme val="minor"/>
      </rPr>
      <t xml:space="preserve">  35mm</t>
    </r>
  </si>
  <si>
    <t>için  →</t>
  </si>
  <si>
    <t xml:space="preserve">As = </t>
  </si>
  <si>
    <r>
      <t>l</t>
    </r>
    <r>
      <rPr>
        <vertAlign val="subscript"/>
        <sz val="10"/>
        <rFont val="Arial Tur"/>
        <charset val="162"/>
      </rPr>
      <t>d</t>
    </r>
    <r>
      <rPr>
        <sz val="11"/>
        <color theme="1"/>
        <rFont val="Calibri"/>
        <family val="2"/>
        <charset val="162"/>
        <scheme val="minor"/>
      </rPr>
      <t xml:space="preserve"> =</t>
    </r>
  </si>
  <si>
    <r>
      <t>0.019×As×f</t>
    </r>
    <r>
      <rPr>
        <vertAlign val="subscript"/>
        <sz val="10"/>
        <rFont val="Arial Tur"/>
        <charset val="162"/>
      </rPr>
      <t>yk</t>
    </r>
    <r>
      <rPr>
        <sz val="11"/>
        <color theme="1"/>
        <rFont val="Calibri"/>
        <family val="2"/>
        <charset val="162"/>
        <scheme val="minor"/>
      </rPr>
      <t>×</t>
    </r>
    <r>
      <rPr>
        <sz val="10"/>
        <rFont val="Symbol"/>
        <family val="1"/>
        <charset val="2"/>
      </rPr>
      <t>t</t>
    </r>
    <r>
      <rPr>
        <sz val="11"/>
        <color theme="1"/>
        <rFont val="Calibri"/>
        <family val="2"/>
        <charset val="162"/>
        <scheme val="minor"/>
      </rPr>
      <t>k  / (f</t>
    </r>
    <r>
      <rPr>
        <vertAlign val="subscript"/>
        <sz val="10"/>
        <rFont val="Arial Tur"/>
        <charset val="162"/>
      </rPr>
      <t>ck</t>
    </r>
    <r>
      <rPr>
        <sz val="11"/>
        <color theme="1"/>
        <rFont val="Calibri"/>
        <family val="2"/>
        <charset val="162"/>
        <scheme val="minor"/>
      </rPr>
      <t>)^0.5</t>
    </r>
  </si>
  <si>
    <r>
      <rPr>
        <sz val="10"/>
        <rFont val="Symbol"/>
        <family val="1"/>
        <charset val="2"/>
      </rPr>
      <t>t</t>
    </r>
    <r>
      <rPr>
        <sz val="11"/>
        <color theme="1"/>
        <rFont val="Calibri"/>
        <family val="2"/>
        <charset val="162"/>
        <scheme val="minor"/>
      </rPr>
      <t>k =</t>
    </r>
  </si>
  <si>
    <t>enjeksiyonun iyi yapılmadığı kabul edilmiştir)</t>
  </si>
  <si>
    <t>mm  →</t>
  </si>
  <si>
    <t>b2)</t>
  </si>
  <si>
    <t>Enjeksiyon ile kaya arasındaki aderansa göre:</t>
  </si>
  <si>
    <r>
      <t xml:space="preserve">As × σeç= l × π × De × </t>
    </r>
    <r>
      <rPr>
        <sz val="10"/>
        <rFont val="Symbol"/>
        <family val="1"/>
        <charset val="2"/>
      </rPr>
      <t>t</t>
    </r>
    <r>
      <rPr>
        <sz val="11"/>
        <color theme="1"/>
        <rFont val="Calibri"/>
        <family val="2"/>
        <charset val="162"/>
        <scheme val="minor"/>
      </rPr>
      <t>k →</t>
    </r>
  </si>
  <si>
    <r>
      <t xml:space="preserve">l =As × σeç / ( π × De × </t>
    </r>
    <r>
      <rPr>
        <sz val="10"/>
        <rFont val="Symbol"/>
        <family val="1"/>
        <charset val="2"/>
      </rPr>
      <t>t</t>
    </r>
    <r>
      <rPr>
        <sz val="11"/>
        <color theme="1"/>
        <rFont val="Calibri"/>
        <family val="2"/>
        <charset val="162"/>
        <scheme val="minor"/>
      </rPr>
      <t>k )</t>
    </r>
  </si>
  <si>
    <t>De=</t>
  </si>
  <si>
    <t>(Emniyetli tarafta kalmak için</t>
  </si>
  <si>
    <r>
      <t>Ankraj boyu:    l</t>
    </r>
    <r>
      <rPr>
        <vertAlign val="subscript"/>
        <sz val="10"/>
        <rFont val="Arial Tur"/>
        <charset val="162"/>
      </rPr>
      <t>a</t>
    </r>
    <r>
      <rPr>
        <sz val="11"/>
        <color theme="1"/>
        <rFont val="Calibri"/>
        <family val="2"/>
        <charset val="162"/>
        <scheme val="minor"/>
      </rPr>
      <t xml:space="preserve"> =</t>
    </r>
  </si>
  <si>
    <t>b3)</t>
  </si>
  <si>
    <t>Kaya kalkması için tahkik:</t>
  </si>
  <si>
    <t>As × σeç=</t>
  </si>
  <si>
    <t>ton</t>
  </si>
  <si>
    <t>Fm↑</t>
  </si>
  <si>
    <t>Gkaya =</t>
  </si>
  <si>
    <r>
      <t xml:space="preserve">G↓   </t>
    </r>
    <r>
      <rPr>
        <sz val="11"/>
        <color theme="1"/>
        <rFont val="Calibri"/>
        <family val="2"/>
        <charset val="162"/>
        <scheme val="minor"/>
      </rPr>
      <t xml:space="preserve"> l</t>
    </r>
    <r>
      <rPr>
        <vertAlign val="subscript"/>
        <sz val="10"/>
        <rFont val="Arial Tur"/>
        <charset val="162"/>
      </rPr>
      <t>k</t>
    </r>
  </si>
  <si>
    <r>
      <t>l</t>
    </r>
    <r>
      <rPr>
        <vertAlign val="subscript"/>
        <sz val="10"/>
        <rFont val="Arial Tur"/>
        <charset val="162"/>
      </rPr>
      <t>k</t>
    </r>
    <r>
      <rPr>
        <sz val="11"/>
        <color theme="1"/>
        <rFont val="Calibri"/>
        <family val="2"/>
        <charset val="162"/>
        <scheme val="minor"/>
      </rPr>
      <t xml:space="preserve"> =</t>
    </r>
  </si>
  <si>
    <t>b4)</t>
  </si>
  <si>
    <r>
      <t>Ankraj boyu:    l</t>
    </r>
    <r>
      <rPr>
        <vertAlign val="subscript"/>
        <sz val="10"/>
        <rFont val="Arial Tur"/>
        <charset val="162"/>
      </rPr>
      <t>min</t>
    </r>
    <r>
      <rPr>
        <sz val="11"/>
        <color theme="1"/>
        <rFont val="Calibri"/>
        <family val="2"/>
        <charset val="162"/>
        <scheme val="minor"/>
      </rPr>
      <t xml:space="preserve"> =</t>
    </r>
  </si>
  <si>
    <t>cm           →      l =</t>
  </si>
  <si>
    <t>cm     ≈</t>
  </si>
  <si>
    <t>ANKRAJ</t>
  </si>
  <si>
    <t>L=</t>
  </si>
  <si>
    <t>(RADYE)</t>
  </si>
  <si>
    <t>ANKRAJ ZIMBALAMA TAHKİKİ</t>
  </si>
  <si>
    <t>Ankrajlar için kaplamalarda oluşabilecek zımbalama etkisi kontrol edilecektir.</t>
  </si>
  <si>
    <t>Zımbalama tahkiki, uygulandığı kaplama kalınlığında, ankrajın alabileceği maksimum yük için yapılacaktır.</t>
  </si>
  <si>
    <t>ankraj için;</t>
  </si>
  <si>
    <r>
      <t>V</t>
    </r>
    <r>
      <rPr>
        <vertAlign val="subscript"/>
        <sz val="10"/>
        <rFont val="Arial Tur"/>
        <charset val="162"/>
      </rPr>
      <t>pd</t>
    </r>
    <r>
      <rPr>
        <sz val="11"/>
        <color theme="1"/>
        <rFont val="Calibri"/>
        <family val="2"/>
        <charset val="162"/>
        <scheme val="minor"/>
      </rPr>
      <t xml:space="preserve"> = F</t>
    </r>
    <r>
      <rPr>
        <vertAlign val="subscript"/>
        <sz val="10"/>
        <rFont val="Arial Tur"/>
        <charset val="162"/>
      </rPr>
      <t>ank</t>
    </r>
    <r>
      <rPr>
        <sz val="11"/>
        <color theme="1"/>
        <rFont val="Calibri"/>
        <family val="2"/>
        <charset val="162"/>
        <scheme val="minor"/>
      </rPr>
      <t>=A</t>
    </r>
    <r>
      <rPr>
        <vertAlign val="subscript"/>
        <sz val="10"/>
        <rFont val="Arial Tur"/>
        <charset val="162"/>
      </rPr>
      <t>s</t>
    </r>
    <r>
      <rPr>
        <sz val="11"/>
        <color theme="1"/>
        <rFont val="Calibri"/>
        <family val="2"/>
        <charset val="162"/>
        <scheme val="minor"/>
      </rPr>
      <t>×σ</t>
    </r>
    <r>
      <rPr>
        <vertAlign val="subscript"/>
        <sz val="10"/>
        <rFont val="Arial Tur"/>
        <charset val="162"/>
      </rPr>
      <t>eç</t>
    </r>
    <r>
      <rPr>
        <sz val="11"/>
        <color theme="1"/>
        <rFont val="Calibri"/>
        <family val="2"/>
        <charset val="162"/>
        <scheme val="minor"/>
      </rPr>
      <t xml:space="preserve">= </t>
    </r>
  </si>
  <si>
    <r>
      <t>V</t>
    </r>
    <r>
      <rPr>
        <b/>
        <vertAlign val="subscript"/>
        <sz val="10"/>
        <rFont val="Arial Tur"/>
        <charset val="162"/>
      </rPr>
      <t>pr</t>
    </r>
    <r>
      <rPr>
        <b/>
        <sz val="10"/>
        <rFont val="Arial Tur"/>
        <charset val="162"/>
      </rPr>
      <t xml:space="preserve"> </t>
    </r>
    <r>
      <rPr>
        <b/>
        <sz val="10"/>
        <rFont val="Arial"/>
        <family val="2"/>
        <charset val="162"/>
      </rPr>
      <t>≥</t>
    </r>
    <r>
      <rPr>
        <sz val="11"/>
        <color theme="1"/>
        <rFont val="Calibri"/>
        <family val="2"/>
        <charset val="162"/>
        <scheme val="minor"/>
      </rPr>
      <t/>
    </r>
  </si>
  <si>
    <r>
      <t>V</t>
    </r>
    <r>
      <rPr>
        <b/>
        <vertAlign val="subscript"/>
        <sz val="10"/>
        <rFont val="Arial Tur"/>
        <charset val="162"/>
      </rPr>
      <t>pd</t>
    </r>
  </si>
  <si>
    <r>
      <t>V</t>
    </r>
    <r>
      <rPr>
        <b/>
        <vertAlign val="subscript"/>
        <sz val="10"/>
        <rFont val="Arial Tur"/>
        <charset val="162"/>
      </rPr>
      <t>pr</t>
    </r>
    <r>
      <rPr>
        <b/>
        <sz val="10"/>
        <rFont val="Arial Tur"/>
        <charset val="162"/>
      </rPr>
      <t xml:space="preserve"> =</t>
    </r>
  </si>
  <si>
    <r>
      <rPr>
        <b/>
        <sz val="10"/>
        <rFont val="Arial"/>
        <family val="2"/>
        <charset val="162"/>
      </rPr>
      <t>γ</t>
    </r>
    <r>
      <rPr>
        <b/>
        <sz val="10"/>
        <rFont val="Arial Tur"/>
        <charset val="162"/>
      </rPr>
      <t xml:space="preserve"> ×</t>
    </r>
    <r>
      <rPr>
        <b/>
        <sz val="10"/>
        <rFont val="Arial"/>
        <family val="2"/>
        <charset val="162"/>
      </rPr>
      <t xml:space="preserve"> </t>
    </r>
    <r>
      <rPr>
        <b/>
        <sz val="10"/>
        <rFont val="Arial Tur"/>
        <charset val="162"/>
      </rPr>
      <t>f</t>
    </r>
    <r>
      <rPr>
        <b/>
        <vertAlign val="subscript"/>
        <sz val="10"/>
        <rFont val="Arial Tur"/>
        <charset val="162"/>
      </rPr>
      <t>ctd</t>
    </r>
    <r>
      <rPr>
        <b/>
        <sz val="10"/>
        <rFont val="Arial Tur"/>
        <charset val="162"/>
      </rPr>
      <t xml:space="preserve"> × u</t>
    </r>
    <r>
      <rPr>
        <b/>
        <vertAlign val="subscript"/>
        <sz val="10"/>
        <rFont val="Arial Tur"/>
        <charset val="162"/>
      </rPr>
      <t>p</t>
    </r>
    <r>
      <rPr>
        <b/>
        <sz val="10"/>
        <rFont val="Arial Tur"/>
        <charset val="162"/>
      </rPr>
      <t xml:space="preserve"> × d</t>
    </r>
  </si>
  <si>
    <t>γ =</t>
  </si>
  <si>
    <t>(eğilme etkisi katsayısı)</t>
  </si>
  <si>
    <r>
      <t>f</t>
    </r>
    <r>
      <rPr>
        <vertAlign val="subscript"/>
        <sz val="10"/>
        <rFont val="Arial Tur"/>
        <charset val="162"/>
      </rPr>
      <t>ctd</t>
    </r>
    <r>
      <rPr>
        <sz val="11"/>
        <color theme="1"/>
        <rFont val="Calibri"/>
        <family val="2"/>
        <charset val="162"/>
        <scheme val="minor"/>
      </rPr>
      <t xml:space="preserve"> =</t>
    </r>
  </si>
  <si>
    <r>
      <t>kg/cm</t>
    </r>
    <r>
      <rPr>
        <vertAlign val="superscript"/>
        <sz val="10"/>
        <rFont val="Arial Tur"/>
        <charset val="162"/>
      </rPr>
      <t>2</t>
    </r>
  </si>
  <si>
    <r>
      <t>d</t>
    </r>
    <r>
      <rPr>
        <vertAlign val="subscript"/>
        <sz val="10"/>
        <rFont val="Arial Tur"/>
        <charset val="162"/>
      </rPr>
      <t>radye</t>
    </r>
    <r>
      <rPr>
        <sz val="11"/>
        <color theme="1"/>
        <rFont val="Calibri"/>
        <family val="2"/>
        <charset val="162"/>
        <scheme val="minor"/>
      </rPr>
      <t>=</t>
    </r>
  </si>
  <si>
    <r>
      <t>u</t>
    </r>
    <r>
      <rPr>
        <vertAlign val="subscript"/>
        <sz val="10"/>
        <rFont val="Arial Tur"/>
        <charset val="162"/>
      </rPr>
      <t>p</t>
    </r>
    <r>
      <rPr>
        <sz val="11"/>
        <color theme="1"/>
        <rFont val="Calibri"/>
        <family val="2"/>
        <charset val="162"/>
        <scheme val="minor"/>
      </rPr>
      <t xml:space="preserve"> = </t>
    </r>
    <r>
      <rPr>
        <sz val="10"/>
        <rFont val="Arial"/>
        <family val="2"/>
        <charset val="162"/>
      </rPr>
      <t>π</t>
    </r>
    <r>
      <rPr>
        <sz val="11"/>
        <color theme="1"/>
        <rFont val="Calibri"/>
        <family val="2"/>
        <charset val="162"/>
        <scheme val="minor"/>
      </rPr>
      <t xml:space="preserve"> x d =</t>
    </r>
  </si>
  <si>
    <t>kg   =</t>
  </si>
  <si>
    <r>
      <t>t &lt; V</t>
    </r>
    <r>
      <rPr>
        <b/>
        <vertAlign val="subscript"/>
        <sz val="10"/>
        <rFont val="Arial Tur"/>
        <charset val="162"/>
      </rPr>
      <t>pd</t>
    </r>
    <r>
      <rPr>
        <b/>
        <sz val="10"/>
        <rFont val="Arial Tur"/>
        <charset val="162"/>
      </rPr>
      <t xml:space="preserve"> =</t>
    </r>
  </si>
  <si>
    <r>
      <t xml:space="preserve">  V</t>
    </r>
    <r>
      <rPr>
        <vertAlign val="subscript"/>
        <sz val="10"/>
        <rFont val="Arial Tur"/>
        <charset val="162"/>
      </rPr>
      <t>pd</t>
    </r>
  </si>
  <si>
    <t>adet ankraj var</t>
  </si>
  <si>
    <t>tonm</t>
  </si>
  <si>
    <t xml:space="preserve">Temel Tabanında </t>
  </si>
  <si>
    <t>Toplam Ankraj Kuvveti=</t>
  </si>
  <si>
    <t>Toplam Ankraj Momenti=</t>
  </si>
  <si>
    <t>ankrajlı durum</t>
  </si>
  <si>
    <t>TEMEL RADYESİ ANKRAJ DURUMU</t>
  </si>
  <si>
    <r>
      <t xml:space="preserve">M  </t>
    </r>
    <r>
      <rPr>
        <sz val="11"/>
        <color indexed="8"/>
        <rFont val="Arial"/>
        <family val="2"/>
        <charset val="162"/>
      </rPr>
      <t xml:space="preserve">                         (t.m/m)</t>
    </r>
  </si>
  <si>
    <r>
      <t>W</t>
    </r>
    <r>
      <rPr>
        <vertAlign val="subscript"/>
        <sz val="10"/>
        <color rgb="FF000000"/>
        <rFont val="Arial"/>
        <family val="2"/>
      </rPr>
      <t>DİŞ</t>
    </r>
  </si>
  <si>
    <t>DİŞİN EĞİMİ 1Y/2D</t>
  </si>
  <si>
    <r>
      <t>W</t>
    </r>
    <r>
      <rPr>
        <vertAlign val="subscript"/>
        <sz val="10"/>
        <color rgb="FF000000"/>
        <rFont val="Arial"/>
        <family val="2"/>
      </rPr>
      <t>DİŞ</t>
    </r>
    <r>
      <rPr>
        <sz val="10"/>
        <color indexed="8"/>
        <rFont val="Arial"/>
        <family val="2"/>
        <charset val="162"/>
      </rPr>
      <t>=</t>
    </r>
  </si>
  <si>
    <r>
      <t xml:space="preserve">P </t>
    </r>
    <r>
      <rPr>
        <vertAlign val="subscript"/>
        <sz val="10"/>
        <color rgb="FF000000"/>
        <rFont val="Arial"/>
        <family val="2"/>
      </rPr>
      <t>ankraj</t>
    </r>
    <r>
      <rPr>
        <sz val="10"/>
        <color indexed="8"/>
        <rFont val="Arial"/>
        <family val="2"/>
        <charset val="162"/>
      </rPr>
      <t xml:space="preserve"> =</t>
    </r>
  </si>
  <si>
    <t>Moment kolu=</t>
  </si>
  <si>
    <t>Seçilen Donatı</t>
  </si>
  <si>
    <t>Þ</t>
  </si>
  <si>
    <t>As =</t>
  </si>
  <si>
    <t>mm²/m</t>
  </si>
  <si>
    <t>Asgerekli</t>
  </si>
  <si>
    <t xml:space="preserve">Asmin </t>
  </si>
  <si>
    <t>Asmin</t>
  </si>
  <si>
    <r>
      <t>cm</t>
    </r>
    <r>
      <rPr>
        <vertAlign val="superscript"/>
        <sz val="10"/>
        <color indexed="8"/>
        <rFont val="Arial"/>
        <family val="2"/>
        <charset val="162"/>
      </rPr>
      <t>2</t>
    </r>
  </si>
  <si>
    <t xml:space="preserve"> TAŞKIN HALİ NORMAL DURUM STABİLİTE ANALİZİ (3.Durum)"</t>
  </si>
  <si>
    <t xml:space="preserve"> TAŞKIN SONU NORMAL DURUM STABİLİTE ANALİZİ (4.Durum)"</t>
  </si>
  <si>
    <t>YAKLAŞIM KANALI DUVARI - h=7.10 m</t>
  </si>
  <si>
    <r>
      <t>P</t>
    </r>
    <r>
      <rPr>
        <vertAlign val="subscript"/>
        <sz val="10"/>
        <color indexed="8"/>
        <rFont val="Arial"/>
        <family val="2"/>
        <charset val="162"/>
      </rPr>
      <t>A,h</t>
    </r>
    <r>
      <rPr>
        <sz val="10"/>
        <color indexed="8"/>
        <rFont val="Arial"/>
        <family val="2"/>
        <charset val="162"/>
      </rPr>
      <t xml:space="preserve"> =</t>
    </r>
  </si>
  <si>
    <r>
      <t>P</t>
    </r>
    <r>
      <rPr>
        <vertAlign val="subscript"/>
        <sz val="10"/>
        <color indexed="8"/>
        <rFont val="Arial"/>
        <family val="2"/>
        <charset val="162"/>
      </rPr>
      <t>A,v</t>
    </r>
    <r>
      <rPr>
        <sz val="10"/>
        <color indexed="8"/>
        <rFont val="Arial"/>
        <family val="2"/>
        <charset val="162"/>
      </rPr>
      <t xml:space="preserve"> =</t>
    </r>
  </si>
  <si>
    <r>
      <t>P</t>
    </r>
    <r>
      <rPr>
        <vertAlign val="subscript"/>
        <sz val="10"/>
        <color indexed="8"/>
        <rFont val="Arial"/>
        <family val="2"/>
        <charset val="162"/>
      </rPr>
      <t>S,v</t>
    </r>
    <r>
      <rPr>
        <sz val="10"/>
        <color indexed="8"/>
        <rFont val="Arial"/>
        <family val="2"/>
        <charset val="162"/>
      </rPr>
      <t xml:space="preserve"> =</t>
    </r>
  </si>
  <si>
    <r>
      <t>P</t>
    </r>
    <r>
      <rPr>
        <vertAlign val="subscript"/>
        <sz val="10"/>
        <color indexed="8"/>
        <rFont val="Arial"/>
        <family val="2"/>
        <charset val="162"/>
      </rPr>
      <t>S,h</t>
    </r>
    <r>
      <rPr>
        <sz val="10"/>
        <color indexed="8"/>
        <rFont val="Arial"/>
        <family val="2"/>
        <charset val="162"/>
      </rPr>
      <t xml:space="preserve"> =</t>
    </r>
  </si>
  <si>
    <t xml:space="preserve"> </t>
  </si>
  <si>
    <r>
      <t>P</t>
    </r>
    <r>
      <rPr>
        <vertAlign val="subscript"/>
        <sz val="10"/>
        <color indexed="8"/>
        <rFont val="Arial"/>
        <family val="2"/>
        <charset val="162"/>
      </rPr>
      <t>AD,h</t>
    </r>
    <r>
      <rPr>
        <sz val="10"/>
        <color indexed="8"/>
        <rFont val="Arial"/>
        <family val="2"/>
        <charset val="162"/>
      </rPr>
      <t xml:space="preserve"> =</t>
    </r>
  </si>
  <si>
    <r>
      <t>P</t>
    </r>
    <r>
      <rPr>
        <vertAlign val="subscript"/>
        <sz val="10"/>
        <color indexed="8"/>
        <rFont val="Arial"/>
        <family val="2"/>
        <charset val="162"/>
      </rPr>
      <t>AD, v</t>
    </r>
    <r>
      <rPr>
        <sz val="10"/>
        <color indexed="8"/>
        <rFont val="Arial"/>
        <family val="2"/>
        <charset val="162"/>
      </rPr>
      <t xml:space="preserve"> =</t>
    </r>
  </si>
  <si>
    <t>İŞLETME DURUMU DEPREMLİ DURUM STABİLİTE ANALİZİ (3.Durum)"</t>
  </si>
  <si>
    <r>
      <t>P</t>
    </r>
    <r>
      <rPr>
        <vertAlign val="subscript"/>
        <sz val="10"/>
        <color indexed="8"/>
        <rFont val="Arial"/>
        <family val="2"/>
        <charset val="162"/>
      </rPr>
      <t>A1,h</t>
    </r>
    <r>
      <rPr>
        <sz val="10"/>
        <color indexed="8"/>
        <rFont val="Arial"/>
        <family val="2"/>
        <charset val="162"/>
      </rPr>
      <t xml:space="preserve"> =</t>
    </r>
  </si>
  <si>
    <r>
      <t>P</t>
    </r>
    <r>
      <rPr>
        <vertAlign val="subscript"/>
        <sz val="10"/>
        <color indexed="8"/>
        <rFont val="Arial"/>
        <family val="2"/>
        <charset val="162"/>
      </rPr>
      <t>A1,v</t>
    </r>
    <r>
      <rPr>
        <sz val="10"/>
        <color indexed="8"/>
        <rFont val="Arial"/>
        <family val="2"/>
        <charset val="162"/>
      </rPr>
      <t xml:space="preserve"> =</t>
    </r>
  </si>
  <si>
    <r>
      <t>P</t>
    </r>
    <r>
      <rPr>
        <vertAlign val="subscript"/>
        <sz val="10"/>
        <color indexed="8"/>
        <rFont val="Arial"/>
        <family val="2"/>
        <charset val="162"/>
      </rPr>
      <t>A2,h</t>
    </r>
    <r>
      <rPr>
        <sz val="10"/>
        <color indexed="8"/>
        <rFont val="Arial"/>
        <family val="2"/>
        <charset val="162"/>
      </rPr>
      <t xml:space="preserve"> =</t>
    </r>
  </si>
  <si>
    <r>
      <t>P</t>
    </r>
    <r>
      <rPr>
        <vertAlign val="subscript"/>
        <sz val="10"/>
        <color indexed="8"/>
        <rFont val="Arial"/>
        <family val="2"/>
        <charset val="162"/>
      </rPr>
      <t>A2,v</t>
    </r>
    <r>
      <rPr>
        <sz val="10"/>
        <color indexed="8"/>
        <rFont val="Arial"/>
        <family val="2"/>
        <charset val="162"/>
      </rPr>
      <t xml:space="preserve"> =</t>
    </r>
  </si>
  <si>
    <r>
      <t>P</t>
    </r>
    <r>
      <rPr>
        <vertAlign val="subscript"/>
        <sz val="10"/>
        <color indexed="8"/>
        <rFont val="Arial"/>
        <family val="2"/>
        <charset val="162"/>
      </rPr>
      <t>A3,h</t>
    </r>
    <r>
      <rPr>
        <sz val="10"/>
        <color indexed="8"/>
        <rFont val="Arial"/>
        <family val="2"/>
        <charset val="162"/>
      </rPr>
      <t xml:space="preserve"> =</t>
    </r>
  </si>
  <si>
    <r>
      <t>P</t>
    </r>
    <r>
      <rPr>
        <vertAlign val="subscript"/>
        <sz val="10"/>
        <color indexed="8"/>
        <rFont val="Arial"/>
        <family val="2"/>
        <charset val="162"/>
      </rPr>
      <t>A3,v</t>
    </r>
    <r>
      <rPr>
        <sz val="10"/>
        <color indexed="8"/>
        <rFont val="Arial"/>
        <family val="2"/>
        <charset val="162"/>
      </rPr>
      <t xml:space="preserve"> =</t>
    </r>
  </si>
  <si>
    <t>3. Durum - 1.0 G + 1.0 Eq</t>
  </si>
  <si>
    <t>5. Durum - 1.4 G + 1.6 Q + 1.6 E</t>
  </si>
  <si>
    <t>5. Durum</t>
  </si>
  <si>
    <t>inşaat</t>
  </si>
  <si>
    <t>İnşaat + EQ</t>
  </si>
  <si>
    <t>Feyezan</t>
  </si>
  <si>
    <t>Feyezan Sonu</t>
  </si>
  <si>
    <t>Devrilme</t>
  </si>
  <si>
    <t>Kayma</t>
  </si>
  <si>
    <t>Zemin Emniyet Gerilmesi</t>
  </si>
  <si>
    <t>İşletme</t>
  </si>
  <si>
    <t>İşletme + EQ</t>
  </si>
  <si>
    <t>5.  Durum</t>
  </si>
  <si>
    <t>6.  Durum</t>
  </si>
  <si>
    <t>0.553g</t>
  </si>
  <si>
    <t>0.446g</t>
  </si>
  <si>
    <t>static</t>
  </si>
  <si>
    <t>dynamic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</si>
</sst>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1">
    <numFmt numFmtId="164" formatCode="0.000"/>
    <numFmt numFmtId="165" formatCode="0.0"/>
    <numFmt numFmtId="166" formatCode="0\+000.00"/>
    <numFmt numFmtId="167" formatCode="\Φ0"/>
    <numFmt numFmtId="168" formatCode="0.0\ \x"/>
    <numFmt numFmtId="169" formatCode="0.0\ \="/>
    <numFmt numFmtId="170" formatCode="0.00\m"/>
    <numFmt numFmtId="171" formatCode="0.00\ \m"/>
    <numFmt numFmtId="172" formatCode="0.00\ \t"/>
    <numFmt numFmtId="173" formatCode="0.00\ \x"/>
    <numFmt numFmtId="174" formatCode="0.00\ \="/>
  </numFmts>
  <fonts count="76" x14ac:knownFonts="1">
    <font>
      <sz val="11"/>
      <color theme="1"/>
      <name val="Calibri"/>
      <family val="2"/>
      <charset val="162"/>
      <scheme val="minor"/>
    </font>
    <font>
      <b/>
      <sz val="11"/>
      <color indexed="8"/>
      <name val="Arial"/>
      <family val="2"/>
      <charset val="162"/>
    </font>
    <font>
      <sz val="11"/>
      <color indexed="8"/>
      <name val="Arial"/>
      <family val="2"/>
      <charset val="162"/>
    </font>
    <font>
      <sz val="10"/>
      <color indexed="8"/>
      <name val="Arial"/>
      <family val="2"/>
      <charset val="162"/>
    </font>
    <font>
      <vertAlign val="subscript"/>
      <sz val="10"/>
      <color indexed="8"/>
      <name val="Arial"/>
      <family val="2"/>
      <charset val="162"/>
    </font>
    <font>
      <sz val="10"/>
      <color indexed="8"/>
      <name val="Calibri"/>
      <family val="2"/>
      <charset val="162"/>
    </font>
    <font>
      <vertAlign val="subscript"/>
      <sz val="10"/>
      <name val="Arial"/>
      <family val="2"/>
      <charset val="162"/>
    </font>
    <font>
      <sz val="10"/>
      <color indexed="12"/>
      <name val="Arial"/>
      <family val="2"/>
      <charset val="162"/>
    </font>
    <font>
      <sz val="10"/>
      <color indexed="8"/>
      <name val="Symbol"/>
      <family val="1"/>
      <charset val="2"/>
    </font>
    <font>
      <sz val="11"/>
      <color indexed="8"/>
      <name val="Symbol"/>
      <family val="1"/>
      <charset val="2"/>
    </font>
    <font>
      <sz val="10"/>
      <name val="Arial"/>
      <family val="2"/>
      <charset val="162"/>
    </font>
    <font>
      <b/>
      <i/>
      <sz val="11"/>
      <color indexed="8"/>
      <name val="Arial"/>
      <family val="2"/>
      <charset val="162"/>
    </font>
    <font>
      <sz val="10"/>
      <name val="Arial"/>
      <family val="2"/>
    </font>
    <font>
      <sz val="10"/>
      <name val="Symbol"/>
      <family val="1"/>
      <charset val="2"/>
    </font>
    <font>
      <b/>
      <sz val="10"/>
      <color indexed="8"/>
      <name val="Arial"/>
      <family val="2"/>
    </font>
    <font>
      <sz val="10"/>
      <color indexed="8"/>
      <name val="Arial"/>
      <family val="2"/>
    </font>
    <font>
      <b/>
      <sz val="10"/>
      <color indexed="8"/>
      <name val="Arial"/>
      <family val="2"/>
      <charset val="162"/>
    </font>
    <font>
      <vertAlign val="subscript"/>
      <sz val="11"/>
      <color indexed="8"/>
      <name val="Calibri"/>
      <family val="2"/>
      <charset val="162"/>
    </font>
    <font>
      <b/>
      <i/>
      <sz val="10"/>
      <color indexed="8"/>
      <name val="Arial"/>
      <family val="2"/>
      <charset val="162"/>
    </font>
    <font>
      <sz val="9"/>
      <color indexed="8"/>
      <name val="Arial"/>
      <family val="2"/>
      <charset val="162"/>
    </font>
    <font>
      <sz val="8"/>
      <name val="Calibri"/>
      <family val="2"/>
      <charset val="162"/>
    </font>
    <font>
      <i/>
      <sz val="10"/>
      <color indexed="8"/>
      <name val="Arial"/>
      <family val="2"/>
      <charset val="162"/>
    </font>
    <font>
      <sz val="11"/>
      <color indexed="8"/>
      <name val="Symbol"/>
      <family val="1"/>
      <charset val="2"/>
    </font>
    <font>
      <sz val="8"/>
      <color indexed="81"/>
      <name val="Tahoma"/>
      <family val="2"/>
      <charset val="162"/>
    </font>
    <font>
      <b/>
      <sz val="8"/>
      <color indexed="81"/>
      <name val="Tahoma"/>
      <family val="2"/>
      <charset val="162"/>
    </font>
    <font>
      <sz val="10"/>
      <color indexed="9"/>
      <name val="Arial"/>
      <family val="2"/>
      <charset val="162"/>
    </font>
    <font>
      <sz val="11"/>
      <color indexed="12"/>
      <name val="Arial"/>
      <family val="2"/>
      <charset val="162"/>
    </font>
    <font>
      <b/>
      <sz val="11"/>
      <color indexed="8"/>
      <name val="Symbol"/>
      <family val="1"/>
      <charset val="2"/>
    </font>
    <font>
      <b/>
      <vertAlign val="subscript"/>
      <sz val="11"/>
      <color indexed="8"/>
      <name val="Calibri"/>
      <family val="2"/>
      <charset val="162"/>
    </font>
    <font>
      <sz val="11"/>
      <color indexed="8"/>
      <name val="Calibri"/>
      <family val="2"/>
      <charset val="162"/>
    </font>
    <font>
      <vertAlign val="subscript"/>
      <sz val="10"/>
      <color indexed="8"/>
      <name val="Calibri"/>
      <family val="2"/>
      <charset val="162"/>
    </font>
    <font>
      <vertAlign val="superscript"/>
      <sz val="10"/>
      <color indexed="8"/>
      <name val="Calibri"/>
      <family val="2"/>
      <charset val="162"/>
    </font>
    <font>
      <i/>
      <sz val="11"/>
      <color indexed="8"/>
      <name val="Arial"/>
      <family val="2"/>
      <charset val="162"/>
    </font>
    <font>
      <sz val="10"/>
      <color indexed="8"/>
      <name val="Calibri"/>
      <family val="2"/>
      <charset val="162"/>
    </font>
    <font>
      <sz val="10"/>
      <color indexed="8"/>
      <name val="Arial"/>
      <family val="2"/>
      <charset val="162"/>
    </font>
    <font>
      <sz val="11"/>
      <color indexed="8"/>
      <name val="Arial"/>
      <family val="2"/>
      <charset val="162"/>
    </font>
    <font>
      <i/>
      <sz val="8"/>
      <color indexed="8"/>
      <name val="Arial"/>
      <family val="2"/>
      <charset val="162"/>
    </font>
    <font>
      <b/>
      <i/>
      <sz val="10"/>
      <color indexed="8"/>
      <name val="Times New Roman"/>
      <family val="1"/>
      <charset val="162"/>
    </font>
    <font>
      <sz val="11"/>
      <color theme="0"/>
      <name val="Arial"/>
      <family val="2"/>
      <charset val="162"/>
    </font>
    <font>
      <sz val="10"/>
      <color theme="0"/>
      <name val="Arial"/>
      <family val="2"/>
      <charset val="162"/>
    </font>
    <font>
      <sz val="10"/>
      <color theme="1"/>
      <name val="Arial"/>
      <family val="2"/>
      <charset val="162"/>
    </font>
    <font>
      <sz val="11"/>
      <color rgb="FFFF0000"/>
      <name val="Arial"/>
      <family val="2"/>
      <charset val="162"/>
    </font>
    <font>
      <sz val="9"/>
      <color indexed="81"/>
      <name val="Tahoma"/>
      <family val="2"/>
      <charset val="162"/>
    </font>
    <font>
      <b/>
      <sz val="9"/>
      <color indexed="81"/>
      <name val="Tahoma"/>
      <family val="2"/>
      <charset val="162"/>
    </font>
    <font>
      <vertAlign val="superscript"/>
      <sz val="10"/>
      <color indexed="8"/>
      <name val="Arial"/>
      <family val="2"/>
      <charset val="162"/>
    </font>
    <font>
      <sz val="10"/>
      <color indexed="8"/>
      <name val="Arial Tur"/>
      <charset val="162"/>
    </font>
    <font>
      <b/>
      <sz val="10"/>
      <color rgb="FFFF0000"/>
      <name val="Arial"/>
      <family val="2"/>
      <charset val="162"/>
    </font>
    <font>
      <b/>
      <sz val="11"/>
      <color theme="1"/>
      <name val="Calibri"/>
      <family val="2"/>
      <charset val="162"/>
      <scheme val="minor"/>
    </font>
    <font>
      <b/>
      <sz val="11"/>
      <color theme="1"/>
      <name val="Arial Tur"/>
      <charset val="162"/>
    </font>
    <font>
      <b/>
      <sz val="10"/>
      <name val="Arial"/>
      <family val="2"/>
      <charset val="162"/>
    </font>
    <font>
      <i/>
      <sz val="11"/>
      <color theme="1"/>
      <name val="Calibri"/>
      <family val="2"/>
      <charset val="162"/>
      <scheme val="minor"/>
    </font>
    <font>
      <b/>
      <vertAlign val="subscript"/>
      <sz val="11"/>
      <color theme="1"/>
      <name val="Arial Tur"/>
      <charset val="162"/>
    </font>
    <font>
      <b/>
      <sz val="11"/>
      <color theme="1"/>
      <name val="Arial"/>
      <family val="2"/>
      <charset val="162"/>
    </font>
    <font>
      <b/>
      <sz val="11"/>
      <name val="Arial"/>
      <family val="2"/>
      <charset val="162"/>
    </font>
    <font>
      <sz val="11"/>
      <name val="Arial"/>
      <family val="2"/>
      <charset val="162"/>
    </font>
    <font>
      <b/>
      <sz val="10"/>
      <color indexed="12"/>
      <name val="Arial"/>
      <family val="2"/>
      <charset val="162"/>
    </font>
    <font>
      <b/>
      <vertAlign val="superscript"/>
      <sz val="10"/>
      <name val="Arial"/>
      <family val="2"/>
      <charset val="162"/>
    </font>
    <font>
      <b/>
      <vertAlign val="superscript"/>
      <sz val="11"/>
      <color indexed="8"/>
      <name val="Arial"/>
      <family val="2"/>
      <charset val="16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vertAlign val="subscript"/>
      <sz val="11"/>
      <color indexed="8"/>
      <name val="Arial"/>
      <family val="2"/>
      <charset val="162"/>
    </font>
    <font>
      <sz val="10"/>
      <name val="Arial Tur"/>
      <charset val="162"/>
    </font>
    <font>
      <b/>
      <u/>
      <sz val="14"/>
      <name val="Arial Tur"/>
      <charset val="162"/>
    </font>
    <font>
      <b/>
      <sz val="10"/>
      <name val="Arial Tur"/>
      <charset val="162"/>
    </font>
    <font>
      <b/>
      <u/>
      <sz val="10"/>
      <name val="Arial Tur"/>
      <charset val="162"/>
    </font>
    <font>
      <vertAlign val="subscript"/>
      <sz val="10"/>
      <name val="Arial Tur"/>
      <charset val="162"/>
    </font>
    <font>
      <sz val="10"/>
      <name val="Calibri"/>
      <family val="2"/>
      <charset val="162"/>
    </font>
    <font>
      <b/>
      <vertAlign val="subscript"/>
      <sz val="10"/>
      <name val="Arial Tur"/>
      <charset val="162"/>
    </font>
    <font>
      <vertAlign val="superscript"/>
      <sz val="10"/>
      <name val="Arial Tur"/>
      <charset val="162"/>
    </font>
    <font>
      <vertAlign val="subscript"/>
      <sz val="10"/>
      <color rgb="FF000000"/>
      <name val="Arial"/>
      <family val="2"/>
    </font>
    <font>
      <sz val="11"/>
      <name val="Symbol"/>
      <family val="1"/>
      <charset val="2"/>
    </font>
    <font>
      <i/>
      <sz val="10"/>
      <name val="Arial"/>
      <family val="2"/>
      <charset val="162"/>
    </font>
    <font>
      <sz val="10"/>
      <color rgb="FFFF0000"/>
      <name val="Arial"/>
      <family val="2"/>
      <charset val="162"/>
    </font>
    <font>
      <sz val="22"/>
      <color rgb="FFFF0000"/>
      <name val="Calibri"/>
      <family val="2"/>
      <charset val="162"/>
      <scheme val="minor"/>
    </font>
    <font>
      <sz val="20"/>
      <color rgb="FFFF0000"/>
      <name val="Arial"/>
      <family val="2"/>
      <charset val="162"/>
    </font>
    <font>
      <sz val="22"/>
      <color rgb="FFFF0000"/>
      <name val="Arial"/>
      <family val="2"/>
      <charset val="162"/>
    </font>
  </fonts>
  <fills count="13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3"/>
        <bgColor indexed="64"/>
      </patternFill>
    </fill>
  </fills>
  <borders count="26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double">
        <color indexed="64"/>
      </top>
      <bottom style="thin">
        <color indexed="64"/>
      </bottom>
      <diagonal/>
    </border>
    <border>
      <left/>
      <right/>
      <top style="double">
        <color indexed="64"/>
      </top>
      <bottom style="thin">
        <color indexed="64"/>
      </bottom>
      <diagonal/>
    </border>
    <border>
      <left/>
      <right style="thin">
        <color indexed="64"/>
      </right>
      <top style="double">
        <color indexed="64"/>
      </top>
      <bottom style="thin">
        <color indexed="64"/>
      </bottom>
      <diagonal/>
    </border>
    <border>
      <left/>
      <right/>
      <top style="double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2">
    <xf numFmtId="0" fontId="0" fillId="0" borderId="0"/>
    <xf numFmtId="0" fontId="61" fillId="0" borderId="0"/>
  </cellStyleXfs>
  <cellXfs count="801">
    <xf numFmtId="0" fontId="0" fillId="0" borderId="0" xfId="0"/>
    <xf numFmtId="0" fontId="2" fillId="2" borderId="0" xfId="0" applyFont="1" applyFill="1"/>
    <xf numFmtId="0" fontId="3" fillId="2" borderId="0" xfId="0" applyFont="1" applyFill="1"/>
    <xf numFmtId="0" fontId="16" fillId="2" borderId="0" xfId="0" applyFont="1" applyFill="1"/>
    <xf numFmtId="0" fontId="3" fillId="2" borderId="1" xfId="0" applyFont="1" applyFill="1" applyBorder="1" applyAlignment="1">
      <alignment horizontal="center" vertical="center"/>
    </xf>
    <xf numFmtId="2" fontId="16" fillId="2" borderId="2" xfId="0" applyNumberFormat="1" applyFont="1" applyFill="1" applyBorder="1" applyAlignment="1">
      <alignment horizontal="center" vertical="center"/>
    </xf>
    <xf numFmtId="0" fontId="3" fillId="2" borderId="1" xfId="0" applyFont="1" applyFill="1" applyBorder="1"/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left"/>
    </xf>
    <xf numFmtId="0" fontId="3" fillId="2" borderId="0" xfId="0" applyFont="1" applyFill="1" applyBorder="1"/>
    <xf numFmtId="0" fontId="2" fillId="2" borderId="0" xfId="0" applyFont="1" applyFill="1" applyAlignment="1">
      <alignment horizontal="center" vertical="center"/>
    </xf>
    <xf numFmtId="0" fontId="3" fillId="2" borderId="4" xfId="0" applyFont="1" applyFill="1" applyBorder="1"/>
    <xf numFmtId="0" fontId="2" fillId="2" borderId="0" xfId="0" applyFont="1" applyFill="1" applyBorder="1"/>
    <xf numFmtId="0" fontId="1" fillId="2" borderId="0" xfId="0" applyFont="1" applyFill="1"/>
    <xf numFmtId="0" fontId="3" fillId="2" borderId="0" xfId="0" applyFont="1" applyFill="1" applyAlignment="1">
      <alignment wrapText="1"/>
    </xf>
    <xf numFmtId="0" fontId="9" fillId="2" borderId="0" xfId="0" applyFont="1" applyFill="1" applyAlignment="1">
      <alignment horizontal="center" vertical="top"/>
    </xf>
    <xf numFmtId="0" fontId="3" fillId="2" borderId="0" xfId="0" applyFont="1" applyFill="1" applyAlignment="1">
      <alignment horizontal="right"/>
    </xf>
    <xf numFmtId="2" fontId="7" fillId="2" borderId="0" xfId="0" applyNumberFormat="1" applyFont="1" applyFill="1" applyAlignment="1">
      <alignment horizontal="center" vertical="center"/>
    </xf>
    <xf numFmtId="0" fontId="8" fillId="2" borderId="0" xfId="0" applyFont="1" applyFill="1" applyAlignment="1">
      <alignment horizontal="right"/>
    </xf>
    <xf numFmtId="2" fontId="10" fillId="2" borderId="0" xfId="0" applyNumberFormat="1" applyFont="1" applyFill="1" applyAlignment="1">
      <alignment horizontal="center" vertical="center"/>
    </xf>
    <xf numFmtId="0" fontId="18" fillId="2" borderId="0" xfId="0" applyFont="1" applyFill="1"/>
    <xf numFmtId="0" fontId="33" fillId="2" borderId="5" xfId="0" applyFont="1" applyFill="1" applyBorder="1" applyAlignment="1">
      <alignment horizontal="center" wrapText="1"/>
    </xf>
    <xf numFmtId="0" fontId="11" fillId="2" borderId="0" xfId="0" applyFont="1" applyFill="1" applyAlignment="1">
      <alignment horizontal="left"/>
    </xf>
    <xf numFmtId="0" fontId="1" fillId="2" borderId="0" xfId="0" applyFont="1" applyFill="1" applyAlignment="1">
      <alignment horizontal="left"/>
    </xf>
    <xf numFmtId="0" fontId="16" fillId="2" borderId="0" xfId="0" applyFont="1" applyFill="1" applyAlignment="1">
      <alignment horizontal="left"/>
    </xf>
    <xf numFmtId="0" fontId="5" fillId="2" borderId="0" xfId="0" applyFont="1" applyFill="1"/>
    <xf numFmtId="2" fontId="3" fillId="2" borderId="0" xfId="0" applyNumberFormat="1" applyFont="1" applyFill="1" applyAlignment="1">
      <alignment horizontal="center"/>
    </xf>
    <xf numFmtId="0" fontId="16" fillId="2" borderId="0" xfId="0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>
      <alignment horizontal="right"/>
    </xf>
    <xf numFmtId="2" fontId="2" fillId="2" borderId="0" xfId="0" applyNumberFormat="1" applyFont="1" applyFill="1" applyAlignment="1">
      <alignment horizontal="center"/>
    </xf>
    <xf numFmtId="0" fontId="3" fillId="2" borderId="6" xfId="0" applyFont="1" applyFill="1" applyBorder="1" applyAlignment="1">
      <alignment horizontal="center" vertical="center"/>
    </xf>
    <xf numFmtId="0" fontId="3" fillId="2" borderId="7" xfId="0" applyFont="1" applyFill="1" applyBorder="1" applyAlignment="1">
      <alignment horizontal="right"/>
    </xf>
    <xf numFmtId="0" fontId="3" fillId="2" borderId="7" xfId="0" applyFont="1" applyFill="1" applyBorder="1" applyAlignment="1">
      <alignment horizontal="left"/>
    </xf>
    <xf numFmtId="0" fontId="3" fillId="2" borderId="8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right"/>
    </xf>
    <xf numFmtId="0" fontId="3" fillId="2" borderId="2" xfId="0" applyFont="1" applyFill="1" applyBorder="1" applyAlignment="1">
      <alignment horizontal="left"/>
    </xf>
    <xf numFmtId="0" fontId="8" fillId="2" borderId="0" xfId="0" applyFont="1" applyFill="1"/>
    <xf numFmtId="2" fontId="3" fillId="2" borderId="0" xfId="0" applyNumberFormat="1" applyFont="1" applyFill="1" applyBorder="1" applyAlignment="1">
      <alignment horizontal="left"/>
    </xf>
    <xf numFmtId="0" fontId="0" fillId="2" borderId="0" xfId="0" applyFill="1"/>
    <xf numFmtId="0" fontId="3" fillId="2" borderId="0" xfId="0" applyFont="1" applyFill="1" applyBorder="1" applyAlignment="1">
      <alignment horizontal="left"/>
    </xf>
    <xf numFmtId="0" fontId="3" fillId="2" borderId="0" xfId="0" applyFont="1" applyFill="1" applyBorder="1" applyAlignment="1">
      <alignment horizontal="right"/>
    </xf>
    <xf numFmtId="0" fontId="3" fillId="2" borderId="0" xfId="0" applyFont="1" applyFill="1" applyBorder="1" applyAlignment="1"/>
    <xf numFmtId="2" fontId="3" fillId="2" borderId="0" xfId="0" applyNumberFormat="1" applyFont="1" applyFill="1" applyBorder="1" applyAlignment="1"/>
    <xf numFmtId="0" fontId="8" fillId="2" borderId="0" xfId="0" applyFont="1" applyFill="1" applyBorder="1"/>
    <xf numFmtId="0" fontId="3" fillId="2" borderId="5" xfId="0" applyFont="1" applyFill="1" applyBorder="1" applyAlignment="1">
      <alignment horizontal="left"/>
    </xf>
    <xf numFmtId="0" fontId="9" fillId="2" borderId="0" xfId="0" applyFont="1" applyFill="1" applyBorder="1" applyAlignment="1">
      <alignment horizontal="center" vertical="center"/>
    </xf>
    <xf numFmtId="2" fontId="3" fillId="2" borderId="0" xfId="0" applyNumberFormat="1" applyFont="1" applyFill="1" applyBorder="1" applyAlignment="1">
      <alignment horizontal="center" vertical="center"/>
    </xf>
    <xf numFmtId="0" fontId="3" fillId="2" borderId="0" xfId="0" applyFont="1" applyFill="1" applyBorder="1" applyAlignment="1">
      <alignment horizontal="center" vertical="center"/>
    </xf>
    <xf numFmtId="1" fontId="3" fillId="2" borderId="0" xfId="0" applyNumberFormat="1" applyFont="1" applyFill="1" applyBorder="1" applyAlignment="1">
      <alignment horizontal="center" vertical="center"/>
    </xf>
    <xf numFmtId="0" fontId="16" fillId="2" borderId="0" xfId="0" applyFont="1" applyFill="1" applyBorder="1" applyAlignment="1">
      <alignment horizontal="center" vertical="center"/>
    </xf>
    <xf numFmtId="2" fontId="3" fillId="2" borderId="8" xfId="0" applyNumberFormat="1" applyFont="1" applyFill="1" applyBorder="1" applyAlignment="1"/>
    <xf numFmtId="0" fontId="2" fillId="2" borderId="1" xfId="0" applyFont="1" applyFill="1" applyBorder="1" applyAlignment="1">
      <alignment horizontal="left"/>
    </xf>
    <xf numFmtId="0" fontId="2" fillId="2" borderId="1" xfId="0" applyFont="1" applyFill="1" applyBorder="1" applyAlignment="1">
      <alignment horizontal="center" vertical="center"/>
    </xf>
    <xf numFmtId="2" fontId="2" fillId="2" borderId="2" xfId="0" applyNumberFormat="1" applyFont="1" applyFill="1" applyBorder="1" applyAlignment="1">
      <alignment horizontal="center"/>
    </xf>
    <xf numFmtId="0" fontId="9" fillId="2" borderId="5" xfId="0" applyFont="1" applyFill="1" applyBorder="1" applyAlignment="1">
      <alignment horizontal="center" vertical="center"/>
    </xf>
    <xf numFmtId="2" fontId="2" fillId="2" borderId="2" xfId="0" applyNumberFormat="1" applyFont="1" applyFill="1" applyBorder="1" applyAlignment="1">
      <alignment horizontal="center" vertical="center"/>
    </xf>
    <xf numFmtId="164" fontId="3" fillId="2" borderId="5" xfId="0" applyNumberFormat="1" applyFont="1" applyFill="1" applyBorder="1" applyAlignment="1">
      <alignment horizontal="center"/>
    </xf>
    <xf numFmtId="0" fontId="18" fillId="2" borderId="0" xfId="0" applyFont="1" applyFill="1" applyAlignment="1">
      <alignment horizontal="left"/>
    </xf>
    <xf numFmtId="164" fontId="3" fillId="2" borderId="0" xfId="0" applyNumberFormat="1" applyFont="1" applyFill="1" applyBorder="1" applyAlignment="1">
      <alignment horizontal="center"/>
    </xf>
    <xf numFmtId="2" fontId="2" fillId="2" borderId="0" xfId="0" applyNumberFormat="1" applyFont="1" applyFill="1"/>
    <xf numFmtId="0" fontId="27" fillId="2" borderId="5" xfId="0" applyFont="1" applyFill="1" applyBorder="1" applyAlignment="1">
      <alignment horizontal="center" vertical="center" wrapText="1"/>
    </xf>
    <xf numFmtId="2" fontId="3" fillId="2" borderId="5" xfId="0" applyNumberFormat="1" applyFont="1" applyFill="1" applyBorder="1" applyAlignment="1">
      <alignment horizontal="center" vertical="center"/>
    </xf>
    <xf numFmtId="165" fontId="3" fillId="2" borderId="5" xfId="0" applyNumberFormat="1" applyFont="1" applyFill="1" applyBorder="1" applyAlignment="1">
      <alignment horizontal="center" vertical="center"/>
    </xf>
    <xf numFmtId="2" fontId="3" fillId="2" borderId="9" xfId="0" applyNumberFormat="1" applyFont="1" applyFill="1" applyBorder="1" applyAlignment="1">
      <alignment horizontal="center" vertical="center"/>
    </xf>
    <xf numFmtId="2" fontId="3" fillId="2" borderId="5" xfId="0" applyNumberFormat="1" applyFont="1" applyFill="1" applyBorder="1" applyAlignment="1">
      <alignment horizontal="center"/>
    </xf>
    <xf numFmtId="165" fontId="3" fillId="2" borderId="5" xfId="0" applyNumberFormat="1" applyFont="1" applyFill="1" applyBorder="1" applyAlignment="1">
      <alignment horizontal="center"/>
    </xf>
    <xf numFmtId="2" fontId="3" fillId="2" borderId="9" xfId="0" applyNumberFormat="1" applyFont="1" applyFill="1" applyBorder="1" applyAlignment="1">
      <alignment horizontal="center"/>
    </xf>
    <xf numFmtId="0" fontId="3" fillId="2" borderId="5" xfId="0" applyFont="1" applyFill="1" applyBorder="1"/>
    <xf numFmtId="0" fontId="3" fillId="2" borderId="6" xfId="0" applyFont="1" applyFill="1" applyBorder="1" applyAlignment="1">
      <alignment horizontal="center"/>
    </xf>
    <xf numFmtId="2" fontId="3" fillId="2" borderId="0" xfId="0" applyNumberFormat="1" applyFont="1" applyFill="1"/>
    <xf numFmtId="0" fontId="21" fillId="2" borderId="0" xfId="0" applyFont="1" applyFill="1"/>
    <xf numFmtId="2" fontId="7" fillId="2" borderId="0" xfId="0" applyNumberFormat="1" applyFont="1" applyFill="1" applyAlignment="1" applyProtection="1">
      <alignment horizontal="center" vertical="center"/>
      <protection locked="0"/>
    </xf>
    <xf numFmtId="2" fontId="10" fillId="2" borderId="0" xfId="0" applyNumberFormat="1" applyFont="1" applyFill="1" applyAlignment="1" applyProtection="1">
      <alignment horizontal="center" vertical="center"/>
      <protection locked="0"/>
    </xf>
    <xf numFmtId="1" fontId="26" fillId="2" borderId="0" xfId="0" applyNumberFormat="1" applyFont="1" applyFill="1" applyBorder="1" applyAlignment="1" applyProtection="1">
      <alignment horizontal="center" vertical="center"/>
      <protection locked="0"/>
    </xf>
    <xf numFmtId="1" fontId="26" fillId="2" borderId="4" xfId="0" applyNumberFormat="1" applyFont="1" applyFill="1" applyBorder="1" applyAlignment="1" applyProtection="1">
      <alignment horizontal="center" vertical="center"/>
      <protection locked="0"/>
    </xf>
    <xf numFmtId="2" fontId="7" fillId="2" borderId="1" xfId="0" applyNumberFormat="1" applyFont="1" applyFill="1" applyBorder="1" applyAlignment="1" applyProtection="1">
      <alignment horizontal="center" vertical="center"/>
      <protection locked="0"/>
    </xf>
    <xf numFmtId="164" fontId="12" fillId="2" borderId="0" xfId="0" applyNumberFormat="1" applyFont="1" applyFill="1" applyAlignment="1" applyProtection="1">
      <alignment horizontal="center" vertical="center"/>
    </xf>
    <xf numFmtId="0" fontId="14" fillId="2" borderId="0" xfId="0" applyFont="1" applyFill="1" applyAlignment="1" applyProtection="1">
      <alignment horizontal="center" vertical="center"/>
    </xf>
    <xf numFmtId="0" fontId="15" fillId="2" borderId="0" xfId="0" applyFont="1" applyFill="1" applyAlignment="1" applyProtection="1">
      <alignment horizontal="center" vertical="center"/>
    </xf>
    <xf numFmtId="2" fontId="15" fillId="2" borderId="0" xfId="0" applyNumberFormat="1" applyFont="1" applyFill="1" applyAlignment="1" applyProtection="1">
      <alignment horizontal="center" vertical="center"/>
    </xf>
    <xf numFmtId="0" fontId="16" fillId="2" borderId="0" xfId="0" applyFont="1" applyFill="1" applyAlignment="1" applyProtection="1">
      <alignment horizontal="left"/>
    </xf>
    <xf numFmtId="0" fontId="3" fillId="2" borderId="0" xfId="0" applyFont="1" applyFill="1" applyAlignment="1" applyProtection="1">
      <alignment horizontal="right"/>
    </xf>
    <xf numFmtId="2" fontId="3" fillId="2" borderId="0" xfId="0" applyNumberFormat="1" applyFont="1" applyFill="1" applyAlignment="1" applyProtection="1">
      <alignment horizontal="center"/>
    </xf>
    <xf numFmtId="0" fontId="3" fillId="2" borderId="0" xfId="0" applyFont="1" applyFill="1" applyProtection="1"/>
    <xf numFmtId="2" fontId="3" fillId="2" borderId="0" xfId="0" applyNumberFormat="1" applyFont="1" applyFill="1" applyAlignment="1" applyProtection="1">
      <alignment horizontal="center" vertical="center"/>
    </xf>
    <xf numFmtId="0" fontId="0" fillId="2" borderId="0" xfId="0" applyFont="1" applyFill="1" applyBorder="1"/>
    <xf numFmtId="2" fontId="3" fillId="2" borderId="0" xfId="0" applyNumberFormat="1" applyFont="1" applyFill="1" applyBorder="1" applyAlignment="1">
      <alignment horizontal="center"/>
    </xf>
    <xf numFmtId="0" fontId="32" fillId="2" borderId="0" xfId="0" applyFont="1" applyFill="1" applyBorder="1"/>
    <xf numFmtId="0" fontId="0" fillId="2" borderId="0" xfId="0" applyFill="1" applyBorder="1"/>
    <xf numFmtId="0" fontId="2" fillId="2" borderId="0" xfId="0" applyFont="1" applyFill="1" applyBorder="1" applyAlignment="1">
      <alignment horizontal="right"/>
    </xf>
    <xf numFmtId="0" fontId="2" fillId="2" borderId="0" xfId="0" applyFont="1" applyFill="1" applyBorder="1" applyAlignment="1">
      <alignment horizontal="center"/>
    </xf>
    <xf numFmtId="2" fontId="2" fillId="2" borderId="0" xfId="0" applyNumberFormat="1" applyFont="1" applyFill="1" applyBorder="1" applyAlignment="1">
      <alignment horizontal="center"/>
    </xf>
    <xf numFmtId="0" fontId="35" fillId="2" borderId="0" xfId="0" applyFont="1" applyFill="1" applyBorder="1" applyAlignment="1">
      <alignment horizontal="left"/>
    </xf>
    <xf numFmtId="0" fontId="1" fillId="2" borderId="0" xfId="0" applyFont="1" applyFill="1" applyBorder="1"/>
    <xf numFmtId="0" fontId="3" fillId="3" borderId="0" xfId="0" applyFont="1" applyFill="1"/>
    <xf numFmtId="0" fontId="22" fillId="4" borderId="10" xfId="0" applyFont="1" applyFill="1" applyBorder="1" applyAlignment="1">
      <alignment horizontal="center"/>
    </xf>
    <xf numFmtId="2" fontId="3" fillId="4" borderId="10" xfId="0" applyNumberFormat="1" applyFont="1" applyFill="1" applyBorder="1" applyAlignment="1">
      <alignment horizontal="center"/>
    </xf>
    <xf numFmtId="1" fontId="3" fillId="4" borderId="10" xfId="0" applyNumberFormat="1" applyFont="1" applyFill="1" applyBorder="1" applyAlignment="1">
      <alignment horizontal="center"/>
    </xf>
    <xf numFmtId="1" fontId="16" fillId="4" borderId="11" xfId="0" applyNumberFormat="1" applyFont="1" applyFill="1" applyBorder="1" applyAlignment="1">
      <alignment horizontal="center"/>
    </xf>
    <xf numFmtId="0" fontId="22" fillId="4" borderId="4" xfId="0" applyFont="1" applyFill="1" applyBorder="1" applyAlignment="1">
      <alignment horizontal="center"/>
    </xf>
    <xf numFmtId="2" fontId="3" fillId="4" borderId="4" xfId="0" applyNumberFormat="1" applyFont="1" applyFill="1" applyBorder="1" applyAlignment="1">
      <alignment horizontal="center"/>
    </xf>
    <xf numFmtId="2" fontId="16" fillId="4" borderId="7" xfId="0" applyNumberFormat="1" applyFont="1" applyFill="1" applyBorder="1" applyAlignment="1">
      <alignment horizontal="center"/>
    </xf>
    <xf numFmtId="0" fontId="3" fillId="4" borderId="1" xfId="0" applyFont="1" applyFill="1" applyBorder="1" applyAlignment="1">
      <alignment horizontal="center"/>
    </xf>
    <xf numFmtId="2" fontId="3" fillId="4" borderId="1" xfId="0" applyNumberFormat="1" applyFont="1" applyFill="1" applyBorder="1" applyAlignment="1">
      <alignment horizontal="center"/>
    </xf>
    <xf numFmtId="2" fontId="16" fillId="4" borderId="2" xfId="0" applyNumberFormat="1" applyFont="1" applyFill="1" applyBorder="1" applyAlignment="1">
      <alignment horizontal="center"/>
    </xf>
    <xf numFmtId="2" fontId="3" fillId="4" borderId="10" xfId="0" applyNumberFormat="1" applyFont="1" applyFill="1" applyBorder="1" applyAlignment="1">
      <alignment horizontal="center" vertical="center"/>
    </xf>
    <xf numFmtId="1" fontId="3" fillId="4" borderId="10" xfId="0" applyNumberFormat="1" applyFont="1" applyFill="1" applyBorder="1" applyAlignment="1">
      <alignment horizontal="center" vertical="center"/>
    </xf>
    <xf numFmtId="2" fontId="16" fillId="4" borderId="11" xfId="0" applyNumberFormat="1" applyFont="1" applyFill="1" applyBorder="1" applyAlignment="1">
      <alignment horizontal="center" vertical="center"/>
    </xf>
    <xf numFmtId="0" fontId="3" fillId="4" borderId="4" xfId="0" applyFont="1" applyFill="1" applyBorder="1" applyAlignment="1">
      <alignment horizontal="center"/>
    </xf>
    <xf numFmtId="1" fontId="3" fillId="4" borderId="4" xfId="0" applyNumberFormat="1" applyFont="1" applyFill="1" applyBorder="1" applyAlignment="1">
      <alignment horizontal="center" vertical="center"/>
    </xf>
    <xf numFmtId="1" fontId="16" fillId="4" borderId="7" xfId="0" applyNumberFormat="1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2" fontId="3" fillId="4" borderId="1" xfId="0" applyNumberFormat="1" applyFont="1" applyFill="1" applyBorder="1" applyAlignment="1">
      <alignment horizontal="center" vertical="center"/>
    </xf>
    <xf numFmtId="2" fontId="16" fillId="4" borderId="2" xfId="0" applyNumberFormat="1" applyFont="1" applyFill="1" applyBorder="1" applyAlignment="1">
      <alignment horizontal="center" vertical="center"/>
    </xf>
    <xf numFmtId="0" fontId="22" fillId="4" borderId="10" xfId="0" applyFont="1" applyFill="1" applyBorder="1"/>
    <xf numFmtId="2" fontId="3" fillId="4" borderId="10" xfId="0" applyNumberFormat="1" applyFont="1" applyFill="1" applyBorder="1"/>
    <xf numFmtId="1" fontId="3" fillId="4" borderId="10" xfId="0" applyNumberFormat="1" applyFont="1" applyFill="1" applyBorder="1" applyAlignment="1">
      <alignment vertical="center"/>
    </xf>
    <xf numFmtId="1" fontId="3" fillId="4" borderId="10" xfId="0" applyNumberFormat="1" applyFont="1" applyFill="1" applyBorder="1"/>
    <xf numFmtId="0" fontId="22" fillId="4" borderId="4" xfId="0" applyFont="1" applyFill="1" applyBorder="1"/>
    <xf numFmtId="2" fontId="3" fillId="4" borderId="4" xfId="0" applyNumberFormat="1" applyFont="1" applyFill="1" applyBorder="1" applyAlignment="1">
      <alignment horizontal="center" vertical="center"/>
    </xf>
    <xf numFmtId="2" fontId="3" fillId="4" borderId="4" xfId="0" applyNumberFormat="1" applyFont="1" applyFill="1" applyBorder="1"/>
    <xf numFmtId="1" fontId="3" fillId="4" borderId="4" xfId="0" applyNumberFormat="1" applyFont="1" applyFill="1" applyBorder="1" applyAlignment="1">
      <alignment vertical="center"/>
    </xf>
    <xf numFmtId="1" fontId="3" fillId="4" borderId="4" xfId="0" applyNumberFormat="1" applyFont="1" applyFill="1" applyBorder="1"/>
    <xf numFmtId="1" fontId="16" fillId="4" borderId="7" xfId="0" applyNumberFormat="1" applyFont="1" applyFill="1" applyBorder="1" applyAlignment="1">
      <alignment horizontal="center"/>
    </xf>
    <xf numFmtId="0" fontId="3" fillId="4" borderId="1" xfId="0" applyFont="1" applyFill="1" applyBorder="1"/>
    <xf numFmtId="0" fontId="3" fillId="4" borderId="1" xfId="0" applyFont="1" applyFill="1" applyBorder="1" applyAlignment="1">
      <alignment vertical="center"/>
    </xf>
    <xf numFmtId="1" fontId="3" fillId="4" borderId="4" xfId="0" applyNumberFormat="1" applyFont="1" applyFill="1" applyBorder="1" applyAlignment="1">
      <alignment horizontal="center"/>
    </xf>
    <xf numFmtId="0" fontId="3" fillId="5" borderId="10" xfId="0" applyFont="1" applyFill="1" applyBorder="1"/>
    <xf numFmtId="0" fontId="16" fillId="5" borderId="11" xfId="0" applyFont="1" applyFill="1" applyBorder="1" applyAlignment="1">
      <alignment horizontal="center"/>
    </xf>
    <xf numFmtId="2" fontId="3" fillId="5" borderId="4" xfId="0" applyNumberFormat="1" applyFont="1" applyFill="1" applyBorder="1"/>
    <xf numFmtId="2" fontId="16" fillId="5" borderId="7" xfId="0" applyNumberFormat="1" applyFont="1" applyFill="1" applyBorder="1" applyAlignment="1">
      <alignment horizontal="center"/>
    </xf>
    <xf numFmtId="2" fontId="3" fillId="5" borderId="10" xfId="0" applyNumberFormat="1" applyFont="1" applyFill="1" applyBorder="1"/>
    <xf numFmtId="2" fontId="16" fillId="5" borderId="11" xfId="0" applyNumberFormat="1" applyFont="1" applyFill="1" applyBorder="1" applyAlignment="1">
      <alignment horizontal="center"/>
    </xf>
    <xf numFmtId="2" fontId="3" fillId="5" borderId="4" xfId="0" applyNumberFormat="1" applyFont="1" applyFill="1" applyBorder="1" applyAlignment="1">
      <alignment wrapText="1"/>
    </xf>
    <xf numFmtId="2" fontId="3" fillId="5" borderId="4" xfId="0" applyNumberFormat="1" applyFont="1" applyFill="1" applyBorder="1" applyAlignment="1">
      <alignment horizontal="left"/>
    </xf>
    <xf numFmtId="2" fontId="16" fillId="5" borderId="7" xfId="0" applyNumberFormat="1" applyFont="1" applyFill="1" applyBorder="1" applyAlignment="1">
      <alignment horizontal="center" wrapText="1"/>
    </xf>
    <xf numFmtId="0" fontId="3" fillId="6" borderId="0" xfId="0" applyFont="1" applyFill="1"/>
    <xf numFmtId="0" fontId="3" fillId="6" borderId="10" xfId="0" applyFont="1" applyFill="1" applyBorder="1" applyAlignment="1">
      <alignment horizontal="center"/>
    </xf>
    <xf numFmtId="0" fontId="3" fillId="6" borderId="10" xfId="0" applyFont="1" applyFill="1" applyBorder="1" applyAlignment="1">
      <alignment horizontal="left"/>
    </xf>
    <xf numFmtId="0" fontId="16" fillId="6" borderId="11" xfId="0" applyFont="1" applyFill="1" applyBorder="1" applyAlignment="1">
      <alignment horizontal="center"/>
    </xf>
    <xf numFmtId="0" fontId="3" fillId="6" borderId="4" xfId="0" applyFont="1" applyFill="1" applyBorder="1" applyAlignment="1">
      <alignment horizontal="center" vertical="center"/>
    </xf>
    <xf numFmtId="165" fontId="3" fillId="6" borderId="4" xfId="0" applyNumberFormat="1" applyFont="1" applyFill="1" applyBorder="1" applyAlignment="1">
      <alignment horizontal="center"/>
    </xf>
    <xf numFmtId="165" fontId="16" fillId="6" borderId="7" xfId="0" applyNumberFormat="1" applyFont="1" applyFill="1" applyBorder="1" applyAlignment="1">
      <alignment horizontal="center"/>
    </xf>
    <xf numFmtId="0" fontId="25" fillId="2" borderId="0" xfId="0" applyFont="1" applyFill="1" applyBorder="1"/>
    <xf numFmtId="0" fontId="36" fillId="2" borderId="0" xfId="0" applyFont="1" applyFill="1"/>
    <xf numFmtId="2" fontId="10" fillId="2" borderId="5" xfId="0" applyNumberFormat="1" applyFont="1" applyFill="1" applyBorder="1" applyAlignment="1" applyProtection="1">
      <alignment horizontal="center"/>
      <protection locked="0"/>
    </xf>
    <xf numFmtId="164" fontId="10" fillId="2" borderId="5" xfId="0" applyNumberFormat="1" applyFont="1" applyFill="1" applyBorder="1" applyAlignment="1" applyProtection="1">
      <alignment horizontal="center"/>
      <protection locked="0"/>
    </xf>
    <xf numFmtId="165" fontId="26" fillId="2" borderId="3" xfId="0" applyNumberFormat="1" applyFont="1" applyFill="1" applyBorder="1" applyAlignment="1" applyProtection="1">
      <alignment horizontal="center" vertical="center"/>
      <protection locked="0"/>
    </xf>
    <xf numFmtId="165" fontId="26" fillId="2" borderId="7" xfId="0" applyNumberFormat="1" applyFont="1" applyFill="1" applyBorder="1" applyAlignment="1" applyProtection="1">
      <alignment horizontal="center" vertical="center"/>
      <protection locked="0"/>
    </xf>
    <xf numFmtId="0" fontId="38" fillId="2" borderId="0" xfId="0" applyFont="1" applyFill="1"/>
    <xf numFmtId="2" fontId="39" fillId="2" borderId="0" xfId="0" applyNumberFormat="1" applyFont="1" applyFill="1" applyAlignment="1">
      <alignment horizontal="center" vertical="center"/>
    </xf>
    <xf numFmtId="164" fontId="39" fillId="2" borderId="0" xfId="0" applyNumberFormat="1" applyFont="1" applyFill="1" applyAlignment="1">
      <alignment horizontal="center" vertical="center"/>
    </xf>
    <xf numFmtId="0" fontId="39" fillId="2" borderId="0" xfId="0" applyFont="1" applyFill="1"/>
    <xf numFmtId="165" fontId="26" fillId="2" borderId="0" xfId="0" applyNumberFormat="1" applyFont="1" applyFill="1" applyBorder="1" applyAlignment="1" applyProtection="1">
      <alignment horizontal="center" vertical="center"/>
      <protection locked="0"/>
    </xf>
    <xf numFmtId="0" fontId="40" fillId="2" borderId="0" xfId="0" applyFont="1" applyFill="1"/>
    <xf numFmtId="165" fontId="2" fillId="2" borderId="0" xfId="0" applyNumberFormat="1" applyFont="1" applyFill="1" applyBorder="1" applyAlignment="1">
      <alignment horizontal="center"/>
    </xf>
    <xf numFmtId="49" fontId="2" fillId="2" borderId="0" xfId="0" applyNumberFormat="1" applyFont="1" applyFill="1"/>
    <xf numFmtId="0" fontId="41" fillId="2" borderId="0" xfId="0" applyFont="1" applyFill="1"/>
    <xf numFmtId="0" fontId="37" fillId="2" borderId="0" xfId="0" applyFont="1" applyFill="1"/>
    <xf numFmtId="0" fontId="16" fillId="2" borderId="12" xfId="0" applyFont="1" applyFill="1" applyBorder="1" applyAlignment="1">
      <alignment vertical="center" wrapText="1"/>
    </xf>
    <xf numFmtId="2" fontId="1" fillId="2" borderId="0" xfId="0" applyNumberFormat="1" applyFont="1" applyFill="1" applyBorder="1" applyAlignment="1">
      <alignment horizontal="center"/>
    </xf>
    <xf numFmtId="2" fontId="1" fillId="2" borderId="0" xfId="0" applyNumberFormat="1" applyFont="1" applyFill="1" applyBorder="1"/>
    <xf numFmtId="0" fontId="2" fillId="2" borderId="13" xfId="0" applyFont="1" applyFill="1" applyBorder="1"/>
    <xf numFmtId="2" fontId="2" fillId="2" borderId="13" xfId="0" applyNumberFormat="1" applyFont="1" applyFill="1" applyBorder="1"/>
    <xf numFmtId="2" fontId="2" fillId="2" borderId="0" xfId="0" applyNumberFormat="1" applyFont="1" applyFill="1" applyBorder="1"/>
    <xf numFmtId="0" fontId="25" fillId="2" borderId="0" xfId="0" applyFont="1" applyFill="1" applyBorder="1" applyAlignment="1">
      <alignment wrapText="1"/>
    </xf>
    <xf numFmtId="1" fontId="26" fillId="7" borderId="0" xfId="0" applyNumberFormat="1" applyFont="1" applyFill="1" applyBorder="1" applyAlignment="1" applyProtection="1">
      <alignment horizontal="center" vertical="center"/>
      <protection locked="0"/>
    </xf>
    <xf numFmtId="0" fontId="3" fillId="7" borderId="0" xfId="0" applyFont="1" applyFill="1" applyBorder="1"/>
    <xf numFmtId="2" fontId="26" fillId="7" borderId="0" xfId="0" applyNumberFormat="1" applyFont="1" applyFill="1" applyBorder="1" applyAlignment="1" applyProtection="1">
      <alignment horizontal="center" vertical="center"/>
      <protection locked="0"/>
    </xf>
    <xf numFmtId="0" fontId="2" fillId="7" borderId="0" xfId="0" applyFont="1" applyFill="1" applyBorder="1"/>
    <xf numFmtId="0" fontId="3" fillId="7" borderId="0" xfId="0" applyFont="1" applyFill="1" applyBorder="1" applyAlignment="1">
      <alignment horizontal="right"/>
    </xf>
    <xf numFmtId="165" fontId="26" fillId="7" borderId="0" xfId="0" applyNumberFormat="1" applyFont="1" applyFill="1" applyBorder="1" applyAlignment="1" applyProtection="1">
      <alignment horizontal="center" vertical="center"/>
      <protection locked="0"/>
    </xf>
    <xf numFmtId="0" fontId="16" fillId="7" borderId="0" xfId="0" applyFont="1" applyFill="1" applyBorder="1"/>
    <xf numFmtId="0" fontId="21" fillId="7" borderId="0" xfId="0" applyFont="1" applyFill="1" applyBorder="1" applyAlignment="1" applyProtection="1">
      <alignment horizontal="center"/>
      <protection locked="0"/>
    </xf>
    <xf numFmtId="0" fontId="22" fillId="7" borderId="0" xfId="0" applyFont="1" applyFill="1" applyBorder="1" applyAlignment="1">
      <alignment horizontal="center"/>
    </xf>
    <xf numFmtId="2" fontId="3" fillId="7" borderId="0" xfId="0" applyNumberFormat="1" applyFont="1" applyFill="1" applyBorder="1" applyAlignment="1">
      <alignment horizontal="center"/>
    </xf>
    <xf numFmtId="0" fontId="3" fillId="7" borderId="0" xfId="0" applyFont="1" applyFill="1" applyBorder="1" applyAlignment="1" applyProtection="1">
      <alignment horizontal="center"/>
      <protection locked="0"/>
    </xf>
    <xf numFmtId="0" fontId="3" fillId="7" borderId="0" xfId="0" applyFont="1" applyFill="1" applyBorder="1" applyAlignment="1">
      <alignment horizontal="center"/>
    </xf>
    <xf numFmtId="0" fontId="21" fillId="7" borderId="0" xfId="0" applyFont="1" applyFill="1" applyBorder="1" applyAlignment="1">
      <alignment horizontal="center" vertical="center"/>
    </xf>
    <xf numFmtId="165" fontId="3" fillId="7" borderId="0" xfId="0" applyNumberFormat="1" applyFont="1" applyFill="1" applyBorder="1" applyAlignment="1">
      <alignment horizontal="center" vertical="center"/>
    </xf>
    <xf numFmtId="2" fontId="3" fillId="7" borderId="0" xfId="0" applyNumberFormat="1" applyFont="1" applyFill="1" applyBorder="1" applyAlignment="1">
      <alignment horizontal="center" vertical="center"/>
    </xf>
    <xf numFmtId="165" fontId="3" fillId="7" borderId="0" xfId="0" applyNumberFormat="1" applyFont="1" applyFill="1" applyBorder="1" applyAlignment="1">
      <alignment horizontal="center"/>
    </xf>
    <xf numFmtId="0" fontId="3" fillId="7" borderId="0" xfId="0" applyFont="1" applyFill="1" applyBorder="1" applyAlignment="1">
      <alignment horizontal="center" vertical="center"/>
    </xf>
    <xf numFmtId="0" fontId="22" fillId="7" borderId="0" xfId="0" applyFont="1" applyFill="1" applyBorder="1"/>
    <xf numFmtId="2" fontId="3" fillId="7" borderId="0" xfId="0" applyNumberFormat="1" applyFont="1" applyFill="1" applyBorder="1"/>
    <xf numFmtId="0" fontId="22" fillId="7" borderId="0" xfId="0" applyFont="1" applyFill="1" applyBorder="1" applyAlignment="1"/>
    <xf numFmtId="0" fontId="3" fillId="7" borderId="0" xfId="0" applyFont="1" applyFill="1" applyBorder="1" applyAlignment="1"/>
    <xf numFmtId="0" fontId="3" fillId="7" borderId="0" xfId="0" applyFont="1" applyFill="1" applyBorder="1" applyAlignment="1">
      <alignment wrapText="1"/>
    </xf>
    <xf numFmtId="2" fontId="3" fillId="7" borderId="0" xfId="0" applyNumberFormat="1" applyFont="1" applyFill="1" applyBorder="1" applyAlignment="1">
      <alignment wrapText="1"/>
    </xf>
    <xf numFmtId="165" fontId="2" fillId="7" borderId="0" xfId="0" applyNumberFormat="1" applyFont="1" applyFill="1" applyBorder="1" applyAlignment="1">
      <alignment horizontal="center"/>
    </xf>
    <xf numFmtId="0" fontId="3" fillId="7" borderId="0" xfId="0" applyFont="1" applyFill="1" applyBorder="1" applyAlignment="1">
      <alignment horizontal="right"/>
    </xf>
    <xf numFmtId="2" fontId="3" fillId="7" borderId="0" xfId="0" applyNumberFormat="1" applyFont="1" applyFill="1" applyBorder="1" applyAlignment="1">
      <alignment horizontal="center"/>
    </xf>
    <xf numFmtId="0" fontId="3" fillId="7" borderId="0" xfId="0" applyFont="1" applyFill="1"/>
    <xf numFmtId="0" fontId="8" fillId="7" borderId="0" xfId="0" applyFont="1" applyFill="1" applyAlignment="1">
      <alignment horizontal="right"/>
    </xf>
    <xf numFmtId="2" fontId="7" fillId="7" borderId="0" xfId="0" applyNumberFormat="1" applyFont="1" applyFill="1" applyAlignment="1" applyProtection="1">
      <alignment horizontal="center" vertical="center"/>
      <protection locked="0"/>
    </xf>
    <xf numFmtId="0" fontId="3" fillId="7" borderId="0" xfId="0" applyFont="1" applyFill="1" applyAlignment="1">
      <alignment horizontal="right"/>
    </xf>
    <xf numFmtId="164" fontId="7" fillId="7" borderId="0" xfId="0" applyNumberFormat="1" applyFont="1" applyFill="1" applyAlignment="1" applyProtection="1">
      <alignment horizontal="center" vertical="center"/>
    </xf>
    <xf numFmtId="2" fontId="3" fillId="2" borderId="0" xfId="0" applyNumberFormat="1" applyFont="1" applyFill="1" applyBorder="1" applyAlignment="1">
      <alignment horizontal="center"/>
    </xf>
    <xf numFmtId="2" fontId="7" fillId="2" borderId="0" xfId="0" applyNumberFormat="1" applyFont="1" applyFill="1" applyAlignment="1" applyProtection="1">
      <alignment horizontal="center" vertical="center"/>
    </xf>
    <xf numFmtId="2" fontId="10" fillId="2" borderId="0" xfId="0" applyNumberFormat="1" applyFont="1" applyFill="1" applyAlignment="1" applyProtection="1">
      <alignment horizontal="center" vertical="center"/>
    </xf>
    <xf numFmtId="165" fontId="3" fillId="6" borderId="0" xfId="0" applyNumberFormat="1" applyFont="1" applyFill="1" applyBorder="1" applyAlignment="1">
      <alignment horizontal="left"/>
    </xf>
    <xf numFmtId="165" fontId="3" fillId="6" borderId="0" xfId="0" applyNumberFormat="1" applyFont="1" applyFill="1" applyBorder="1" applyAlignment="1">
      <alignment horizontal="center"/>
    </xf>
    <xf numFmtId="165" fontId="16" fillId="6" borderId="3" xfId="0" applyNumberFormat="1" applyFont="1" applyFill="1" applyBorder="1" applyAlignment="1">
      <alignment horizontal="center"/>
    </xf>
    <xf numFmtId="164" fontId="3" fillId="2" borderId="11" xfId="0" applyNumberFormat="1" applyFont="1" applyFill="1" applyBorder="1" applyAlignment="1" applyProtection="1">
      <alignment horizontal="center" vertical="center"/>
      <protection hidden="1"/>
    </xf>
    <xf numFmtId="164" fontId="12" fillId="2" borderId="7" xfId="0" applyNumberFormat="1" applyFont="1" applyFill="1" applyBorder="1" applyAlignment="1" applyProtection="1">
      <alignment horizontal="center" vertical="center"/>
    </xf>
    <xf numFmtId="164" fontId="3" fillId="2" borderId="11" xfId="0" applyNumberFormat="1" applyFont="1" applyFill="1" applyBorder="1" applyAlignment="1">
      <alignment horizontal="center" vertical="center"/>
    </xf>
    <xf numFmtId="164" fontId="12" fillId="2" borderId="3" xfId="0" applyNumberFormat="1" applyFont="1" applyFill="1" applyBorder="1" applyAlignment="1" applyProtection="1">
      <alignment horizontal="center" vertical="center"/>
    </xf>
    <xf numFmtId="164" fontId="12" fillId="2" borderId="0" xfId="0" applyNumberFormat="1" applyFont="1" applyFill="1" applyBorder="1" applyAlignment="1" applyProtection="1">
      <alignment horizontal="center" vertical="center"/>
    </xf>
    <xf numFmtId="164" fontId="3" fillId="2" borderId="7" xfId="0" applyNumberFormat="1" applyFont="1" applyFill="1" applyBorder="1" applyAlignment="1">
      <alignment horizontal="center"/>
    </xf>
    <xf numFmtId="164" fontId="3" fillId="2" borderId="3" xfId="0" applyNumberFormat="1" applyFont="1" applyFill="1" applyBorder="1" applyAlignment="1">
      <alignment horizontal="center"/>
    </xf>
    <xf numFmtId="164" fontId="12" fillId="2" borderId="10" xfId="0" applyNumberFormat="1" applyFont="1" applyFill="1" applyBorder="1" applyAlignment="1" applyProtection="1">
      <alignment horizontal="center" vertical="center"/>
    </xf>
    <xf numFmtId="164" fontId="3" fillId="2" borderId="4" xfId="0" applyNumberFormat="1" applyFont="1" applyFill="1" applyBorder="1" applyAlignment="1">
      <alignment horizontal="center"/>
    </xf>
    <xf numFmtId="0" fontId="3" fillId="2" borderId="3" xfId="0" applyFont="1" applyFill="1" applyBorder="1"/>
    <xf numFmtId="0" fontId="1" fillId="2" borderId="3" xfId="0" applyFont="1" applyFill="1" applyBorder="1" applyAlignment="1">
      <alignment horizontal="left"/>
    </xf>
    <xf numFmtId="0" fontId="3" fillId="2" borderId="7" xfId="0" applyFont="1" applyFill="1" applyBorder="1" applyAlignment="1">
      <alignment horizontal="center" vertical="center"/>
    </xf>
    <xf numFmtId="0" fontId="45" fillId="2" borderId="0" xfId="0" applyFont="1" applyFill="1"/>
    <xf numFmtId="0" fontId="3" fillId="0" borderId="0" xfId="0" applyFont="1" applyFill="1" applyAlignment="1">
      <alignment horizontal="center" vertical="center"/>
    </xf>
    <xf numFmtId="0" fontId="3" fillId="0" borderId="0" xfId="0" applyFont="1" applyFill="1"/>
    <xf numFmtId="2" fontId="3" fillId="2" borderId="0" xfId="0" applyNumberFormat="1" applyFont="1" applyFill="1" applyBorder="1" applyAlignment="1">
      <alignment horizontal="right"/>
    </xf>
    <xf numFmtId="0" fontId="3" fillId="0" borderId="8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3" fillId="2" borderId="2" xfId="0" applyFont="1" applyFill="1" applyBorder="1" applyAlignment="1">
      <alignment horizontal="left"/>
    </xf>
    <xf numFmtId="0" fontId="16" fillId="2" borderId="0" xfId="0" applyFont="1" applyFill="1" applyBorder="1"/>
    <xf numFmtId="164" fontId="3" fillId="2" borderId="0" xfId="0" applyNumberFormat="1" applyFont="1" applyFill="1" applyBorder="1" applyAlignment="1">
      <alignment horizontal="center" vertical="center"/>
    </xf>
    <xf numFmtId="0" fontId="13" fillId="7" borderId="0" xfId="0" applyFont="1" applyFill="1" applyAlignment="1">
      <alignment horizontal="right"/>
    </xf>
    <xf numFmtId="0" fontId="0" fillId="0" borderId="0" xfId="0" applyAlignment="1">
      <alignment horizontal="left" vertical="center" wrapText="1"/>
    </xf>
    <xf numFmtId="0" fontId="0" fillId="0" borderId="5" xfId="0" applyBorder="1" applyAlignment="1">
      <alignment horizontal="left" vertical="center" wrapText="1"/>
    </xf>
    <xf numFmtId="0" fontId="47" fillId="0" borderId="5" xfId="0" applyFont="1" applyBorder="1" applyAlignment="1">
      <alignment horizontal="center" vertical="center"/>
    </xf>
    <xf numFmtId="2" fontId="0" fillId="0" borderId="5" xfId="0" applyNumberFormat="1" applyBorder="1" applyAlignment="1">
      <alignment horizontal="center" vertical="center"/>
    </xf>
    <xf numFmtId="2" fontId="50" fillId="9" borderId="5" xfId="0" applyNumberFormat="1" applyFont="1" applyFill="1" applyBorder="1" applyAlignment="1">
      <alignment horizontal="center" vertical="center"/>
    </xf>
    <xf numFmtId="0" fontId="3" fillId="2" borderId="0" xfId="0" applyFont="1" applyFill="1" applyBorder="1" applyAlignment="1">
      <alignment horizontal="left"/>
    </xf>
    <xf numFmtId="2" fontId="3" fillId="2" borderId="0" xfId="0" applyNumberFormat="1" applyFont="1" applyFill="1" applyBorder="1" applyAlignment="1">
      <alignment horizontal="center"/>
    </xf>
    <xf numFmtId="0" fontId="9" fillId="10" borderId="0" xfId="0" applyFont="1" applyFill="1" applyBorder="1" applyAlignment="1">
      <alignment horizontal="center" vertical="center"/>
    </xf>
    <xf numFmtId="2" fontId="3" fillId="10" borderId="0" xfId="0" applyNumberFormat="1" applyFont="1" applyFill="1" applyBorder="1" applyAlignment="1">
      <alignment horizontal="center" vertical="center"/>
    </xf>
    <xf numFmtId="1" fontId="3" fillId="10" borderId="0" xfId="0" applyNumberFormat="1" applyFont="1" applyFill="1" applyBorder="1" applyAlignment="1">
      <alignment horizontal="center" vertical="center"/>
    </xf>
    <xf numFmtId="0" fontId="3" fillId="10" borderId="0" xfId="0" applyFont="1" applyFill="1"/>
    <xf numFmtId="0" fontId="3" fillId="10" borderId="0" xfId="0" applyFont="1" applyFill="1" applyBorder="1"/>
    <xf numFmtId="0" fontId="16" fillId="10" borderId="0" xfId="0" applyFont="1" applyFill="1" applyBorder="1"/>
    <xf numFmtId="0" fontId="3" fillId="2" borderId="0" xfId="0" applyFont="1" applyFill="1" applyBorder="1" applyAlignment="1">
      <alignment horizontal="left"/>
    </xf>
    <xf numFmtId="2" fontId="3" fillId="2" borderId="0" xfId="0" applyNumberFormat="1" applyFont="1" applyFill="1" applyBorder="1" applyAlignment="1">
      <alignment horizontal="center"/>
    </xf>
    <xf numFmtId="0" fontId="2" fillId="7" borderId="0" xfId="0" applyFont="1" applyFill="1" applyBorder="1" applyAlignment="1">
      <alignment horizontal="center"/>
    </xf>
    <xf numFmtId="0" fontId="3" fillId="7" borderId="0" xfId="0" applyFont="1" applyFill="1" applyBorder="1" applyAlignment="1">
      <alignment horizontal="right"/>
    </xf>
    <xf numFmtId="0" fontId="3" fillId="2" borderId="0" xfId="0" applyFont="1" applyFill="1" applyBorder="1" applyAlignment="1">
      <alignment horizontal="center"/>
    </xf>
    <xf numFmtId="0" fontId="3" fillId="2" borderId="0" xfId="0" applyFont="1" applyFill="1" applyBorder="1" applyAlignment="1">
      <alignment horizontal="left"/>
    </xf>
    <xf numFmtId="2" fontId="3" fillId="2" borderId="0" xfId="0" applyNumberFormat="1" applyFont="1" applyFill="1" applyBorder="1" applyAlignment="1">
      <alignment horizontal="center"/>
    </xf>
    <xf numFmtId="0" fontId="3" fillId="2" borderId="0" xfId="0" applyFont="1" applyFill="1" applyBorder="1" applyAlignment="1">
      <alignment horizontal="left"/>
    </xf>
    <xf numFmtId="2" fontId="3" fillId="2" borderId="0" xfId="0" applyNumberFormat="1" applyFont="1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2" fontId="1" fillId="2" borderId="21" xfId="0" applyNumberFormat="1" applyFont="1" applyFill="1" applyBorder="1" applyAlignment="1"/>
    <xf numFmtId="0" fontId="2" fillId="2" borderId="0" xfId="0" applyFont="1" applyFill="1" applyBorder="1" applyAlignment="1">
      <alignment horizontal="left"/>
    </xf>
    <xf numFmtId="0" fontId="11" fillId="2" borderId="0" xfId="0" applyFont="1" applyFill="1" applyBorder="1" applyAlignment="1">
      <alignment horizontal="left"/>
    </xf>
    <xf numFmtId="0" fontId="10" fillId="2" borderId="0" xfId="0" applyFont="1" applyFill="1" applyBorder="1" applyAlignment="1">
      <alignment horizontal="center" vertical="center"/>
    </xf>
    <xf numFmtId="2" fontId="10" fillId="2" borderId="0" xfId="0" applyNumberFormat="1" applyFont="1" applyFill="1" applyBorder="1" applyAlignment="1">
      <alignment horizontal="center"/>
    </xf>
    <xf numFmtId="0" fontId="10" fillId="2" borderId="0" xfId="0" applyFont="1" applyFill="1" applyBorder="1"/>
    <xf numFmtId="2" fontId="10" fillId="2" borderId="0" xfId="0" applyNumberFormat="1" applyFont="1" applyFill="1" applyBorder="1" applyAlignment="1">
      <alignment horizontal="center" vertical="center"/>
    </xf>
    <xf numFmtId="2" fontId="3" fillId="2" borderId="0" xfId="0" applyNumberFormat="1" applyFont="1" applyFill="1" applyBorder="1" applyAlignment="1">
      <alignment horizontal="center"/>
    </xf>
    <xf numFmtId="0" fontId="2" fillId="2" borderId="0" xfId="0" applyFont="1" applyFill="1" applyBorder="1" applyAlignment="1">
      <alignment horizontal="center"/>
    </xf>
    <xf numFmtId="0" fontId="53" fillId="2" borderId="0" xfId="0" applyFont="1" applyFill="1" applyBorder="1" applyAlignment="1">
      <alignment horizontal="left"/>
    </xf>
    <xf numFmtId="0" fontId="54" fillId="2" borderId="0" xfId="0" applyFont="1" applyFill="1"/>
    <xf numFmtId="0" fontId="10" fillId="2" borderId="0" xfId="0" applyFont="1" applyFill="1"/>
    <xf numFmtId="0" fontId="2" fillId="7" borderId="0" xfId="0" applyFont="1" applyFill="1"/>
    <xf numFmtId="2" fontId="10" fillId="7" borderId="0" xfId="0" applyNumberFormat="1" applyFont="1" applyFill="1" applyBorder="1" applyAlignment="1">
      <alignment horizontal="center"/>
    </xf>
    <xf numFmtId="0" fontId="10" fillId="7" borderId="0" xfId="0" applyFont="1" applyFill="1" applyBorder="1" applyAlignment="1">
      <alignment horizontal="right" vertical="center"/>
    </xf>
    <xf numFmtId="2" fontId="10" fillId="7" borderId="4" xfId="0" applyNumberFormat="1" applyFont="1" applyFill="1" applyBorder="1" applyAlignment="1">
      <alignment horizontal="center" vertical="center"/>
    </xf>
    <xf numFmtId="0" fontId="10" fillId="7" borderId="0" xfId="0" applyFont="1" applyFill="1" applyBorder="1" applyAlignment="1">
      <alignment horizontal="center" vertical="center"/>
    </xf>
    <xf numFmtId="2" fontId="10" fillId="7" borderId="0" xfId="0" applyNumberFormat="1" applyFont="1" applyFill="1" applyBorder="1" applyAlignment="1">
      <alignment horizontal="center" vertical="center"/>
    </xf>
    <xf numFmtId="0" fontId="10" fillId="7" borderId="0" xfId="0" applyFont="1" applyFill="1" applyBorder="1"/>
    <xf numFmtId="164" fontId="10" fillId="2" borderId="0" xfId="0" applyNumberFormat="1" applyFont="1" applyFill="1" applyBorder="1" applyAlignment="1">
      <alignment horizontal="center" vertical="center"/>
    </xf>
    <xf numFmtId="2" fontId="55" fillId="11" borderId="22" xfId="0" applyNumberFormat="1" applyFont="1" applyFill="1" applyBorder="1" applyAlignment="1" applyProtection="1">
      <alignment horizontal="center" vertical="center"/>
      <protection locked="0"/>
    </xf>
    <xf numFmtId="0" fontId="2" fillId="0" borderId="0" xfId="0" applyFont="1" applyFill="1"/>
    <xf numFmtId="2" fontId="55" fillId="0" borderId="0" xfId="0" applyNumberFormat="1" applyFont="1" applyFill="1" applyBorder="1" applyAlignment="1" applyProtection="1">
      <alignment horizontal="center" vertical="center"/>
      <protection locked="0"/>
    </xf>
    <xf numFmtId="2" fontId="3" fillId="7" borderId="0" xfId="0" applyNumberFormat="1" applyFont="1" applyFill="1" applyBorder="1" applyAlignment="1">
      <alignment horizontal="center"/>
    </xf>
    <xf numFmtId="2" fontId="49" fillId="7" borderId="0" xfId="0" applyNumberFormat="1" applyFont="1" applyFill="1" applyBorder="1" applyAlignment="1">
      <alignment horizontal="center" vertical="center"/>
    </xf>
    <xf numFmtId="0" fontId="49" fillId="7" borderId="0" xfId="0" applyFont="1" applyFill="1" applyBorder="1" applyAlignment="1">
      <alignment horizontal="center" vertical="center"/>
    </xf>
    <xf numFmtId="0" fontId="1" fillId="7" borderId="0" xfId="0" applyFont="1" applyFill="1" applyBorder="1"/>
    <xf numFmtId="0" fontId="49" fillId="2" borderId="0" xfId="0" applyFont="1" applyFill="1" applyBorder="1" applyAlignment="1">
      <alignment horizontal="left" vertical="center"/>
    </xf>
    <xf numFmtId="0" fontId="49" fillId="2" borderId="0" xfId="0" applyFont="1" applyFill="1" applyBorder="1"/>
    <xf numFmtId="0" fontId="25" fillId="7" borderId="0" xfId="0" applyFont="1" applyFill="1" applyBorder="1"/>
    <xf numFmtId="2" fontId="3" fillId="2" borderId="0" xfId="0" applyNumberFormat="1" applyFont="1" applyFill="1" applyBorder="1" applyAlignment="1">
      <alignment horizontal="center"/>
    </xf>
    <xf numFmtId="0" fontId="3" fillId="2" borderId="0" xfId="0" applyFont="1" applyFill="1" applyBorder="1" applyAlignment="1">
      <alignment horizontal="left"/>
    </xf>
    <xf numFmtId="2" fontId="3" fillId="2" borderId="0" xfId="0" applyNumberFormat="1" applyFont="1" applyFill="1" applyBorder="1" applyAlignment="1">
      <alignment horizontal="right"/>
    </xf>
    <xf numFmtId="0" fontId="3" fillId="2" borderId="2" xfId="0" applyFont="1" applyFill="1" applyBorder="1" applyAlignment="1">
      <alignment horizontal="left"/>
    </xf>
    <xf numFmtId="2" fontId="3" fillId="7" borderId="0" xfId="0" applyNumberFormat="1" applyFont="1" applyFill="1" applyAlignment="1" applyProtection="1">
      <alignment horizontal="center" vertical="center"/>
      <protection locked="0"/>
    </xf>
    <xf numFmtId="0" fontId="13" fillId="7" borderId="0" xfId="0" applyFont="1" applyFill="1" applyAlignment="1">
      <alignment horizontal="right" vertical="center"/>
    </xf>
    <xf numFmtId="2" fontId="10" fillId="7" borderId="0" xfId="0" applyNumberFormat="1" applyFont="1" applyFill="1" applyAlignment="1" applyProtection="1">
      <alignment horizontal="center" vertical="center"/>
    </xf>
    <xf numFmtId="165" fontId="7" fillId="7" borderId="0" xfId="0" applyNumberFormat="1" applyFont="1" applyFill="1" applyAlignment="1" applyProtection="1">
      <alignment horizontal="center" vertical="center"/>
      <protection locked="0"/>
    </xf>
    <xf numFmtId="2" fontId="3" fillId="7" borderId="0" xfId="0" applyNumberFormat="1" applyFont="1" applyFill="1" applyAlignment="1">
      <alignment horizontal="center" vertical="center"/>
    </xf>
    <xf numFmtId="0" fontId="46" fillId="7" borderId="0" xfId="0" applyFont="1" applyFill="1"/>
    <xf numFmtId="1" fontId="7" fillId="7" borderId="0" xfId="0" applyNumberFormat="1" applyFont="1" applyFill="1" applyAlignment="1" applyProtection="1">
      <alignment horizontal="center" vertical="center"/>
      <protection locked="0"/>
    </xf>
    <xf numFmtId="0" fontId="3" fillId="7" borderId="1" xfId="0" applyFont="1" applyFill="1" applyBorder="1" applyAlignment="1">
      <alignment horizontal="center" vertical="center"/>
    </xf>
    <xf numFmtId="2" fontId="7" fillId="7" borderId="1" xfId="0" applyNumberFormat="1" applyFont="1" applyFill="1" applyBorder="1" applyAlignment="1" applyProtection="1">
      <alignment horizontal="center" vertical="center"/>
      <protection locked="0"/>
    </xf>
    <xf numFmtId="2" fontId="16" fillId="7" borderId="2" xfId="0" applyNumberFormat="1" applyFont="1" applyFill="1" applyBorder="1" applyAlignment="1">
      <alignment horizontal="center" vertical="center"/>
    </xf>
    <xf numFmtId="0" fontId="3" fillId="7" borderId="0" xfId="0" applyFont="1" applyFill="1" applyAlignment="1">
      <alignment horizontal="center" vertical="center"/>
    </xf>
    <xf numFmtId="0" fontId="9" fillId="7" borderId="5" xfId="0" applyFont="1" applyFill="1" applyBorder="1" applyAlignment="1">
      <alignment horizontal="center" vertical="center"/>
    </xf>
    <xf numFmtId="0" fontId="2" fillId="7" borderId="1" xfId="0" applyFont="1" applyFill="1" applyBorder="1" applyAlignment="1">
      <alignment horizontal="center" vertical="center"/>
    </xf>
    <xf numFmtId="2" fontId="2" fillId="7" borderId="2" xfId="0" applyNumberFormat="1" applyFont="1" applyFill="1" applyBorder="1" applyAlignment="1">
      <alignment horizontal="center" vertical="center"/>
    </xf>
    <xf numFmtId="0" fontId="2" fillId="7" borderId="0" xfId="0" applyFont="1" applyFill="1" applyAlignment="1">
      <alignment horizontal="center" vertical="center"/>
    </xf>
    <xf numFmtId="164" fontId="3" fillId="7" borderId="5" xfId="0" applyNumberFormat="1" applyFont="1" applyFill="1" applyBorder="1" applyAlignment="1">
      <alignment horizontal="center"/>
    </xf>
    <xf numFmtId="0" fontId="3" fillId="7" borderId="0" xfId="0" applyFont="1" applyFill="1" applyAlignment="1">
      <alignment horizontal="left"/>
    </xf>
    <xf numFmtId="2" fontId="7" fillId="7" borderId="0" xfId="0" applyNumberFormat="1" applyFont="1" applyFill="1" applyBorder="1" applyAlignment="1">
      <alignment horizontal="center" vertical="center"/>
    </xf>
    <xf numFmtId="2" fontId="16" fillId="7" borderId="0" xfId="0" applyNumberFormat="1" applyFont="1" applyFill="1" applyBorder="1" applyAlignment="1">
      <alignment horizontal="center" vertical="center"/>
    </xf>
    <xf numFmtId="2" fontId="3" fillId="7" borderId="0" xfId="0" applyNumberFormat="1" applyFont="1" applyFill="1" applyAlignment="1">
      <alignment horizontal="center"/>
    </xf>
    <xf numFmtId="164" fontId="39" fillId="7" borderId="0" xfId="0" applyNumberFormat="1" applyFont="1" applyFill="1" applyBorder="1" applyAlignment="1">
      <alignment horizontal="center"/>
    </xf>
    <xf numFmtId="0" fontId="9" fillId="7" borderId="0" xfId="0" applyFont="1" applyFill="1" applyBorder="1" applyAlignment="1">
      <alignment horizontal="center" vertical="center"/>
    </xf>
    <xf numFmtId="1" fontId="3" fillId="7" borderId="0" xfId="0" applyNumberFormat="1" applyFont="1" applyFill="1" applyBorder="1" applyAlignment="1">
      <alignment horizontal="center" vertical="center"/>
    </xf>
    <xf numFmtId="0" fontId="16" fillId="7" borderId="0" xfId="0" applyFont="1" applyFill="1" applyBorder="1" applyAlignment="1">
      <alignment horizontal="center" vertical="center"/>
    </xf>
    <xf numFmtId="0" fontId="18" fillId="7" borderId="0" xfId="0" applyFont="1" applyFill="1" applyAlignment="1">
      <alignment horizontal="left"/>
    </xf>
    <xf numFmtId="0" fontId="2" fillId="7" borderId="1" xfId="0" applyFont="1" applyFill="1" applyBorder="1" applyAlignment="1">
      <alignment horizontal="left"/>
    </xf>
    <xf numFmtId="2" fontId="2" fillId="7" borderId="2" xfId="0" applyNumberFormat="1" applyFont="1" applyFill="1" applyBorder="1" applyAlignment="1">
      <alignment horizontal="center"/>
    </xf>
    <xf numFmtId="0" fontId="2" fillId="7" borderId="0" xfId="0" applyFont="1" applyFill="1" applyAlignment="1">
      <alignment horizontal="left"/>
    </xf>
    <xf numFmtId="0" fontId="16" fillId="7" borderId="0" xfId="0" applyFont="1" applyFill="1"/>
    <xf numFmtId="0" fontId="18" fillId="7" borderId="0" xfId="0" applyFont="1" applyFill="1"/>
    <xf numFmtId="2" fontId="49" fillId="7" borderId="0" xfId="0" applyNumberFormat="1" applyFont="1" applyFill="1" applyBorder="1" applyAlignment="1">
      <alignment horizontal="left" vertical="center"/>
    </xf>
    <xf numFmtId="0" fontId="3" fillId="7" borderId="0" xfId="0" applyFont="1" applyFill="1" applyBorder="1" applyAlignment="1">
      <alignment horizontal="center"/>
    </xf>
    <xf numFmtId="0" fontId="2" fillId="7" borderId="0" xfId="0" applyFont="1" applyFill="1" applyBorder="1" applyAlignment="1">
      <alignment horizontal="center"/>
    </xf>
    <xf numFmtId="0" fontId="3" fillId="7" borderId="10" xfId="0" applyFont="1" applyFill="1" applyBorder="1" applyAlignment="1">
      <alignment horizontal="left"/>
    </xf>
    <xf numFmtId="0" fontId="3" fillId="7" borderId="10" xfId="0" applyFont="1" applyFill="1" applyBorder="1" applyAlignment="1">
      <alignment horizontal="center"/>
    </xf>
    <xf numFmtId="165" fontId="3" fillId="7" borderId="10" xfId="0" applyNumberFormat="1" applyFont="1" applyFill="1" applyBorder="1" applyAlignment="1">
      <alignment horizontal="center"/>
    </xf>
    <xf numFmtId="0" fontId="16" fillId="7" borderId="11" xfId="0" applyFont="1" applyFill="1" applyBorder="1" applyAlignment="1">
      <alignment horizontal="center"/>
    </xf>
    <xf numFmtId="0" fontId="3" fillId="7" borderId="0" xfId="0" applyFont="1" applyFill="1" applyAlignment="1">
      <alignment wrapText="1"/>
    </xf>
    <xf numFmtId="0" fontId="2" fillId="7" borderId="4" xfId="0" applyFont="1" applyFill="1" applyBorder="1" applyAlignment="1">
      <alignment horizontal="center"/>
    </xf>
    <xf numFmtId="0" fontId="3" fillId="7" borderId="4" xfId="0" applyFont="1" applyFill="1" applyBorder="1" applyAlignment="1">
      <alignment horizontal="center" vertical="center"/>
    </xf>
    <xf numFmtId="165" fontId="2" fillId="7" borderId="4" xfId="0" applyNumberFormat="1" applyFont="1" applyFill="1" applyBorder="1" applyAlignment="1">
      <alignment horizontal="center"/>
    </xf>
    <xf numFmtId="0" fontId="1" fillId="7" borderId="7" xfId="0" applyFont="1" applyFill="1" applyBorder="1" applyAlignment="1">
      <alignment horizontal="center"/>
    </xf>
    <xf numFmtId="165" fontId="3" fillId="7" borderId="10" xfId="0" applyNumberFormat="1" applyFont="1" applyFill="1" applyBorder="1" applyAlignment="1">
      <alignment horizontal="left"/>
    </xf>
    <xf numFmtId="165" fontId="16" fillId="7" borderId="11" xfId="0" applyNumberFormat="1" applyFont="1" applyFill="1" applyBorder="1" applyAlignment="1">
      <alignment horizontal="center"/>
    </xf>
    <xf numFmtId="0" fontId="3" fillId="7" borderId="8" xfId="0" applyFont="1" applyFill="1" applyBorder="1" applyAlignment="1">
      <alignment horizontal="center" vertical="center"/>
    </xf>
    <xf numFmtId="0" fontId="3" fillId="7" borderId="2" xfId="0" applyFont="1" applyFill="1" applyBorder="1" applyAlignment="1">
      <alignment horizontal="right"/>
    </xf>
    <xf numFmtId="0" fontId="1" fillId="2" borderId="0" xfId="0" applyFont="1" applyFill="1" applyAlignment="1">
      <alignment horizontal="left"/>
    </xf>
    <xf numFmtId="0" fontId="3" fillId="2" borderId="2" xfId="0" applyFont="1" applyFill="1" applyBorder="1" applyAlignment="1">
      <alignment horizontal="left"/>
    </xf>
    <xf numFmtId="0" fontId="3" fillId="2" borderId="8" xfId="0" applyFont="1" applyFill="1" applyBorder="1" applyAlignment="1">
      <alignment horizontal="center"/>
    </xf>
    <xf numFmtId="0" fontId="2" fillId="2" borderId="0" xfId="0" applyFont="1" applyFill="1" applyAlignment="1">
      <alignment horizontal="center"/>
    </xf>
    <xf numFmtId="0" fontId="3" fillId="2" borderId="2" xfId="0" applyFont="1" applyFill="1" applyBorder="1" applyAlignment="1">
      <alignment horizontal="left"/>
    </xf>
    <xf numFmtId="0" fontId="3" fillId="7" borderId="0" xfId="0" applyFont="1" applyFill="1" applyBorder="1" applyAlignment="1">
      <alignment horizontal="right"/>
    </xf>
    <xf numFmtId="2" fontId="3" fillId="7" borderId="0" xfId="0" applyNumberFormat="1" applyFont="1" applyFill="1" applyBorder="1" applyAlignment="1">
      <alignment horizontal="center"/>
    </xf>
    <xf numFmtId="0" fontId="3" fillId="2" borderId="8" xfId="0" applyFont="1" applyFill="1" applyBorder="1" applyAlignment="1">
      <alignment horizontal="center"/>
    </xf>
    <xf numFmtId="0" fontId="3" fillId="7" borderId="0" xfId="0" applyFont="1" applyFill="1" applyBorder="1" applyAlignment="1">
      <alignment horizontal="left"/>
    </xf>
    <xf numFmtId="2" fontId="3" fillId="7" borderId="0" xfId="0" applyNumberFormat="1" applyFont="1" applyFill="1" applyBorder="1" applyAlignment="1">
      <alignment horizontal="right"/>
    </xf>
    <xf numFmtId="164" fontId="2" fillId="2" borderId="0" xfId="0" applyNumberFormat="1" applyFont="1" applyFill="1"/>
    <xf numFmtId="0" fontId="3" fillId="2" borderId="4" xfId="0" applyFont="1" applyFill="1" applyBorder="1" applyAlignment="1">
      <alignment horizontal="center" vertical="center"/>
    </xf>
    <xf numFmtId="164" fontId="3" fillId="2" borderId="3" xfId="0" applyNumberFormat="1" applyFont="1" applyFill="1" applyBorder="1" applyAlignment="1">
      <alignment horizontal="center" vertical="center"/>
    </xf>
    <xf numFmtId="164" fontId="12" fillId="2" borderId="23" xfId="0" applyNumberFormat="1" applyFont="1" applyFill="1" applyBorder="1" applyAlignment="1" applyProtection="1">
      <alignment horizontal="center" vertical="center"/>
    </xf>
    <xf numFmtId="164" fontId="12" fillId="2" borderId="11" xfId="0" applyNumberFormat="1" applyFont="1" applyFill="1" applyBorder="1" applyAlignment="1" applyProtection="1">
      <alignment horizontal="center" vertical="center"/>
    </xf>
    <xf numFmtId="164" fontId="12" fillId="2" borderId="6" xfId="0" applyNumberFormat="1" applyFont="1" applyFill="1" applyBorder="1" applyAlignment="1" applyProtection="1">
      <alignment horizontal="center" vertical="center"/>
    </xf>
    <xf numFmtId="0" fontId="2" fillId="2" borderId="2" xfId="0" applyFont="1" applyFill="1" applyBorder="1" applyAlignment="1">
      <alignment horizontal="left"/>
    </xf>
    <xf numFmtId="2" fontId="3" fillId="2" borderId="2" xfId="0" applyNumberFormat="1" applyFont="1" applyFill="1" applyBorder="1" applyAlignment="1"/>
    <xf numFmtId="2" fontId="3" fillId="7" borderId="0" xfId="0" applyNumberFormat="1" applyFont="1" applyFill="1"/>
    <xf numFmtId="164" fontId="12" fillId="8" borderId="10" xfId="0" applyNumberFormat="1" applyFont="1" applyFill="1" applyBorder="1" applyAlignment="1" applyProtection="1">
      <alignment horizontal="center" vertical="center"/>
    </xf>
    <xf numFmtId="164" fontId="3" fillId="8" borderId="11" xfId="0" applyNumberFormat="1" applyFont="1" applyFill="1" applyBorder="1" applyAlignment="1" applyProtection="1">
      <alignment horizontal="center" vertical="center"/>
      <protection hidden="1"/>
    </xf>
    <xf numFmtId="164" fontId="12" fillId="8" borderId="0" xfId="0" applyNumberFormat="1" applyFont="1" applyFill="1" applyBorder="1" applyAlignment="1" applyProtection="1">
      <alignment horizontal="center" vertical="center"/>
    </xf>
    <xf numFmtId="164" fontId="12" fillId="8" borderId="3" xfId="0" applyNumberFormat="1" applyFont="1" applyFill="1" applyBorder="1" applyAlignment="1" applyProtection="1">
      <alignment horizontal="center" vertical="center"/>
    </xf>
    <xf numFmtId="0" fontId="3" fillId="7" borderId="0" xfId="0" applyFont="1" applyFill="1" applyBorder="1" applyAlignment="1">
      <alignment horizontal="right"/>
    </xf>
    <xf numFmtId="2" fontId="3" fillId="7" borderId="0" xfId="0" applyNumberFormat="1" applyFont="1" applyFill="1" applyBorder="1" applyAlignment="1">
      <alignment horizontal="center"/>
    </xf>
    <xf numFmtId="0" fontId="3" fillId="7" borderId="0" xfId="0" applyFont="1" applyFill="1" applyBorder="1" applyAlignment="1">
      <alignment horizontal="left"/>
    </xf>
    <xf numFmtId="2" fontId="3" fillId="7" borderId="0" xfId="0" applyNumberFormat="1" applyFont="1" applyFill="1" applyBorder="1" applyAlignment="1">
      <alignment horizontal="right"/>
    </xf>
    <xf numFmtId="0" fontId="61" fillId="0" borderId="0" xfId="1"/>
    <xf numFmtId="2" fontId="61" fillId="0" borderId="0" xfId="1" applyNumberFormat="1" applyFont="1" applyAlignment="1">
      <alignment horizontal="left"/>
    </xf>
    <xf numFmtId="0" fontId="61" fillId="0" borderId="0" xfId="1" applyFont="1" applyAlignment="1">
      <alignment horizontal="center"/>
    </xf>
    <xf numFmtId="0" fontId="61" fillId="0" borderId="0" xfId="1" applyFont="1"/>
    <xf numFmtId="2" fontId="63" fillId="4" borderId="0" xfId="1" applyNumberFormat="1" applyFont="1" applyFill="1" applyAlignment="1">
      <alignment horizontal="left"/>
    </xf>
    <xf numFmtId="0" fontId="61" fillId="0" borderId="0" xfId="1" applyFont="1" applyAlignment="1">
      <alignment horizontal="right"/>
    </xf>
    <xf numFmtId="2" fontId="61" fillId="0" borderId="0" xfId="1" applyNumberFormat="1" applyFont="1"/>
    <xf numFmtId="2" fontId="61" fillId="0" borderId="0" xfId="1" applyNumberFormat="1" applyFont="1" applyAlignment="1">
      <alignment horizontal="center"/>
    </xf>
    <xf numFmtId="2" fontId="63" fillId="8" borderId="0" xfId="1" applyNumberFormat="1" applyFont="1" applyFill="1" applyAlignment="1">
      <alignment horizontal="center"/>
    </xf>
    <xf numFmtId="0" fontId="61" fillId="0" borderId="0" xfId="1" applyFont="1" applyAlignment="1">
      <alignment horizontal="left"/>
    </xf>
    <xf numFmtId="164" fontId="63" fillId="4" borderId="0" xfId="1" applyNumberFormat="1" applyFont="1" applyFill="1" applyAlignment="1">
      <alignment horizontal="left"/>
    </xf>
    <xf numFmtId="2" fontId="61" fillId="0" borderId="0" xfId="1" applyNumberFormat="1"/>
    <xf numFmtId="2" fontId="63" fillId="8" borderId="0" xfId="1" applyNumberFormat="1" applyFont="1" applyFill="1" applyAlignment="1">
      <alignment horizontal="left"/>
    </xf>
    <xf numFmtId="166" fontId="61" fillId="0" borderId="0" xfId="1" applyNumberFormat="1" applyFont="1" applyAlignment="1">
      <alignment textRotation="90"/>
    </xf>
    <xf numFmtId="0" fontId="63" fillId="0" borderId="0" xfId="1" applyFont="1"/>
    <xf numFmtId="166" fontId="63" fillId="0" borderId="0" xfId="1" applyNumberFormat="1" applyFont="1" applyAlignment="1">
      <alignment textRotation="90"/>
    </xf>
    <xf numFmtId="0" fontId="63" fillId="0" borderId="0" xfId="1" applyFont="1" applyAlignment="1">
      <alignment horizontal="right" textRotation="90"/>
    </xf>
    <xf numFmtId="0" fontId="61" fillId="0" borderId="0" xfId="1" applyFont="1" applyAlignment="1">
      <alignment horizontal="right" textRotation="90"/>
    </xf>
    <xf numFmtId="0" fontId="61" fillId="0" borderId="0" xfId="1" applyFont="1" applyAlignment="1">
      <alignment horizontal="center" textRotation="90"/>
    </xf>
    <xf numFmtId="164" fontId="61" fillId="0" borderId="0" xfId="1" applyNumberFormat="1" applyFont="1" applyAlignment="1">
      <alignment horizontal="left"/>
    </xf>
    <xf numFmtId="0" fontId="64" fillId="0" borderId="0" xfId="1" applyFont="1" applyAlignment="1">
      <alignment horizontal="center"/>
    </xf>
    <xf numFmtId="0" fontId="63" fillId="0" borderId="0" xfId="1" applyFont="1" applyAlignment="1">
      <alignment horizontal="right"/>
    </xf>
    <xf numFmtId="2" fontId="63" fillId="0" borderId="0" xfId="1" applyNumberFormat="1" applyFont="1" applyAlignment="1">
      <alignment horizontal="center"/>
    </xf>
    <xf numFmtId="0" fontId="63" fillId="0" borderId="0" xfId="1" applyFont="1" applyAlignment="1">
      <alignment horizontal="left"/>
    </xf>
    <xf numFmtId="167" fontId="63" fillId="8" borderId="0" xfId="1" applyNumberFormat="1" applyFont="1" applyFill="1" applyAlignment="1">
      <alignment horizontal="center"/>
    </xf>
    <xf numFmtId="2" fontId="61" fillId="8" borderId="0" xfId="1" applyNumberFormat="1" applyFont="1" applyFill="1" applyAlignment="1">
      <alignment horizontal="center"/>
    </xf>
    <xf numFmtId="0" fontId="61" fillId="0" borderId="0" xfId="1" applyFont="1" applyFill="1"/>
    <xf numFmtId="165" fontId="61" fillId="0" borderId="0" xfId="1" applyNumberFormat="1" applyFont="1" applyFill="1" applyAlignment="1">
      <alignment horizontal="center"/>
    </xf>
    <xf numFmtId="0" fontId="64" fillId="0" borderId="0" xfId="1" applyFont="1" applyAlignment="1"/>
    <xf numFmtId="165" fontId="61" fillId="0" borderId="0" xfId="1" applyNumberFormat="1" applyFont="1"/>
    <xf numFmtId="165" fontId="61" fillId="0" borderId="0" xfId="1" applyNumberFormat="1" applyFont="1" applyAlignment="1">
      <alignment horizontal="center"/>
    </xf>
    <xf numFmtId="0" fontId="61" fillId="0" borderId="0" xfId="1" applyFont="1" applyAlignment="1"/>
    <xf numFmtId="165" fontId="61" fillId="8" borderId="0" xfId="1" applyNumberFormat="1" applyFont="1" applyFill="1" applyAlignment="1">
      <alignment horizontal="center"/>
    </xf>
    <xf numFmtId="2" fontId="63" fillId="0" borderId="0" xfId="1" applyNumberFormat="1" applyFont="1"/>
    <xf numFmtId="165" fontId="63" fillId="0" borderId="0" xfId="1" applyNumberFormat="1" applyFont="1" applyAlignment="1">
      <alignment horizontal="center"/>
    </xf>
    <xf numFmtId="165" fontId="61" fillId="7" borderId="0" xfId="1" applyNumberFormat="1" applyFont="1" applyFill="1" applyAlignment="1">
      <alignment horizontal="center"/>
    </xf>
    <xf numFmtId="170" fontId="61" fillId="0" borderId="0" xfId="1" applyNumberFormat="1" applyFont="1"/>
    <xf numFmtId="0" fontId="61" fillId="0" borderId="0" xfId="1" applyAlignment="1">
      <alignment horizontal="left"/>
    </xf>
    <xf numFmtId="2" fontId="61" fillId="0" borderId="0" xfId="1" applyNumberFormat="1" applyAlignment="1">
      <alignment horizontal="center"/>
    </xf>
    <xf numFmtId="0" fontId="49" fillId="0" borderId="0" xfId="1" applyFont="1" applyAlignment="1">
      <alignment horizontal="center"/>
    </xf>
    <xf numFmtId="2" fontId="61" fillId="0" borderId="0" xfId="1" applyNumberFormat="1" applyAlignment="1">
      <alignment horizontal="left"/>
    </xf>
    <xf numFmtId="0" fontId="61" fillId="0" borderId="0" xfId="1" applyAlignment="1">
      <alignment horizontal="right"/>
    </xf>
    <xf numFmtId="1" fontId="63" fillId="0" borderId="0" xfId="1" applyNumberFormat="1" applyFont="1" applyAlignment="1">
      <alignment horizontal="center"/>
    </xf>
    <xf numFmtId="170" fontId="61" fillId="0" borderId="0" xfId="1" applyNumberFormat="1" applyAlignment="1">
      <alignment horizontal="left"/>
    </xf>
    <xf numFmtId="165" fontId="61" fillId="4" borderId="0" xfId="1" applyNumberFormat="1" applyFont="1" applyFill="1" applyAlignment="1">
      <alignment horizontal="center"/>
    </xf>
    <xf numFmtId="2" fontId="61" fillId="0" borderId="0" xfId="1" applyNumberFormat="1" applyFont="1" applyAlignment="1">
      <alignment horizontal="right"/>
    </xf>
    <xf numFmtId="0" fontId="63" fillId="0" borderId="0" xfId="1" applyFont="1" applyAlignment="1">
      <alignment horizontal="center"/>
    </xf>
    <xf numFmtId="171" fontId="63" fillId="0" borderId="0" xfId="1" applyNumberFormat="1" applyFont="1" applyAlignment="1">
      <alignment horizontal="center"/>
    </xf>
    <xf numFmtId="2" fontId="63" fillId="0" borderId="0" xfId="1" applyNumberFormat="1" applyFont="1" applyAlignment="1"/>
    <xf numFmtId="0" fontId="61" fillId="0" borderId="0" xfId="1" applyFont="1" applyAlignment="1">
      <alignment textRotation="90"/>
    </xf>
    <xf numFmtId="171" fontId="63" fillId="0" borderId="0" xfId="1" applyNumberFormat="1" applyFont="1" applyAlignment="1">
      <alignment horizontal="left"/>
    </xf>
    <xf numFmtId="0" fontId="62" fillId="0" borderId="0" xfId="1" applyFont="1" applyAlignment="1"/>
    <xf numFmtId="0" fontId="62" fillId="0" borderId="0" xfId="1" applyFont="1" applyAlignment="1">
      <alignment horizontal="center"/>
    </xf>
    <xf numFmtId="167" fontId="61" fillId="8" borderId="0" xfId="1" applyNumberFormat="1" applyFill="1"/>
    <xf numFmtId="165" fontId="61" fillId="0" borderId="0" xfId="1" applyNumberFormat="1" applyAlignment="1">
      <alignment horizontal="center"/>
    </xf>
    <xf numFmtId="0" fontId="61" fillId="0" borderId="0" xfId="1" applyAlignment="1">
      <alignment horizontal="center"/>
    </xf>
    <xf numFmtId="1" fontId="61" fillId="0" borderId="0" xfId="1" applyNumberFormat="1" applyAlignment="1">
      <alignment horizontal="center"/>
    </xf>
    <xf numFmtId="172" fontId="63" fillId="0" borderId="0" xfId="1" applyNumberFormat="1" applyFont="1" applyAlignment="1">
      <alignment horizontal="center"/>
    </xf>
    <xf numFmtId="2" fontId="63" fillId="0" borderId="0" xfId="1" applyNumberFormat="1" applyFont="1" applyAlignment="1">
      <alignment horizontal="left"/>
    </xf>
    <xf numFmtId="1" fontId="61" fillId="8" borderId="0" xfId="1" applyNumberFormat="1" applyFont="1" applyFill="1" applyAlignment="1">
      <alignment horizontal="left"/>
    </xf>
    <xf numFmtId="168" fontId="61" fillId="7" borderId="0" xfId="1" applyNumberFormat="1" applyFont="1" applyFill="1" applyAlignment="1">
      <alignment horizontal="right"/>
    </xf>
    <xf numFmtId="169" fontId="61" fillId="7" borderId="0" xfId="1" applyNumberFormat="1" applyFont="1" applyFill="1" applyAlignment="1">
      <alignment horizontal="left"/>
    </xf>
    <xf numFmtId="2" fontId="61" fillId="0" borderId="0" xfId="1" applyNumberFormat="1" applyFont="1" applyFill="1" applyAlignment="1">
      <alignment horizontal="center"/>
    </xf>
    <xf numFmtId="2" fontId="3" fillId="2" borderId="8" xfId="0" applyNumberFormat="1" applyFont="1" applyFill="1" applyBorder="1" applyAlignment="1">
      <alignment vertical="center"/>
    </xf>
    <xf numFmtId="2" fontId="3" fillId="2" borderId="1" xfId="0" applyNumberFormat="1" applyFont="1" applyFill="1" applyBorder="1" applyAlignment="1">
      <alignment vertical="center"/>
    </xf>
    <xf numFmtId="2" fontId="3" fillId="8" borderId="0" xfId="0" applyNumberFormat="1" applyFont="1" applyFill="1" applyBorder="1" applyAlignment="1">
      <alignment horizontal="center" vertical="center"/>
    </xf>
    <xf numFmtId="173" fontId="61" fillId="8" borderId="0" xfId="1" applyNumberFormat="1" applyFont="1" applyFill="1" applyAlignment="1">
      <alignment horizontal="right"/>
    </xf>
    <xf numFmtId="174" fontId="61" fillId="8" borderId="0" xfId="1" applyNumberFormat="1" applyFont="1" applyFill="1" applyAlignment="1">
      <alignment horizontal="left"/>
    </xf>
    <xf numFmtId="2" fontId="3" fillId="7" borderId="5" xfId="0" applyNumberFormat="1" applyFont="1" applyFill="1" applyBorder="1" applyAlignment="1">
      <alignment horizontal="center" vertical="center"/>
    </xf>
    <xf numFmtId="0" fontId="3" fillId="7" borderId="0" xfId="0" applyFont="1" applyFill="1" applyBorder="1" applyAlignment="1">
      <alignment horizontal="left"/>
    </xf>
    <xf numFmtId="2" fontId="3" fillId="7" borderId="0" xfId="0" applyNumberFormat="1" applyFont="1" applyFill="1" applyBorder="1" applyAlignment="1">
      <alignment horizontal="right"/>
    </xf>
    <xf numFmtId="2" fontId="3" fillId="7" borderId="0" xfId="0" applyNumberFormat="1" applyFont="1" applyFill="1" applyBorder="1" applyAlignment="1">
      <alignment horizontal="center"/>
    </xf>
    <xf numFmtId="0" fontId="2" fillId="7" borderId="0" xfId="0" applyFont="1" applyFill="1" applyBorder="1" applyAlignment="1">
      <alignment horizontal="center"/>
    </xf>
    <xf numFmtId="0" fontId="3" fillId="2" borderId="2" xfId="0" applyFont="1" applyFill="1" applyBorder="1" applyAlignment="1">
      <alignment horizontal="left"/>
    </xf>
    <xf numFmtId="0" fontId="3" fillId="7" borderId="0" xfId="0" applyFont="1" applyFill="1" applyBorder="1" applyAlignment="1">
      <alignment horizontal="center"/>
    </xf>
    <xf numFmtId="2" fontId="3" fillId="7" borderId="5" xfId="0" applyNumberFormat="1" applyFont="1" applyFill="1" applyBorder="1" applyAlignment="1">
      <alignment horizontal="center"/>
    </xf>
    <xf numFmtId="0" fontId="3" fillId="7" borderId="0" xfId="0" applyFont="1" applyFill="1" applyBorder="1" applyAlignment="1">
      <alignment horizontal="right"/>
    </xf>
    <xf numFmtId="0" fontId="3" fillId="2" borderId="8" xfId="0" applyFont="1" applyFill="1" applyBorder="1" applyAlignment="1">
      <alignment horizontal="center"/>
    </xf>
    <xf numFmtId="2" fontId="3" fillId="7" borderId="2" xfId="0" applyNumberFormat="1" applyFont="1" applyFill="1" applyBorder="1" applyAlignment="1">
      <alignment horizontal="center" vertical="center"/>
    </xf>
    <xf numFmtId="2" fontId="61" fillId="0" borderId="0" xfId="1" applyNumberFormat="1" applyFont="1" applyAlignment="1">
      <alignment horizontal="center"/>
    </xf>
    <xf numFmtId="0" fontId="61" fillId="0" borderId="0" xfId="1" applyFont="1" applyAlignment="1">
      <alignment horizontal="right"/>
    </xf>
    <xf numFmtId="0" fontId="3" fillId="8" borderId="0" xfId="0" applyFont="1" applyFill="1"/>
    <xf numFmtId="0" fontId="3" fillId="2" borderId="23" xfId="0" applyFont="1" applyFill="1" applyBorder="1" applyAlignment="1">
      <alignment horizontal="center"/>
    </xf>
    <xf numFmtId="0" fontId="3" fillId="7" borderId="8" xfId="0" applyFont="1" applyFill="1" applyBorder="1"/>
    <xf numFmtId="2" fontId="3" fillId="2" borderId="11" xfId="0" applyNumberFormat="1" applyFont="1" applyFill="1" applyBorder="1" applyAlignment="1"/>
    <xf numFmtId="2" fontId="2" fillId="7" borderId="0" xfId="0" applyNumberFormat="1" applyFont="1" applyFill="1"/>
    <xf numFmtId="0" fontId="16" fillId="7" borderId="0" xfId="0" applyFont="1" applyFill="1" applyBorder="1" applyAlignment="1">
      <alignment horizontal="left"/>
    </xf>
    <xf numFmtId="0" fontId="54" fillId="7" borderId="0" xfId="0" applyFont="1" applyFill="1" applyBorder="1"/>
    <xf numFmtId="1" fontId="54" fillId="7" borderId="0" xfId="0" applyNumberFormat="1" applyFont="1" applyFill="1" applyBorder="1" applyAlignment="1">
      <alignment horizontal="center"/>
    </xf>
    <xf numFmtId="165" fontId="54" fillId="7" borderId="0" xfId="0" applyNumberFormat="1" applyFont="1" applyFill="1" applyBorder="1" applyAlignment="1">
      <alignment horizontal="center"/>
    </xf>
    <xf numFmtId="0" fontId="70" fillId="7" borderId="0" xfId="0" applyFont="1" applyFill="1" applyBorder="1"/>
    <xf numFmtId="0" fontId="54" fillId="7" borderId="0" xfId="0" applyFont="1" applyFill="1" applyBorder="1" applyAlignment="1">
      <alignment horizontal="right"/>
    </xf>
    <xf numFmtId="0" fontId="54" fillId="7" borderId="0" xfId="0" applyFont="1" applyFill="1" applyBorder="1" applyAlignment="1">
      <alignment horizontal="center"/>
    </xf>
    <xf numFmtId="0" fontId="54" fillId="2" borderId="0" xfId="0" applyFont="1" applyFill="1" applyBorder="1"/>
    <xf numFmtId="0" fontId="53" fillId="7" borderId="0" xfId="0" applyFont="1" applyFill="1" applyBorder="1" applyAlignment="1">
      <alignment horizontal="left"/>
    </xf>
    <xf numFmtId="2" fontId="54" fillId="7" borderId="0" xfId="0" applyNumberFormat="1" applyFont="1" applyFill="1" applyBorder="1"/>
    <xf numFmtId="0" fontId="71" fillId="2" borderId="0" xfId="0" applyFont="1" applyFill="1" applyBorder="1"/>
    <xf numFmtId="1" fontId="10" fillId="2" borderId="0" xfId="0" applyNumberFormat="1" applyFont="1" applyFill="1" applyBorder="1" applyAlignment="1">
      <alignment horizontal="center"/>
    </xf>
    <xf numFmtId="165" fontId="10" fillId="2" borderId="0" xfId="0" applyNumberFormat="1" applyFont="1" applyFill="1" applyBorder="1" applyAlignment="1">
      <alignment horizontal="center"/>
    </xf>
    <xf numFmtId="0" fontId="10" fillId="2" borderId="0" xfId="0" applyFont="1" applyFill="1" applyBorder="1" applyAlignment="1">
      <alignment horizontal="right"/>
    </xf>
    <xf numFmtId="2" fontId="54" fillId="2" borderId="0" xfId="0" applyNumberFormat="1" applyFont="1" applyFill="1" applyBorder="1"/>
    <xf numFmtId="0" fontId="33" fillId="7" borderId="5" xfId="0" applyFont="1" applyFill="1" applyBorder="1" applyAlignment="1">
      <alignment horizontal="center" wrapText="1"/>
    </xf>
    <xf numFmtId="2" fontId="10" fillId="7" borderId="5" xfId="0" applyNumberFormat="1" applyFont="1" applyFill="1" applyBorder="1" applyAlignment="1" applyProtection="1">
      <alignment horizontal="center"/>
      <protection locked="0"/>
    </xf>
    <xf numFmtId="0" fontId="1" fillId="7" borderId="0" xfId="0" applyFont="1" applyFill="1" applyAlignment="1">
      <alignment horizontal="left"/>
    </xf>
    <xf numFmtId="0" fontId="16" fillId="7" borderId="0" xfId="0" applyFont="1" applyFill="1" applyAlignment="1">
      <alignment horizontal="left"/>
    </xf>
    <xf numFmtId="2" fontId="3" fillId="7" borderId="7" xfId="0" applyNumberFormat="1" applyFont="1" applyFill="1" applyBorder="1" applyAlignment="1">
      <alignment horizontal="center" vertical="center"/>
    </xf>
    <xf numFmtId="2" fontId="3" fillId="7" borderId="2" xfId="0" applyNumberFormat="1" applyFont="1" applyFill="1" applyBorder="1" applyAlignment="1">
      <alignment horizontal="center"/>
    </xf>
    <xf numFmtId="2" fontId="3" fillId="7" borderId="1" xfId="0" applyNumberFormat="1" applyFont="1" applyFill="1" applyBorder="1" applyAlignment="1">
      <alignment horizontal="center"/>
    </xf>
    <xf numFmtId="2" fontId="3" fillId="7" borderId="0" xfId="0" applyNumberFormat="1" applyFont="1" applyFill="1" applyBorder="1" applyAlignment="1">
      <alignment horizontal="left"/>
    </xf>
    <xf numFmtId="2" fontId="3" fillId="7" borderId="0" xfId="0" applyNumberFormat="1" applyFont="1" applyFill="1" applyAlignment="1">
      <alignment horizontal="left"/>
    </xf>
    <xf numFmtId="2" fontId="3" fillId="7" borderId="11" xfId="0" applyNumberFormat="1" applyFont="1" applyFill="1" applyBorder="1" applyAlignment="1">
      <alignment horizontal="center"/>
    </xf>
    <xf numFmtId="0" fontId="3" fillId="7" borderId="2" xfId="0" applyFont="1" applyFill="1" applyBorder="1" applyAlignment="1">
      <alignment horizontal="center" vertical="center"/>
    </xf>
    <xf numFmtId="2" fontId="1" fillId="7" borderId="0" xfId="0" applyNumberFormat="1" applyFont="1" applyFill="1" applyBorder="1" applyAlignment="1">
      <alignment horizontal="center"/>
    </xf>
    <xf numFmtId="2" fontId="2" fillId="7" borderId="0" xfId="0" applyNumberFormat="1" applyFont="1" applyFill="1" applyAlignment="1">
      <alignment horizontal="center"/>
    </xf>
    <xf numFmtId="0" fontId="27" fillId="7" borderId="5" xfId="0" applyFont="1" applyFill="1" applyBorder="1" applyAlignment="1">
      <alignment horizontal="center" vertical="center" wrapText="1"/>
    </xf>
    <xf numFmtId="0" fontId="2" fillId="7" borderId="0" xfId="0" applyFont="1" applyFill="1" applyAlignment="1">
      <alignment horizontal="right"/>
    </xf>
    <xf numFmtId="0" fontId="3" fillId="7" borderId="7" xfId="0" applyFont="1" applyFill="1" applyBorder="1" applyAlignment="1">
      <alignment horizontal="right"/>
    </xf>
    <xf numFmtId="0" fontId="3" fillId="7" borderId="2" xfId="0" applyFont="1" applyFill="1" applyBorder="1"/>
    <xf numFmtId="0" fontId="13" fillId="7" borderId="0" xfId="0" applyFont="1" applyFill="1" applyBorder="1"/>
    <xf numFmtId="0" fontId="3" fillId="7" borderId="0" xfId="0" applyFont="1" applyFill="1" applyBorder="1" applyAlignment="1">
      <alignment horizontal="right"/>
    </xf>
    <xf numFmtId="2" fontId="2" fillId="7" borderId="0" xfId="0" applyNumberFormat="1" applyFont="1" applyFill="1" applyBorder="1"/>
    <xf numFmtId="0" fontId="1" fillId="7" borderId="0" xfId="0" applyFont="1" applyFill="1" applyBorder="1" applyAlignment="1">
      <alignment horizontal="left"/>
    </xf>
    <xf numFmtId="0" fontId="21" fillId="2" borderId="0" xfId="0" applyFont="1" applyFill="1" applyBorder="1"/>
    <xf numFmtId="1" fontId="3" fillId="7" borderId="0" xfId="0" applyNumberFormat="1" applyFont="1" applyFill="1" applyBorder="1" applyAlignment="1">
      <alignment horizontal="center"/>
    </xf>
    <xf numFmtId="0" fontId="8" fillId="7" borderId="0" xfId="0" applyFont="1" applyFill="1" applyBorder="1"/>
    <xf numFmtId="2" fontId="2" fillId="7" borderId="0" xfId="0" applyNumberFormat="1" applyFont="1" applyFill="1" applyBorder="1" applyAlignment="1">
      <alignment horizontal="center"/>
    </xf>
    <xf numFmtId="1" fontId="10" fillId="2" borderId="0" xfId="0" applyNumberFormat="1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left"/>
    </xf>
    <xf numFmtId="0" fontId="3" fillId="2" borderId="5" xfId="0" applyFont="1" applyFill="1" applyBorder="1" applyAlignment="1">
      <alignment horizontal="left"/>
    </xf>
    <xf numFmtId="2" fontId="3" fillId="2" borderId="5" xfId="0" applyNumberFormat="1" applyFont="1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2" fontId="3" fillId="2" borderId="8" xfId="0" applyNumberFormat="1" applyFont="1" applyFill="1" applyBorder="1" applyAlignment="1">
      <alignment horizontal="center" vertical="center"/>
    </xf>
    <xf numFmtId="0" fontId="3" fillId="2" borderId="11" xfId="0" applyFont="1" applyFill="1" applyBorder="1" applyAlignment="1">
      <alignment horizontal="left"/>
    </xf>
    <xf numFmtId="2" fontId="3" fillId="7" borderId="5" xfId="0" applyNumberFormat="1" applyFont="1" applyFill="1" applyBorder="1" applyAlignment="1">
      <alignment horizontal="center" vertical="center"/>
    </xf>
    <xf numFmtId="0" fontId="1" fillId="2" borderId="0" xfId="0" applyFont="1" applyFill="1" applyAlignment="1">
      <alignment horizontal="left"/>
    </xf>
    <xf numFmtId="2" fontId="3" fillId="7" borderId="8" xfId="0" applyNumberFormat="1" applyFont="1" applyFill="1" applyBorder="1" applyAlignment="1">
      <alignment horizontal="center" vertical="center"/>
    </xf>
    <xf numFmtId="2" fontId="3" fillId="2" borderId="0" xfId="0" applyNumberFormat="1" applyFont="1" applyFill="1" applyBorder="1" applyAlignment="1">
      <alignment horizontal="right"/>
    </xf>
    <xf numFmtId="0" fontId="3" fillId="7" borderId="0" xfId="0" applyFont="1" applyFill="1" applyBorder="1" applyAlignment="1">
      <alignment horizontal="left"/>
    </xf>
    <xf numFmtId="2" fontId="3" fillId="7" borderId="0" xfId="0" applyNumberFormat="1" applyFont="1" applyFill="1" applyBorder="1" applyAlignment="1">
      <alignment horizontal="right"/>
    </xf>
    <xf numFmtId="2" fontId="3" fillId="7" borderId="0" xfId="0" applyNumberFormat="1" applyFont="1" applyFill="1" applyBorder="1" applyAlignment="1">
      <alignment horizontal="center"/>
    </xf>
    <xf numFmtId="0" fontId="3" fillId="2" borderId="0" xfId="0" applyFont="1" applyFill="1" applyBorder="1" applyAlignment="1">
      <alignment horizontal="left"/>
    </xf>
    <xf numFmtId="2" fontId="1" fillId="2" borderId="0" xfId="0" applyNumberFormat="1" applyFont="1" applyFill="1" applyBorder="1" applyAlignment="1">
      <alignment horizontal="center"/>
    </xf>
    <xf numFmtId="0" fontId="2" fillId="7" borderId="0" xfId="0" applyFont="1" applyFill="1" applyBorder="1" applyAlignment="1">
      <alignment horizontal="center"/>
    </xf>
    <xf numFmtId="2" fontId="3" fillId="2" borderId="5" xfId="0" applyNumberFormat="1" applyFont="1" applyFill="1" applyBorder="1" applyAlignment="1">
      <alignment horizontal="center" vertical="center"/>
    </xf>
    <xf numFmtId="0" fontId="3" fillId="2" borderId="7" xfId="0" applyFont="1" applyFill="1" applyBorder="1" applyAlignment="1">
      <alignment horizontal="left"/>
    </xf>
    <xf numFmtId="0" fontId="3" fillId="7" borderId="0" xfId="0" applyFont="1" applyFill="1" applyBorder="1" applyAlignment="1">
      <alignment horizontal="center"/>
    </xf>
    <xf numFmtId="2" fontId="3" fillId="2" borderId="8" xfId="0" applyNumberFormat="1" applyFont="1" applyFill="1" applyBorder="1" applyAlignment="1"/>
    <xf numFmtId="0" fontId="3" fillId="7" borderId="2" xfId="0" applyFont="1" applyFill="1" applyBorder="1" applyAlignment="1">
      <alignment horizontal="left"/>
    </xf>
    <xf numFmtId="2" fontId="3" fillId="7" borderId="5" xfId="0" applyNumberFormat="1" applyFont="1" applyFill="1" applyBorder="1" applyAlignment="1">
      <alignment horizontal="center"/>
    </xf>
    <xf numFmtId="0" fontId="3" fillId="7" borderId="0" xfId="0" applyFont="1" applyFill="1" applyBorder="1" applyAlignment="1">
      <alignment horizontal="right"/>
    </xf>
    <xf numFmtId="0" fontId="3" fillId="2" borderId="8" xfId="0" applyFont="1" applyFill="1" applyBorder="1" applyAlignment="1">
      <alignment horizontal="center"/>
    </xf>
    <xf numFmtId="0" fontId="2" fillId="2" borderId="0" xfId="0" applyFont="1" applyFill="1" applyAlignment="1">
      <alignment horizontal="center"/>
    </xf>
    <xf numFmtId="2" fontId="3" fillId="2" borderId="0" xfId="0" applyNumberFormat="1" applyFont="1" applyFill="1" applyBorder="1" applyAlignment="1">
      <alignment horizontal="center"/>
    </xf>
    <xf numFmtId="0" fontId="3" fillId="2" borderId="0" xfId="0" applyFont="1" applyFill="1" applyBorder="1" applyAlignment="1">
      <alignment horizontal="center"/>
    </xf>
    <xf numFmtId="0" fontId="2" fillId="2" borderId="0" xfId="0" applyFont="1" applyFill="1" applyBorder="1" applyAlignment="1">
      <alignment horizontal="center"/>
    </xf>
    <xf numFmtId="2" fontId="3" fillId="7" borderId="2" xfId="0" applyNumberFormat="1" applyFont="1" applyFill="1" applyBorder="1" applyAlignment="1">
      <alignment horizontal="center" vertical="center"/>
    </xf>
    <xf numFmtId="0" fontId="9" fillId="7" borderId="0" xfId="0" applyFont="1" applyFill="1" applyBorder="1" applyAlignment="1">
      <alignment horizontal="center"/>
    </xf>
    <xf numFmtId="0" fontId="9" fillId="4" borderId="10" xfId="0" applyFont="1" applyFill="1" applyBorder="1" applyAlignment="1">
      <alignment horizontal="center"/>
    </xf>
    <xf numFmtId="0" fontId="9" fillId="4" borderId="4" xfId="0" applyFont="1" applyFill="1" applyBorder="1" applyAlignment="1">
      <alignment horizontal="center"/>
    </xf>
    <xf numFmtId="0" fontId="9" fillId="7" borderId="0" xfId="0" applyFont="1" applyFill="1" applyBorder="1"/>
    <xf numFmtId="0" fontId="9" fillId="4" borderId="10" xfId="0" applyFont="1" applyFill="1" applyBorder="1"/>
    <xf numFmtId="0" fontId="9" fillId="4" borderId="4" xfId="0" applyFont="1" applyFill="1" applyBorder="1"/>
    <xf numFmtId="0" fontId="9" fillId="7" borderId="0" xfId="0" applyFont="1" applyFill="1" applyBorder="1" applyAlignment="1"/>
    <xf numFmtId="0" fontId="5" fillId="7" borderId="5" xfId="0" applyFont="1" applyFill="1" applyBorder="1" applyAlignment="1">
      <alignment horizontal="center" wrapText="1"/>
    </xf>
    <xf numFmtId="0" fontId="5" fillId="2" borderId="5" xfId="0" applyFont="1" applyFill="1" applyBorder="1" applyAlignment="1">
      <alignment horizontal="center" wrapText="1"/>
    </xf>
    <xf numFmtId="2" fontId="10" fillId="7" borderId="0" xfId="0" applyNumberFormat="1" applyFont="1" applyFill="1" applyBorder="1"/>
    <xf numFmtId="0" fontId="72" fillId="2" borderId="0" xfId="0" applyFont="1" applyFill="1"/>
    <xf numFmtId="2" fontId="72" fillId="2" borderId="0" xfId="0" applyNumberFormat="1" applyFont="1" applyFill="1" applyAlignment="1">
      <alignment horizontal="center" vertical="center"/>
    </xf>
    <xf numFmtId="0" fontId="3" fillId="2" borderId="7" xfId="0" applyFont="1" applyFill="1" applyBorder="1" applyAlignment="1">
      <alignment horizontal="left"/>
    </xf>
    <xf numFmtId="0" fontId="3" fillId="2" borderId="2" xfId="0" applyFont="1" applyFill="1" applyBorder="1" applyAlignment="1">
      <alignment horizontal="left"/>
    </xf>
    <xf numFmtId="0" fontId="3" fillId="2" borderId="5" xfId="0" applyFont="1" applyFill="1" applyBorder="1" applyAlignment="1">
      <alignment horizontal="left"/>
    </xf>
    <xf numFmtId="2" fontId="3" fillId="2" borderId="8" xfId="0" applyNumberFormat="1" applyFont="1" applyFill="1" applyBorder="1" applyAlignment="1"/>
    <xf numFmtId="2" fontId="3" fillId="7" borderId="2" xfId="0" applyNumberFormat="1" applyFont="1" applyFill="1" applyBorder="1" applyAlignment="1">
      <alignment horizontal="center" vertical="center"/>
    </xf>
    <xf numFmtId="0" fontId="3" fillId="2" borderId="0" xfId="0" applyFont="1" applyFill="1" applyBorder="1" applyAlignment="1">
      <alignment horizontal="left"/>
    </xf>
    <xf numFmtId="2" fontId="3" fillId="2" borderId="0" xfId="0" applyNumberFormat="1" applyFont="1" applyFill="1" applyBorder="1" applyAlignment="1">
      <alignment horizontal="right"/>
    </xf>
    <xf numFmtId="2" fontId="3" fillId="2" borderId="0" xfId="0" applyNumberFormat="1" applyFont="1" applyFill="1" applyBorder="1" applyAlignment="1">
      <alignment horizontal="center"/>
    </xf>
    <xf numFmtId="2" fontId="3" fillId="7" borderId="0" xfId="0" applyNumberFormat="1" applyFont="1" applyFill="1" applyBorder="1" applyAlignment="1">
      <alignment horizontal="center"/>
    </xf>
    <xf numFmtId="2" fontId="3" fillId="2" borderId="8" xfId="0" applyNumberFormat="1" applyFont="1" applyFill="1" applyBorder="1" applyAlignment="1">
      <alignment horizontal="center" vertical="center"/>
    </xf>
    <xf numFmtId="0" fontId="3" fillId="7" borderId="0" xfId="0" applyFont="1" applyFill="1" applyBorder="1" applyAlignment="1">
      <alignment horizontal="right"/>
    </xf>
    <xf numFmtId="0" fontId="3" fillId="2" borderId="8" xfId="0" applyFont="1" applyFill="1" applyBorder="1" applyAlignment="1">
      <alignment horizontal="center"/>
    </xf>
    <xf numFmtId="0" fontId="3" fillId="7" borderId="2" xfId="0" applyFont="1" applyFill="1" applyBorder="1" applyAlignment="1">
      <alignment horizontal="left"/>
    </xf>
    <xf numFmtId="0" fontId="3" fillId="7" borderId="0" xfId="0" applyFont="1" applyFill="1" applyBorder="1" applyAlignment="1">
      <alignment horizontal="left"/>
    </xf>
    <xf numFmtId="2" fontId="3" fillId="7" borderId="0" xfId="0" applyNumberFormat="1" applyFont="1" applyFill="1" applyBorder="1" applyAlignment="1">
      <alignment horizontal="right"/>
    </xf>
    <xf numFmtId="0" fontId="9" fillId="7" borderId="8" xfId="0" applyFont="1" applyFill="1" applyBorder="1" applyAlignment="1">
      <alignment horizontal="center" vertical="center"/>
    </xf>
    <xf numFmtId="0" fontId="0" fillId="2" borderId="8" xfId="0" applyFill="1" applyBorder="1" applyAlignment="1"/>
    <xf numFmtId="0" fontId="2" fillId="2" borderId="2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left"/>
    </xf>
    <xf numFmtId="0" fontId="3" fillId="2" borderId="8" xfId="0" applyFont="1" applyFill="1" applyBorder="1" applyAlignment="1">
      <alignment horizontal="center"/>
    </xf>
    <xf numFmtId="0" fontId="3" fillId="2" borderId="2" xfId="0" applyFont="1" applyFill="1" applyBorder="1" applyAlignment="1">
      <alignment horizontal="left"/>
    </xf>
    <xf numFmtId="0" fontId="3" fillId="2" borderId="5" xfId="0" applyFont="1" applyFill="1" applyBorder="1" applyAlignment="1">
      <alignment horizontal="left"/>
    </xf>
    <xf numFmtId="2" fontId="3" fillId="2" borderId="5" xfId="0" applyNumberFormat="1" applyFont="1" applyFill="1" applyBorder="1" applyAlignment="1">
      <alignment horizontal="center"/>
    </xf>
    <xf numFmtId="2" fontId="3" fillId="2" borderId="5" xfId="0" applyNumberFormat="1" applyFont="1" applyFill="1" applyBorder="1" applyAlignment="1">
      <alignment horizontal="center" vertical="center"/>
    </xf>
    <xf numFmtId="2" fontId="3" fillId="2" borderId="8" xfId="0" applyNumberFormat="1" applyFont="1" applyFill="1" applyBorder="1" applyAlignment="1">
      <alignment horizontal="center" vertical="center"/>
    </xf>
    <xf numFmtId="0" fontId="1" fillId="2" borderId="0" xfId="0" applyFont="1" applyFill="1" applyAlignment="1">
      <alignment horizontal="left"/>
    </xf>
    <xf numFmtId="0" fontId="3" fillId="2" borderId="7" xfId="0" applyFont="1" applyFill="1" applyBorder="1" applyAlignment="1">
      <alignment horizontal="left"/>
    </xf>
    <xf numFmtId="0" fontId="0" fillId="2" borderId="0" xfId="0" applyFill="1" applyBorder="1" applyAlignment="1">
      <alignment horizontal="center"/>
    </xf>
    <xf numFmtId="0" fontId="3" fillId="7" borderId="0" xfId="0" applyFont="1" applyFill="1" applyBorder="1" applyAlignment="1">
      <alignment horizontal="center"/>
    </xf>
    <xf numFmtId="2" fontId="3" fillId="2" borderId="0" xfId="0" applyNumberFormat="1" applyFont="1" applyFill="1" applyBorder="1" applyAlignment="1">
      <alignment horizontal="center"/>
    </xf>
    <xf numFmtId="0" fontId="3" fillId="7" borderId="2" xfId="0" applyFont="1" applyFill="1" applyBorder="1" applyAlignment="1">
      <alignment horizontal="left"/>
    </xf>
    <xf numFmtId="2" fontId="3" fillId="7" borderId="5" xfId="0" applyNumberFormat="1" applyFont="1" applyFill="1" applyBorder="1" applyAlignment="1">
      <alignment horizontal="center"/>
    </xf>
    <xf numFmtId="0" fontId="3" fillId="7" borderId="0" xfId="0" applyFont="1" applyFill="1" applyBorder="1" applyAlignment="1">
      <alignment horizontal="left"/>
    </xf>
    <xf numFmtId="2" fontId="3" fillId="7" borderId="0" xfId="0" applyNumberFormat="1" applyFont="1" applyFill="1" applyBorder="1" applyAlignment="1">
      <alignment horizontal="right"/>
    </xf>
    <xf numFmtId="0" fontId="3" fillId="2" borderId="0" xfId="0" applyFont="1" applyFill="1" applyBorder="1" applyAlignment="1">
      <alignment horizontal="left"/>
    </xf>
    <xf numFmtId="2" fontId="3" fillId="2" borderId="0" xfId="0" applyNumberFormat="1" applyFont="1" applyFill="1" applyBorder="1" applyAlignment="1">
      <alignment horizontal="right"/>
    </xf>
    <xf numFmtId="2" fontId="3" fillId="2" borderId="8" xfId="0" applyNumberFormat="1" applyFont="1" applyFill="1" applyBorder="1" applyAlignment="1"/>
    <xf numFmtId="2" fontId="3" fillId="7" borderId="2" xfId="0" applyNumberFormat="1" applyFont="1" applyFill="1" applyBorder="1" applyAlignment="1">
      <alignment horizontal="center" vertical="center"/>
    </xf>
    <xf numFmtId="2" fontId="3" fillId="7" borderId="5" xfId="0" applyNumberFormat="1" applyFont="1" applyFill="1" applyBorder="1" applyAlignment="1">
      <alignment horizontal="center" vertical="center"/>
    </xf>
    <xf numFmtId="2" fontId="3" fillId="7" borderId="0" xfId="0" applyNumberFormat="1" applyFont="1" applyFill="1" applyBorder="1" applyAlignment="1">
      <alignment horizontal="center"/>
    </xf>
    <xf numFmtId="0" fontId="3" fillId="7" borderId="0" xfId="0" applyFont="1" applyFill="1" applyBorder="1" applyAlignment="1">
      <alignment horizontal="right"/>
    </xf>
    <xf numFmtId="2" fontId="1" fillId="2" borderId="0" xfId="0" applyNumberFormat="1" applyFont="1" applyFill="1" applyBorder="1" applyAlignment="1">
      <alignment horizontal="center"/>
    </xf>
    <xf numFmtId="0" fontId="3" fillId="2" borderId="0" xfId="0" applyFont="1" applyFill="1" applyBorder="1" applyAlignment="1">
      <alignment horizontal="center"/>
    </xf>
    <xf numFmtId="0" fontId="2" fillId="2" borderId="0" xfId="0" applyFont="1" applyFill="1" applyBorder="1" applyAlignment="1">
      <alignment horizontal="center"/>
    </xf>
    <xf numFmtId="0" fontId="2" fillId="2" borderId="0" xfId="0" applyFont="1" applyFill="1" applyAlignment="1">
      <alignment horizontal="center"/>
    </xf>
    <xf numFmtId="0" fontId="3" fillId="2" borderId="8" xfId="0" applyFont="1" applyFill="1" applyBorder="1" applyAlignment="1">
      <alignment horizontal="center"/>
    </xf>
    <xf numFmtId="0" fontId="2" fillId="7" borderId="0" xfId="0" applyFont="1" applyFill="1" applyBorder="1" applyAlignment="1">
      <alignment horizontal="center"/>
    </xf>
    <xf numFmtId="0" fontId="3" fillId="11" borderId="8" xfId="0" applyFont="1" applyFill="1" applyBorder="1" applyAlignment="1">
      <alignment horizontal="center" vertical="center"/>
    </xf>
    <xf numFmtId="2" fontId="3" fillId="11" borderId="2" xfId="0" applyNumberFormat="1" applyFont="1" applyFill="1" applyBorder="1" applyAlignment="1">
      <alignment horizontal="center" vertical="center"/>
    </xf>
    <xf numFmtId="0" fontId="3" fillId="11" borderId="2" xfId="0" applyFont="1" applyFill="1" applyBorder="1" applyAlignment="1">
      <alignment horizontal="right"/>
    </xf>
    <xf numFmtId="0" fontId="3" fillId="11" borderId="2" xfId="0" applyFont="1" applyFill="1" applyBorder="1" applyAlignment="1">
      <alignment horizontal="left"/>
    </xf>
    <xf numFmtId="0" fontId="3" fillId="11" borderId="0" xfId="0" applyFont="1" applyFill="1"/>
    <xf numFmtId="2" fontId="3" fillId="11" borderId="0" xfId="0" applyNumberFormat="1" applyFont="1" applyFill="1"/>
    <xf numFmtId="2" fontId="3" fillId="11" borderId="0" xfId="0" applyNumberFormat="1" applyFont="1" applyFill="1" applyBorder="1" applyAlignment="1">
      <alignment horizontal="center" vertical="center"/>
    </xf>
    <xf numFmtId="0" fontId="3" fillId="11" borderId="0" xfId="0" applyFont="1" applyFill="1" applyBorder="1" applyAlignment="1">
      <alignment horizontal="center" vertical="center"/>
    </xf>
    <xf numFmtId="0" fontId="3" fillId="11" borderId="0" xfId="0" applyFont="1" applyFill="1" applyBorder="1" applyAlignment="1">
      <alignment horizontal="right"/>
    </xf>
    <xf numFmtId="0" fontId="3" fillId="11" borderId="0" xfId="0" applyFont="1" applyFill="1" applyBorder="1" applyAlignment="1">
      <alignment horizontal="left"/>
    </xf>
    <xf numFmtId="0" fontId="3" fillId="11" borderId="0" xfId="0" applyFont="1" applyFill="1" applyBorder="1"/>
    <xf numFmtId="2" fontId="3" fillId="2" borderId="5" xfId="0" applyNumberFormat="1" applyFont="1" applyFill="1" applyBorder="1" applyAlignment="1">
      <alignment horizontal="center"/>
    </xf>
    <xf numFmtId="2" fontId="3" fillId="2" borderId="5" xfId="0" applyNumberFormat="1" applyFont="1" applyFill="1" applyBorder="1" applyAlignment="1">
      <alignment horizontal="center" vertical="center"/>
    </xf>
    <xf numFmtId="2" fontId="3" fillId="7" borderId="5" xfId="0" applyNumberFormat="1" applyFont="1" applyFill="1" applyBorder="1" applyAlignment="1">
      <alignment horizontal="center" vertical="center"/>
    </xf>
    <xf numFmtId="0" fontId="3" fillId="2" borderId="0" xfId="0" applyFont="1" applyFill="1" applyBorder="1" applyAlignment="1">
      <alignment horizontal="left"/>
    </xf>
    <xf numFmtId="2" fontId="1" fillId="2" borderId="0" xfId="0" applyNumberFormat="1" applyFont="1" applyFill="1" applyBorder="1" applyAlignment="1">
      <alignment horizontal="center"/>
    </xf>
    <xf numFmtId="2" fontId="3" fillId="2" borderId="0" xfId="0" applyNumberFormat="1" applyFont="1" applyFill="1" applyBorder="1" applyAlignment="1">
      <alignment horizontal="center"/>
    </xf>
    <xf numFmtId="2" fontId="3" fillId="7" borderId="5" xfId="0" applyNumberFormat="1" applyFont="1" applyFill="1" applyBorder="1" applyAlignment="1">
      <alignment horizontal="center"/>
    </xf>
    <xf numFmtId="0" fontId="3" fillId="2" borderId="2" xfId="0" applyFont="1" applyFill="1" applyBorder="1" applyAlignment="1">
      <alignment horizontal="left"/>
    </xf>
    <xf numFmtId="0" fontId="3" fillId="2" borderId="0" xfId="0" applyFont="1" applyFill="1" applyBorder="1" applyAlignment="1">
      <alignment horizontal="left"/>
    </xf>
    <xf numFmtId="2" fontId="3" fillId="2" borderId="0" xfId="0" applyNumberFormat="1" applyFont="1" applyFill="1" applyBorder="1" applyAlignment="1">
      <alignment horizontal="right"/>
    </xf>
    <xf numFmtId="2" fontId="3" fillId="2" borderId="0" xfId="0" applyNumberFormat="1" applyFont="1" applyFill="1" applyBorder="1" applyAlignment="1">
      <alignment horizontal="center"/>
    </xf>
    <xf numFmtId="2" fontId="3" fillId="7" borderId="2" xfId="0" applyNumberFormat="1" applyFont="1" applyFill="1" applyBorder="1" applyAlignment="1">
      <alignment horizontal="center" vertical="center"/>
    </xf>
    <xf numFmtId="0" fontId="3" fillId="7" borderId="2" xfId="0" applyFont="1" applyFill="1" applyBorder="1" applyAlignment="1">
      <alignment horizontal="left"/>
    </xf>
    <xf numFmtId="0" fontId="3" fillId="7" borderId="5" xfId="0" applyFont="1" applyFill="1" applyBorder="1" applyAlignment="1">
      <alignment horizontal="left"/>
    </xf>
    <xf numFmtId="0" fontId="3" fillId="7" borderId="8" xfId="0" applyFont="1" applyFill="1" applyBorder="1" applyAlignment="1">
      <alignment horizontal="left"/>
    </xf>
    <xf numFmtId="2" fontId="3" fillId="7" borderId="5" xfId="0" applyNumberFormat="1" applyFont="1" applyFill="1" applyBorder="1" applyAlignment="1">
      <alignment horizontal="right"/>
    </xf>
    <xf numFmtId="2" fontId="3" fillId="7" borderId="8" xfId="0" applyNumberFormat="1" applyFont="1" applyFill="1" applyBorder="1" applyAlignment="1">
      <alignment horizontal="right"/>
    </xf>
    <xf numFmtId="2" fontId="3" fillId="7" borderId="5" xfId="0" applyNumberFormat="1" applyFont="1" applyFill="1" applyBorder="1" applyAlignment="1">
      <alignment horizontal="center"/>
    </xf>
    <xf numFmtId="2" fontId="3" fillId="7" borderId="8" xfId="0" applyNumberFormat="1" applyFont="1" applyFill="1" applyBorder="1" applyAlignment="1">
      <alignment horizontal="center"/>
    </xf>
    <xf numFmtId="0" fontId="3" fillId="2" borderId="2" xfId="0" applyFont="1" applyFill="1" applyBorder="1" applyAlignment="1">
      <alignment horizontal="left"/>
    </xf>
    <xf numFmtId="0" fontId="3" fillId="2" borderId="5" xfId="0" applyFont="1" applyFill="1" applyBorder="1" applyAlignment="1">
      <alignment horizontal="left"/>
    </xf>
    <xf numFmtId="0" fontId="3" fillId="2" borderId="8" xfId="0" applyFont="1" applyFill="1" applyBorder="1" applyAlignment="1">
      <alignment horizontal="left"/>
    </xf>
    <xf numFmtId="0" fontId="3" fillId="11" borderId="2" xfId="0" applyFont="1" applyFill="1" applyBorder="1" applyAlignment="1">
      <alignment horizontal="left"/>
    </xf>
    <xf numFmtId="0" fontId="3" fillId="11" borderId="5" xfId="0" applyFont="1" applyFill="1" applyBorder="1" applyAlignment="1">
      <alignment horizontal="left"/>
    </xf>
    <xf numFmtId="0" fontId="3" fillId="11" borderId="8" xfId="0" applyFont="1" applyFill="1" applyBorder="1" applyAlignment="1">
      <alignment horizontal="left"/>
    </xf>
    <xf numFmtId="2" fontId="3" fillId="11" borderId="5" xfId="0" applyNumberFormat="1" applyFont="1" applyFill="1" applyBorder="1" applyAlignment="1">
      <alignment horizontal="right"/>
    </xf>
    <xf numFmtId="2" fontId="3" fillId="11" borderId="8" xfId="0" applyNumberFormat="1" applyFont="1" applyFill="1" applyBorder="1" applyAlignment="1">
      <alignment horizontal="right"/>
    </xf>
    <xf numFmtId="2" fontId="3" fillId="11" borderId="5" xfId="0" applyNumberFormat="1" applyFont="1" applyFill="1" applyBorder="1" applyAlignment="1">
      <alignment horizontal="center"/>
    </xf>
    <xf numFmtId="2" fontId="3" fillId="11" borderId="8" xfId="0" applyNumberFormat="1" applyFont="1" applyFill="1" applyBorder="1" applyAlignment="1">
      <alignment horizontal="center"/>
    </xf>
    <xf numFmtId="2" fontId="3" fillId="11" borderId="0" xfId="0" applyNumberFormat="1" applyFont="1" applyFill="1" applyBorder="1" applyAlignment="1">
      <alignment horizontal="left"/>
    </xf>
    <xf numFmtId="0" fontId="19" fillId="11" borderId="2" xfId="0" applyFont="1" applyFill="1" applyBorder="1" applyAlignment="1">
      <alignment horizontal="left"/>
    </xf>
    <xf numFmtId="0" fontId="19" fillId="11" borderId="5" xfId="0" applyFont="1" applyFill="1" applyBorder="1" applyAlignment="1">
      <alignment horizontal="left"/>
    </xf>
    <xf numFmtId="0" fontId="19" fillId="11" borderId="8" xfId="0" applyFont="1" applyFill="1" applyBorder="1" applyAlignment="1">
      <alignment horizontal="left"/>
    </xf>
    <xf numFmtId="2" fontId="3" fillId="2" borderId="16" xfId="0" applyNumberFormat="1" applyFont="1" applyFill="1" applyBorder="1" applyAlignment="1">
      <alignment horizontal="right"/>
    </xf>
    <xf numFmtId="2" fontId="3" fillId="2" borderId="6" xfId="0" applyNumberFormat="1" applyFont="1" applyFill="1" applyBorder="1" applyAlignment="1">
      <alignment horizontal="right"/>
    </xf>
    <xf numFmtId="2" fontId="3" fillId="2" borderId="16" xfId="0" applyNumberFormat="1" applyFont="1" applyFill="1" applyBorder="1" applyAlignment="1">
      <alignment horizontal="center"/>
    </xf>
    <xf numFmtId="2" fontId="3" fillId="2" borderId="6" xfId="0" applyNumberFormat="1" applyFont="1" applyFill="1" applyBorder="1" applyAlignment="1">
      <alignment horizontal="center"/>
    </xf>
    <xf numFmtId="2" fontId="3" fillId="11" borderId="8" xfId="0" applyNumberFormat="1" applyFont="1" applyFill="1" applyBorder="1" applyAlignment="1"/>
    <xf numFmtId="2" fontId="3" fillId="11" borderId="1" xfId="0" applyNumberFormat="1" applyFont="1" applyFill="1" applyBorder="1" applyAlignment="1"/>
    <xf numFmtId="2" fontId="3" fillId="2" borderId="5" xfId="0" applyNumberFormat="1" applyFont="1" applyFill="1" applyBorder="1" applyAlignment="1">
      <alignment horizontal="center" vertical="center"/>
    </xf>
    <xf numFmtId="2" fontId="3" fillId="2" borderId="8" xfId="0" applyNumberFormat="1" applyFont="1" applyFill="1" applyBorder="1" applyAlignment="1">
      <alignment horizontal="center" vertical="center"/>
    </xf>
    <xf numFmtId="2" fontId="3" fillId="2" borderId="2" xfId="0" applyNumberFormat="1" applyFont="1" applyFill="1" applyBorder="1" applyAlignment="1">
      <alignment horizontal="center" vertical="center"/>
    </xf>
    <xf numFmtId="2" fontId="3" fillId="2" borderId="1" xfId="0" applyNumberFormat="1" applyFont="1" applyFill="1" applyBorder="1" applyAlignment="1">
      <alignment horizontal="center" vertical="center"/>
    </xf>
    <xf numFmtId="2" fontId="3" fillId="2" borderId="5" xfId="0" applyNumberFormat="1" applyFont="1" applyFill="1" applyBorder="1" applyAlignment="1"/>
    <xf numFmtId="2" fontId="3" fillId="2" borderId="8" xfId="0" applyNumberFormat="1" applyFont="1" applyFill="1" applyBorder="1" applyAlignment="1"/>
    <xf numFmtId="0" fontId="16" fillId="2" borderId="9" xfId="0" applyFont="1" applyFill="1" applyBorder="1" applyAlignment="1">
      <alignment horizontal="center" vertical="center" wrapText="1"/>
    </xf>
    <xf numFmtId="2" fontId="16" fillId="2" borderId="9" xfId="0" applyNumberFormat="1" applyFont="1" applyFill="1" applyBorder="1" applyAlignment="1">
      <alignment horizontal="center" vertical="center" wrapText="1"/>
    </xf>
    <xf numFmtId="0" fontId="3" fillId="2" borderId="7" xfId="0" applyFont="1" applyFill="1" applyBorder="1" applyAlignment="1">
      <alignment horizontal="left"/>
    </xf>
    <xf numFmtId="0" fontId="3" fillId="2" borderId="16" xfId="0" applyFont="1" applyFill="1" applyBorder="1" applyAlignment="1">
      <alignment horizontal="left"/>
    </xf>
    <xf numFmtId="0" fontId="3" fillId="2" borderId="6" xfId="0" applyFont="1" applyFill="1" applyBorder="1" applyAlignment="1">
      <alignment horizontal="left"/>
    </xf>
    <xf numFmtId="0" fontId="0" fillId="2" borderId="0" xfId="0" applyFill="1" applyBorder="1" applyAlignment="1">
      <alignment horizontal="center"/>
    </xf>
    <xf numFmtId="0" fontId="3" fillId="7" borderId="0" xfId="0" applyFont="1" applyFill="1" applyBorder="1" applyAlignment="1">
      <alignment horizontal="center"/>
    </xf>
    <xf numFmtId="0" fontId="3" fillId="7" borderId="2" xfId="0" applyFont="1" applyFill="1" applyBorder="1" applyAlignment="1">
      <alignment horizontal="left"/>
    </xf>
    <xf numFmtId="0" fontId="3" fillId="7" borderId="5" xfId="0" applyFont="1" applyFill="1" applyBorder="1" applyAlignment="1">
      <alignment horizontal="left"/>
    </xf>
    <xf numFmtId="0" fontId="3" fillId="7" borderId="8" xfId="0" applyFont="1" applyFill="1" applyBorder="1" applyAlignment="1">
      <alignment horizontal="left"/>
    </xf>
    <xf numFmtId="2" fontId="3" fillId="7" borderId="5" xfId="0" applyNumberFormat="1" applyFont="1" applyFill="1" applyBorder="1" applyAlignment="1">
      <alignment horizontal="right"/>
    </xf>
    <xf numFmtId="2" fontId="3" fillId="7" borderId="8" xfId="0" applyNumberFormat="1" applyFont="1" applyFill="1" applyBorder="1" applyAlignment="1">
      <alignment horizontal="right"/>
    </xf>
    <xf numFmtId="2" fontId="3" fillId="7" borderId="5" xfId="0" applyNumberFormat="1" applyFont="1" applyFill="1" applyBorder="1" applyAlignment="1">
      <alignment horizontal="center"/>
    </xf>
    <xf numFmtId="2" fontId="3" fillId="7" borderId="8" xfId="0" applyNumberFormat="1" applyFont="1" applyFill="1" applyBorder="1" applyAlignment="1">
      <alignment horizontal="center"/>
    </xf>
    <xf numFmtId="2" fontId="3" fillId="2" borderId="5" xfId="0" applyNumberFormat="1" applyFont="1" applyFill="1" applyBorder="1" applyAlignment="1">
      <alignment horizontal="right"/>
    </xf>
    <xf numFmtId="2" fontId="3" fillId="2" borderId="8" xfId="0" applyNumberFormat="1" applyFont="1" applyFill="1" applyBorder="1" applyAlignment="1">
      <alignment horizontal="right"/>
    </xf>
    <xf numFmtId="2" fontId="3" fillId="2" borderId="5" xfId="0" applyNumberFormat="1" applyFont="1" applyFill="1" applyBorder="1" applyAlignment="1">
      <alignment horizontal="center"/>
    </xf>
    <xf numFmtId="2" fontId="3" fillId="2" borderId="8" xfId="0" applyNumberFormat="1" applyFont="1" applyFill="1" applyBorder="1" applyAlignment="1">
      <alignment horizontal="center"/>
    </xf>
    <xf numFmtId="2" fontId="3" fillId="2" borderId="1" xfId="0" applyNumberFormat="1" applyFont="1" applyFill="1" applyBorder="1" applyAlignment="1">
      <alignment horizontal="center"/>
    </xf>
    <xf numFmtId="2" fontId="3" fillId="2" borderId="1" xfId="0" applyNumberFormat="1" applyFont="1" applyFill="1" applyBorder="1" applyAlignment="1">
      <alignment horizontal="right"/>
    </xf>
    <xf numFmtId="0" fontId="3" fillId="2" borderId="0" xfId="0" applyFont="1" applyFill="1" applyBorder="1" applyAlignment="1">
      <alignment horizontal="left"/>
    </xf>
    <xf numFmtId="2" fontId="3" fillId="2" borderId="0" xfId="0" applyNumberFormat="1" applyFont="1" applyFill="1" applyBorder="1" applyAlignment="1">
      <alignment horizontal="right"/>
    </xf>
    <xf numFmtId="0" fontId="3" fillId="2" borderId="5" xfId="0" applyFont="1" applyFill="1" applyBorder="1" applyAlignment="1">
      <alignment horizontal="center"/>
    </xf>
    <xf numFmtId="0" fontId="8" fillId="2" borderId="5" xfId="0" applyFont="1" applyFill="1" applyBorder="1" applyAlignment="1">
      <alignment horizontal="center" vertical="center"/>
    </xf>
    <xf numFmtId="0" fontId="8" fillId="2" borderId="8" xfId="0" applyFont="1" applyFill="1" applyBorder="1" applyAlignment="1">
      <alignment horizontal="center" vertical="center"/>
    </xf>
    <xf numFmtId="0" fontId="8" fillId="2" borderId="2" xfId="0" applyFont="1" applyFill="1" applyBorder="1" applyAlignment="1">
      <alignment horizontal="center" vertical="center"/>
    </xf>
    <xf numFmtId="2" fontId="3" fillId="2" borderId="0" xfId="0" applyNumberFormat="1" applyFont="1" applyFill="1" applyBorder="1" applyAlignment="1">
      <alignment horizontal="center"/>
    </xf>
    <xf numFmtId="0" fontId="3" fillId="7" borderId="0" xfId="0" applyFont="1" applyFill="1" applyBorder="1" applyAlignment="1">
      <alignment horizontal="left"/>
    </xf>
    <xf numFmtId="2" fontId="3" fillId="7" borderId="0" xfId="0" applyNumberFormat="1" applyFont="1" applyFill="1" applyBorder="1" applyAlignment="1">
      <alignment horizontal="right"/>
    </xf>
    <xf numFmtId="2" fontId="3" fillId="7" borderId="8" xfId="0" applyNumberFormat="1" applyFont="1" applyFill="1" applyBorder="1" applyAlignment="1">
      <alignment horizontal="center" vertical="center"/>
    </xf>
    <xf numFmtId="2" fontId="3" fillId="7" borderId="1" xfId="0" applyNumberFormat="1" applyFont="1" applyFill="1" applyBorder="1" applyAlignment="1">
      <alignment horizontal="center" vertical="center"/>
    </xf>
    <xf numFmtId="2" fontId="3" fillId="11" borderId="0" xfId="0" applyNumberFormat="1" applyFont="1" applyFill="1" applyBorder="1" applyAlignment="1"/>
    <xf numFmtId="2" fontId="3" fillId="11" borderId="5" xfId="0" applyNumberFormat="1" applyFont="1" applyFill="1" applyBorder="1" applyAlignment="1"/>
    <xf numFmtId="2" fontId="3" fillId="7" borderId="2" xfId="0" applyNumberFormat="1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/>
    </xf>
    <xf numFmtId="0" fontId="2" fillId="2" borderId="10" xfId="0" applyFont="1" applyFill="1" applyBorder="1" applyAlignment="1">
      <alignment horizontal="center"/>
    </xf>
    <xf numFmtId="0" fontId="3" fillId="0" borderId="1" xfId="0" applyFont="1" applyFill="1" applyBorder="1" applyAlignment="1">
      <alignment horizontal="left"/>
    </xf>
    <xf numFmtId="0" fontId="2" fillId="2" borderId="0" xfId="0" applyFont="1" applyFill="1" applyBorder="1" applyAlignment="1">
      <alignment horizontal="center"/>
    </xf>
    <xf numFmtId="2" fontId="3" fillId="7" borderId="0" xfId="0" applyNumberFormat="1" applyFont="1" applyFill="1" applyBorder="1" applyAlignment="1">
      <alignment horizontal="center"/>
    </xf>
    <xf numFmtId="0" fontId="16" fillId="2" borderId="14" xfId="0" applyFont="1" applyFill="1" applyBorder="1" applyAlignment="1">
      <alignment horizontal="center" vertical="center" wrapText="1"/>
    </xf>
    <xf numFmtId="0" fontId="16" fillId="2" borderId="15" xfId="0" applyFont="1" applyFill="1" applyBorder="1" applyAlignment="1">
      <alignment horizontal="center" vertical="center" wrapText="1"/>
    </xf>
    <xf numFmtId="2" fontId="16" fillId="2" borderId="0" xfId="0" applyNumberFormat="1" applyFont="1" applyFill="1" applyBorder="1" applyAlignment="1">
      <alignment horizontal="center" vertical="center" wrapText="1"/>
    </xf>
    <xf numFmtId="0" fontId="3" fillId="2" borderId="0" xfId="0" applyFont="1" applyFill="1" applyBorder="1" applyAlignment="1">
      <alignment horizontal="center"/>
    </xf>
    <xf numFmtId="0" fontId="16" fillId="2" borderId="0" xfId="0" applyFont="1" applyFill="1" applyBorder="1" applyAlignment="1">
      <alignment horizontal="center" vertical="center" wrapText="1"/>
    </xf>
    <xf numFmtId="0" fontId="3" fillId="7" borderId="0" xfId="0" applyFont="1" applyFill="1" applyBorder="1" applyAlignment="1">
      <alignment horizontal="center" wrapText="1"/>
    </xf>
    <xf numFmtId="0" fontId="2" fillId="2" borderId="17" xfId="0" applyFont="1" applyFill="1" applyBorder="1" applyAlignment="1">
      <alignment horizontal="center"/>
    </xf>
    <xf numFmtId="0" fontId="2" fillId="2" borderId="0" xfId="0" applyFont="1" applyFill="1" applyAlignment="1">
      <alignment horizontal="center"/>
    </xf>
    <xf numFmtId="2" fontId="3" fillId="2" borderId="2" xfId="0" applyNumberFormat="1" applyFont="1" applyFill="1" applyBorder="1" applyAlignment="1">
      <alignment horizontal="center"/>
    </xf>
    <xf numFmtId="0" fontId="16" fillId="2" borderId="8" xfId="0" applyFont="1" applyFill="1" applyBorder="1" applyAlignment="1">
      <alignment horizontal="center" vertical="center" wrapText="1"/>
    </xf>
    <xf numFmtId="0" fontId="16" fillId="2" borderId="2" xfId="0" applyFont="1" applyFill="1" applyBorder="1" applyAlignment="1">
      <alignment horizontal="center" vertical="center" wrapText="1"/>
    </xf>
    <xf numFmtId="0" fontId="34" fillId="2" borderId="8" xfId="0" applyFont="1" applyFill="1" applyBorder="1" applyAlignment="1">
      <alignment horizontal="center"/>
    </xf>
    <xf numFmtId="0" fontId="34" fillId="2" borderId="1" xfId="0" applyFont="1" applyFill="1" applyBorder="1" applyAlignment="1">
      <alignment horizontal="center"/>
    </xf>
    <xf numFmtId="0" fontId="34" fillId="2" borderId="2" xfId="0" applyFont="1" applyFill="1" applyBorder="1" applyAlignment="1">
      <alignment horizontal="center"/>
    </xf>
    <xf numFmtId="0" fontId="2" fillId="2" borderId="5" xfId="0" applyFont="1" applyFill="1" applyBorder="1" applyAlignment="1">
      <alignment horizontal="center"/>
    </xf>
    <xf numFmtId="0" fontId="3" fillId="2" borderId="9" xfId="0" applyFont="1" applyFill="1" applyBorder="1" applyAlignment="1">
      <alignment horizontal="center"/>
    </xf>
    <xf numFmtId="0" fontId="3" fillId="2" borderId="14" xfId="0" applyFont="1" applyFill="1" applyBorder="1" applyAlignment="1">
      <alignment horizontal="center"/>
    </xf>
    <xf numFmtId="164" fontId="3" fillId="2" borderId="8" xfId="0" applyNumberFormat="1" applyFont="1" applyFill="1" applyBorder="1" applyAlignment="1">
      <alignment horizontal="center"/>
    </xf>
    <xf numFmtId="164" fontId="3" fillId="2" borderId="2" xfId="0" applyNumberFormat="1" applyFont="1" applyFill="1" applyBorder="1" applyAlignment="1">
      <alignment horizontal="center"/>
    </xf>
    <xf numFmtId="2" fontId="3" fillId="2" borderId="14" xfId="0" applyNumberFormat="1" applyFont="1" applyFill="1" applyBorder="1" applyAlignment="1">
      <alignment horizontal="center"/>
    </xf>
    <xf numFmtId="2" fontId="3" fillId="2" borderId="15" xfId="0" applyNumberFormat="1" applyFont="1" applyFill="1" applyBorder="1" applyAlignment="1">
      <alignment horizontal="center"/>
    </xf>
    <xf numFmtId="0" fontId="3" fillId="2" borderId="8" xfId="0" applyFont="1" applyFill="1" applyBorder="1" applyAlignment="1">
      <alignment horizontal="center"/>
    </xf>
    <xf numFmtId="2" fontId="3" fillId="2" borderId="7" xfId="0" applyNumberFormat="1" applyFont="1" applyFill="1" applyBorder="1" applyAlignment="1">
      <alignment horizontal="center"/>
    </xf>
    <xf numFmtId="2" fontId="3" fillId="2" borderId="18" xfId="0" applyNumberFormat="1" applyFont="1" applyFill="1" applyBorder="1" applyAlignment="1">
      <alignment horizontal="center"/>
    </xf>
    <xf numFmtId="2" fontId="3" fillId="2" borderId="20" xfId="0" applyNumberFormat="1" applyFont="1" applyFill="1" applyBorder="1" applyAlignment="1">
      <alignment horizontal="center"/>
    </xf>
    <xf numFmtId="2" fontId="3" fillId="2" borderId="17" xfId="0" applyNumberFormat="1" applyFont="1" applyFill="1" applyBorder="1" applyAlignment="1">
      <alignment horizontal="center"/>
    </xf>
    <xf numFmtId="2" fontId="3" fillId="2" borderId="3" xfId="0" applyNumberFormat="1" applyFont="1" applyFill="1" applyBorder="1" applyAlignment="1">
      <alignment horizontal="center"/>
    </xf>
    <xf numFmtId="0" fontId="1" fillId="2" borderId="8" xfId="0" applyFont="1" applyFill="1" applyBorder="1" applyAlignment="1">
      <alignment horizontal="center" vertical="center" wrapText="1"/>
    </xf>
    <xf numFmtId="0" fontId="1" fillId="2" borderId="2" xfId="0" applyFont="1" applyFill="1" applyBorder="1" applyAlignment="1">
      <alignment horizontal="center" vertical="center" wrapText="1"/>
    </xf>
    <xf numFmtId="0" fontId="18" fillId="2" borderId="0" xfId="0" applyFont="1" applyFill="1" applyAlignment="1">
      <alignment horizontal="left" wrapText="1"/>
    </xf>
    <xf numFmtId="0" fontId="2" fillId="7" borderId="0" xfId="0" applyFont="1" applyFill="1" applyBorder="1" applyAlignment="1">
      <alignment horizontal="center"/>
    </xf>
    <xf numFmtId="0" fontId="3" fillId="7" borderId="0" xfId="0" applyFont="1" applyFill="1" applyBorder="1" applyAlignment="1">
      <alignment horizontal="right"/>
    </xf>
    <xf numFmtId="0" fontId="19" fillId="2" borderId="2" xfId="0" applyFont="1" applyFill="1" applyBorder="1" applyAlignment="1">
      <alignment horizontal="left"/>
    </xf>
    <xf numFmtId="0" fontId="19" fillId="2" borderId="5" xfId="0" applyFont="1" applyFill="1" applyBorder="1" applyAlignment="1">
      <alignment horizontal="left"/>
    </xf>
    <xf numFmtId="0" fontId="19" fillId="2" borderId="8" xfId="0" applyFont="1" applyFill="1" applyBorder="1" applyAlignment="1">
      <alignment horizontal="left"/>
    </xf>
    <xf numFmtId="2" fontId="3" fillId="7" borderId="5" xfId="0" applyNumberFormat="1" applyFont="1" applyFill="1" applyBorder="1" applyAlignment="1">
      <alignment horizontal="center" vertical="center"/>
    </xf>
    <xf numFmtId="0" fontId="8" fillId="7" borderId="5" xfId="0" applyFont="1" applyFill="1" applyBorder="1" applyAlignment="1">
      <alignment horizontal="center" vertical="center"/>
    </xf>
    <xf numFmtId="0" fontId="0" fillId="7" borderId="5" xfId="0" applyFill="1" applyBorder="1" applyAlignment="1">
      <alignment horizontal="center" vertical="center"/>
    </xf>
    <xf numFmtId="0" fontId="0" fillId="7" borderId="8" xfId="0" applyFill="1" applyBorder="1" applyAlignment="1">
      <alignment horizontal="center" vertical="center"/>
    </xf>
    <xf numFmtId="2" fontId="2" fillId="2" borderId="5" xfId="0" applyNumberFormat="1" applyFont="1" applyFill="1" applyBorder="1" applyAlignment="1">
      <alignment horizontal="center"/>
    </xf>
    <xf numFmtId="2" fontId="3" fillId="0" borderId="0" xfId="0" applyNumberFormat="1" applyFont="1" applyFill="1" applyBorder="1" applyAlignment="1">
      <alignment horizontal="center"/>
    </xf>
    <xf numFmtId="2" fontId="1" fillId="2" borderId="0" xfId="0" applyNumberFormat="1" applyFont="1" applyFill="1" applyBorder="1" applyAlignment="1">
      <alignment horizontal="center"/>
    </xf>
    <xf numFmtId="2" fontId="3" fillId="2" borderId="13" xfId="0" applyNumberFormat="1" applyFont="1" applyFill="1" applyBorder="1" applyAlignment="1">
      <alignment horizontal="center"/>
    </xf>
    <xf numFmtId="0" fontId="3" fillId="2" borderId="13" xfId="0" applyFont="1" applyFill="1" applyBorder="1" applyAlignment="1">
      <alignment horizontal="center"/>
    </xf>
    <xf numFmtId="0" fontId="0" fillId="7" borderId="5" xfId="0" applyFill="1" applyBorder="1" applyAlignment="1">
      <alignment horizontal="center"/>
    </xf>
    <xf numFmtId="0" fontId="0" fillId="7" borderId="8" xfId="0" applyFill="1" applyBorder="1" applyAlignment="1">
      <alignment horizontal="center"/>
    </xf>
    <xf numFmtId="0" fontId="3" fillId="2" borderId="5" xfId="0" applyFont="1" applyFill="1" applyBorder="1" applyAlignment="1">
      <alignment horizontal="right"/>
    </xf>
    <xf numFmtId="0" fontId="3" fillId="2" borderId="8" xfId="0" applyFont="1" applyFill="1" applyBorder="1" applyAlignment="1">
      <alignment horizontal="right"/>
    </xf>
    <xf numFmtId="0" fontId="8" fillId="0" borderId="5" xfId="0" applyFont="1" applyFill="1" applyBorder="1" applyAlignment="1">
      <alignment horizontal="center" vertical="center"/>
    </xf>
    <xf numFmtId="0" fontId="1" fillId="2" borderId="0" xfId="0" applyFont="1" applyFill="1" applyAlignment="1">
      <alignment horizontal="left"/>
    </xf>
    <xf numFmtId="2" fontId="3" fillId="2" borderId="16" xfId="0" applyNumberFormat="1" applyFont="1" applyFill="1" applyBorder="1" applyAlignment="1"/>
    <xf numFmtId="2" fontId="3" fillId="2" borderId="6" xfId="0" applyNumberFormat="1" applyFont="1" applyFill="1" applyBorder="1" applyAlignment="1"/>
    <xf numFmtId="0" fontId="19" fillId="7" borderId="2" xfId="0" applyFont="1" applyFill="1" applyBorder="1" applyAlignment="1">
      <alignment horizontal="left"/>
    </xf>
    <xf numFmtId="0" fontId="19" fillId="7" borderId="5" xfId="0" applyFont="1" applyFill="1" applyBorder="1" applyAlignment="1">
      <alignment horizontal="left"/>
    </xf>
    <xf numFmtId="0" fontId="19" fillId="7" borderId="8" xfId="0" applyFont="1" applyFill="1" applyBorder="1" applyAlignment="1">
      <alignment horizontal="left"/>
    </xf>
    <xf numFmtId="0" fontId="1" fillId="8" borderId="0" xfId="0" applyFont="1" applyFill="1" applyAlignment="1">
      <alignment horizontal="center"/>
    </xf>
    <xf numFmtId="0" fontId="16" fillId="2" borderId="5" xfId="0" applyFont="1" applyFill="1" applyBorder="1" applyAlignment="1">
      <alignment horizontal="center" wrapText="1"/>
    </xf>
    <xf numFmtId="2" fontId="10" fillId="2" borderId="8" xfId="0" applyNumberFormat="1" applyFont="1" applyFill="1" applyBorder="1" applyAlignment="1">
      <alignment horizontal="center"/>
    </xf>
    <xf numFmtId="2" fontId="10" fillId="2" borderId="2" xfId="0" applyNumberFormat="1" applyFont="1" applyFill="1" applyBorder="1" applyAlignment="1">
      <alignment horizontal="center"/>
    </xf>
    <xf numFmtId="2" fontId="3" fillId="2" borderId="18" xfId="0" applyNumberFormat="1" applyFont="1" applyFill="1" applyBorder="1" applyAlignment="1">
      <alignment horizontal="right"/>
    </xf>
    <xf numFmtId="2" fontId="3" fillId="2" borderId="19" xfId="0" applyNumberFormat="1" applyFont="1" applyFill="1" applyBorder="1" applyAlignment="1">
      <alignment horizontal="right"/>
    </xf>
    <xf numFmtId="0" fontId="0" fillId="2" borderId="5" xfId="0" applyFill="1" applyBorder="1" applyAlignment="1">
      <alignment horizontal="center"/>
    </xf>
    <xf numFmtId="0" fontId="0" fillId="2" borderId="8" xfId="0" applyFill="1" applyBorder="1" applyAlignment="1">
      <alignment horizontal="center"/>
    </xf>
    <xf numFmtId="0" fontId="16" fillId="10" borderId="0" xfId="0" applyFont="1" applyFill="1" applyBorder="1" applyAlignment="1">
      <alignment horizontal="center"/>
    </xf>
    <xf numFmtId="164" fontId="3" fillId="0" borderId="8" xfId="0" applyNumberFormat="1" applyFont="1" applyFill="1" applyBorder="1" applyAlignment="1">
      <alignment horizontal="center"/>
    </xf>
    <xf numFmtId="164" fontId="3" fillId="0" borderId="2" xfId="0" applyNumberFormat="1" applyFont="1" applyFill="1" applyBorder="1" applyAlignment="1">
      <alignment horizontal="center"/>
    </xf>
    <xf numFmtId="2" fontId="3" fillId="2" borderId="18" xfId="0" applyNumberFormat="1" applyFont="1" applyFill="1" applyBorder="1" applyAlignment="1">
      <alignment horizontal="center" vertical="center"/>
    </xf>
    <xf numFmtId="2" fontId="3" fillId="2" borderId="20" xfId="0" applyNumberFormat="1" applyFont="1" applyFill="1" applyBorder="1" applyAlignment="1">
      <alignment horizontal="center" vertical="center"/>
    </xf>
    <xf numFmtId="2" fontId="3" fillId="2" borderId="6" xfId="0" applyNumberFormat="1" applyFont="1" applyFill="1" applyBorder="1" applyAlignment="1">
      <alignment horizontal="center" vertical="center"/>
    </xf>
    <xf numFmtId="2" fontId="3" fillId="2" borderId="7" xfId="0" applyNumberFormat="1" applyFont="1" applyFill="1" applyBorder="1" applyAlignment="1">
      <alignment horizontal="center" vertical="center"/>
    </xf>
    <xf numFmtId="0" fontId="2" fillId="2" borderId="8" xfId="0" applyFont="1" applyFill="1" applyBorder="1" applyAlignment="1">
      <alignment horizontal="center"/>
    </xf>
    <xf numFmtId="0" fontId="2" fillId="2" borderId="9" xfId="0" applyFont="1" applyFill="1" applyBorder="1" applyAlignment="1">
      <alignment horizontal="center"/>
    </xf>
    <xf numFmtId="0" fontId="2" fillId="2" borderId="14" xfId="0" applyFont="1" applyFill="1" applyBorder="1" applyAlignment="1">
      <alignment horizontal="center"/>
    </xf>
    <xf numFmtId="164" fontId="3" fillId="0" borderId="14" xfId="0" applyNumberFormat="1" applyFont="1" applyFill="1" applyBorder="1" applyAlignment="1">
      <alignment horizontal="center"/>
    </xf>
    <xf numFmtId="164" fontId="3" fillId="0" borderId="15" xfId="0" applyNumberFormat="1" applyFont="1" applyFill="1" applyBorder="1" applyAlignment="1">
      <alignment horizontal="center"/>
    </xf>
    <xf numFmtId="0" fontId="0" fillId="2" borderId="5" xfId="0" applyFill="1" applyBorder="1" applyAlignment="1">
      <alignment horizontal="center" vertical="center"/>
    </xf>
    <xf numFmtId="0" fontId="0" fillId="2" borderId="8" xfId="0" applyFill="1" applyBorder="1" applyAlignment="1">
      <alignment horizontal="center" vertical="center"/>
    </xf>
    <xf numFmtId="2" fontId="3" fillId="11" borderId="0" xfId="0" applyNumberFormat="1" applyFont="1" applyFill="1" applyBorder="1" applyAlignment="1">
      <alignment horizontal="right"/>
    </xf>
    <xf numFmtId="2" fontId="3" fillId="11" borderId="0" xfId="0" applyNumberFormat="1" applyFont="1" applyFill="1" applyBorder="1" applyAlignment="1">
      <alignment horizontal="center"/>
    </xf>
    <xf numFmtId="0" fontId="3" fillId="11" borderId="0" xfId="0" applyFont="1" applyFill="1" applyBorder="1" applyAlignment="1">
      <alignment horizontal="left"/>
    </xf>
    <xf numFmtId="0" fontId="3" fillId="2" borderId="11" xfId="0" applyFont="1" applyFill="1" applyBorder="1" applyAlignment="1">
      <alignment horizontal="left"/>
    </xf>
    <xf numFmtId="0" fontId="3" fillId="2" borderId="24" xfId="0" applyFont="1" applyFill="1" applyBorder="1" applyAlignment="1">
      <alignment horizontal="left"/>
    </xf>
    <xf numFmtId="0" fontId="3" fillId="2" borderId="23" xfId="0" applyFont="1" applyFill="1" applyBorder="1" applyAlignment="1">
      <alignment horizontal="left"/>
    </xf>
    <xf numFmtId="2" fontId="3" fillId="2" borderId="23" xfId="0" applyNumberFormat="1" applyFont="1" applyFill="1" applyBorder="1" applyAlignment="1">
      <alignment horizontal="right"/>
    </xf>
    <xf numFmtId="2" fontId="3" fillId="2" borderId="10" xfId="0" applyNumberFormat="1" applyFont="1" applyFill="1" applyBorder="1" applyAlignment="1">
      <alignment horizontal="right"/>
    </xf>
    <xf numFmtId="2" fontId="3" fillId="2" borderId="23" xfId="0" applyNumberFormat="1" applyFont="1" applyFill="1" applyBorder="1" applyAlignment="1">
      <alignment horizontal="center"/>
    </xf>
    <xf numFmtId="2" fontId="3" fillId="2" borderId="10" xfId="0" applyNumberFormat="1" applyFont="1" applyFill="1" applyBorder="1" applyAlignment="1">
      <alignment horizontal="center"/>
    </xf>
    <xf numFmtId="2" fontId="3" fillId="7" borderId="0" xfId="0" applyNumberFormat="1" applyFont="1" applyFill="1" applyBorder="1" applyAlignment="1"/>
    <xf numFmtId="0" fontId="3" fillId="2" borderId="1" xfId="0" applyFont="1" applyFill="1" applyBorder="1" applyAlignment="1">
      <alignment horizontal="center"/>
    </xf>
    <xf numFmtId="0" fontId="3" fillId="2" borderId="2" xfId="0" applyFont="1" applyFill="1" applyBorder="1" applyAlignment="1">
      <alignment horizontal="center"/>
    </xf>
    <xf numFmtId="0" fontId="63" fillId="0" borderId="0" xfId="1" applyFont="1" applyAlignment="1">
      <alignment horizontal="center"/>
    </xf>
    <xf numFmtId="166" fontId="63" fillId="0" borderId="0" xfId="1" applyNumberFormat="1" applyFont="1" applyAlignment="1">
      <alignment horizontal="center" textRotation="91"/>
    </xf>
    <xf numFmtId="0" fontId="61" fillId="0" borderId="0" xfId="1" applyFont="1" applyAlignment="1">
      <alignment horizontal="right" vertical="center" textRotation="90"/>
    </xf>
    <xf numFmtId="0" fontId="61" fillId="0" borderId="0" xfId="1" applyFont="1" applyAlignment="1">
      <alignment horizontal="right" textRotation="90"/>
    </xf>
    <xf numFmtId="0" fontId="61" fillId="0" borderId="0" xfId="1" applyFont="1" applyAlignment="1">
      <alignment horizontal="center"/>
    </xf>
    <xf numFmtId="0" fontId="61" fillId="0" borderId="0" xfId="1" applyFont="1" applyAlignment="1">
      <alignment horizontal="right"/>
    </xf>
    <xf numFmtId="0" fontId="61" fillId="0" borderId="0" xfId="1" applyFont="1" applyAlignment="1">
      <alignment horizontal="left"/>
    </xf>
    <xf numFmtId="2" fontId="63" fillId="0" borderId="0" xfId="1" applyNumberFormat="1" applyFont="1" applyAlignment="1">
      <alignment horizontal="center"/>
    </xf>
    <xf numFmtId="166" fontId="61" fillId="8" borderId="0" xfId="1" applyNumberFormat="1" applyFont="1" applyFill="1" applyAlignment="1">
      <alignment horizontal="right" textRotation="90"/>
    </xf>
    <xf numFmtId="0" fontId="62" fillId="0" borderId="0" xfId="1" applyFont="1" applyAlignment="1">
      <alignment horizontal="left"/>
    </xf>
    <xf numFmtId="165" fontId="61" fillId="0" borderId="0" xfId="1" applyNumberFormat="1" applyFont="1" applyAlignment="1">
      <alignment horizontal="left" wrapText="1"/>
    </xf>
    <xf numFmtId="166" fontId="61" fillId="0" borderId="0" xfId="1" applyNumberFormat="1" applyFont="1" applyAlignment="1">
      <alignment horizontal="right" textRotation="90"/>
    </xf>
    <xf numFmtId="0" fontId="62" fillId="0" borderId="0" xfId="1" applyFont="1" applyAlignment="1">
      <alignment horizontal="center"/>
    </xf>
    <xf numFmtId="2" fontId="61" fillId="0" borderId="0" xfId="1" applyNumberFormat="1" applyFont="1" applyAlignment="1">
      <alignment horizontal="center"/>
    </xf>
    <xf numFmtId="2" fontId="3" fillId="7" borderId="0" xfId="0" applyNumberFormat="1" applyFont="1" applyFill="1" applyBorder="1" applyAlignment="1">
      <alignment horizontal="left"/>
    </xf>
    <xf numFmtId="2" fontId="3" fillId="2" borderId="0" xfId="0" applyNumberFormat="1" applyFont="1" applyFill="1" applyBorder="1" applyAlignment="1">
      <alignment horizontal="left"/>
    </xf>
    <xf numFmtId="2" fontId="3" fillId="7" borderId="8" xfId="0" applyNumberFormat="1" applyFont="1" applyFill="1" applyBorder="1" applyAlignment="1"/>
    <xf numFmtId="2" fontId="3" fillId="7" borderId="1" xfId="0" applyNumberFormat="1" applyFont="1" applyFill="1" applyBorder="1" applyAlignment="1"/>
    <xf numFmtId="0" fontId="0" fillId="0" borderId="0" xfId="0" applyAlignment="1">
      <alignment horizontal="center"/>
    </xf>
    <xf numFmtId="0" fontId="73" fillId="0" borderId="0" xfId="0" applyFont="1" applyAlignment="1">
      <alignment horizontal="center" vertical="center"/>
    </xf>
    <xf numFmtId="0" fontId="48" fillId="0" borderId="8" xfId="0" applyFont="1" applyBorder="1" applyAlignment="1">
      <alignment horizontal="center" vertical="center" wrapText="1"/>
    </xf>
    <xf numFmtId="0" fontId="48" fillId="0" borderId="1" xfId="0" applyFont="1" applyBorder="1" applyAlignment="1">
      <alignment horizontal="center" vertical="center" wrapText="1"/>
    </xf>
    <xf numFmtId="0" fontId="48" fillId="0" borderId="2" xfId="0" applyFont="1" applyBorder="1" applyAlignment="1">
      <alignment horizontal="center" vertical="center" wrapText="1"/>
    </xf>
    <xf numFmtId="0" fontId="48" fillId="0" borderId="5" xfId="0" applyFont="1" applyBorder="1" applyAlignment="1">
      <alignment horizontal="center" vertical="center" wrapText="1"/>
    </xf>
    <xf numFmtId="0" fontId="48" fillId="0" borderId="5" xfId="0" applyFont="1" applyBorder="1" applyAlignment="1">
      <alignment horizontal="center" vertical="center"/>
    </xf>
    <xf numFmtId="0" fontId="47" fillId="0" borderId="5" xfId="0" applyFont="1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7" xfId="0" applyBorder="1" applyAlignment="1">
      <alignment horizontal="center"/>
    </xf>
    <xf numFmtId="2" fontId="3" fillId="8" borderId="5" xfId="0" applyNumberFormat="1" applyFont="1" applyFill="1" applyBorder="1" applyAlignment="1">
      <alignment horizontal="right"/>
    </xf>
    <xf numFmtId="2" fontId="3" fillId="8" borderId="8" xfId="0" applyNumberFormat="1" applyFont="1" applyFill="1" applyBorder="1" applyAlignment="1">
      <alignment horizontal="right"/>
    </xf>
    <xf numFmtId="0" fontId="3" fillId="2" borderId="17" xfId="0" applyFont="1" applyFill="1" applyBorder="1" applyAlignment="1">
      <alignment horizontal="center" vertical="center"/>
    </xf>
    <xf numFmtId="0" fontId="3" fillId="2" borderId="0" xfId="0" applyFont="1" applyFill="1" applyBorder="1" applyAlignment="1">
      <alignment horizontal="center" vertical="center"/>
    </xf>
    <xf numFmtId="0" fontId="3" fillId="7" borderId="8" xfId="0" applyFont="1" applyFill="1" applyBorder="1" applyAlignment="1">
      <alignment horizontal="center" vertical="center"/>
    </xf>
    <xf numFmtId="0" fontId="3" fillId="7" borderId="1" xfId="0" applyFont="1" applyFill="1" applyBorder="1" applyAlignment="1">
      <alignment horizontal="center" vertical="center"/>
    </xf>
    <xf numFmtId="1" fontId="75" fillId="2" borderId="23" xfId="0" applyNumberFormat="1" applyFont="1" applyFill="1" applyBorder="1" applyAlignment="1">
      <alignment horizontal="center" vertical="center"/>
    </xf>
    <xf numFmtId="1" fontId="75" fillId="2" borderId="6" xfId="0" applyNumberFormat="1" applyFont="1" applyFill="1" applyBorder="1" applyAlignment="1">
      <alignment horizontal="center" vertical="center"/>
    </xf>
    <xf numFmtId="0" fontId="74" fillId="2" borderId="24" xfId="0" applyFont="1" applyFill="1" applyBorder="1" applyAlignment="1">
      <alignment horizontal="center" vertical="center" textRotation="90"/>
    </xf>
    <xf numFmtId="0" fontId="74" fillId="2" borderId="25" xfId="0" applyFont="1" applyFill="1" applyBorder="1" applyAlignment="1">
      <alignment horizontal="center" vertical="center" textRotation="90"/>
    </xf>
    <xf numFmtId="0" fontId="74" fillId="2" borderId="16" xfId="0" applyFont="1" applyFill="1" applyBorder="1" applyAlignment="1">
      <alignment horizontal="center" vertical="center" textRotation="90"/>
    </xf>
    <xf numFmtId="0" fontId="3" fillId="12" borderId="1" xfId="0" applyFont="1" applyFill="1" applyBorder="1" applyAlignment="1">
      <alignment horizontal="center"/>
    </xf>
    <xf numFmtId="0" fontId="3" fillId="12" borderId="6" xfId="0" applyFont="1" applyFill="1" applyBorder="1" applyAlignment="1">
      <alignment horizontal="center" vertical="center"/>
    </xf>
    <xf numFmtId="0" fontId="3" fillId="12" borderId="4" xfId="0" applyFont="1" applyFill="1" applyBorder="1" applyAlignment="1">
      <alignment horizontal="center" vertical="center"/>
    </xf>
    <xf numFmtId="0" fontId="3" fillId="12" borderId="23" xfId="0" applyFont="1" applyFill="1" applyBorder="1" applyAlignment="1">
      <alignment horizontal="center" vertical="center"/>
    </xf>
    <xf numFmtId="0" fontId="3" fillId="12" borderId="10" xfId="0" applyFont="1" applyFill="1" applyBorder="1" applyAlignment="1">
      <alignment horizontal="center" vertical="center"/>
    </xf>
    <xf numFmtId="2" fontId="72" fillId="7" borderId="2" xfId="0" applyNumberFormat="1" applyFont="1" applyFill="1" applyBorder="1" applyAlignment="1">
      <alignment horizontal="center" vertical="center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5.png"/><Relationship Id="rId2" Type="http://schemas.openxmlformats.org/officeDocument/2006/relationships/image" Target="../media/image34.png"/><Relationship Id="rId1" Type="http://schemas.openxmlformats.org/officeDocument/2006/relationships/image" Target="../media/image33.png"/><Relationship Id="rId4" Type="http://schemas.openxmlformats.org/officeDocument/2006/relationships/image" Target="../media/image36.emf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6.emf"/><Relationship Id="rId1" Type="http://schemas.openxmlformats.org/officeDocument/2006/relationships/image" Target="../media/image33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5.png"/><Relationship Id="rId2" Type="http://schemas.openxmlformats.org/officeDocument/2006/relationships/image" Target="../media/image34.png"/><Relationship Id="rId1" Type="http://schemas.openxmlformats.org/officeDocument/2006/relationships/image" Target="../media/image33.png"/><Relationship Id="rId4" Type="http://schemas.openxmlformats.org/officeDocument/2006/relationships/image" Target="../media/image36.emf"/></Relationships>
</file>

<file path=xl/drawings/_rels/vmlDrawing1.vml.rels><?xml version="1.0" encoding="UTF-8" standalone="yes"?>
<Relationships xmlns="http://schemas.openxmlformats.org/package/2006/relationships"><Relationship Id="rId8" Type="http://schemas.openxmlformats.org/officeDocument/2006/relationships/image" Target="../media/image8.emf"/><Relationship Id="rId13" Type="http://schemas.openxmlformats.org/officeDocument/2006/relationships/image" Target="../media/image13.emf"/><Relationship Id="rId18" Type="http://schemas.openxmlformats.org/officeDocument/2006/relationships/image" Target="../media/image18.emf"/><Relationship Id="rId26" Type="http://schemas.openxmlformats.org/officeDocument/2006/relationships/image" Target="../media/image26.emf"/><Relationship Id="rId3" Type="http://schemas.openxmlformats.org/officeDocument/2006/relationships/image" Target="../media/image3.emf"/><Relationship Id="rId21" Type="http://schemas.openxmlformats.org/officeDocument/2006/relationships/image" Target="../media/image21.emf"/><Relationship Id="rId7" Type="http://schemas.openxmlformats.org/officeDocument/2006/relationships/image" Target="../media/image7.emf"/><Relationship Id="rId12" Type="http://schemas.openxmlformats.org/officeDocument/2006/relationships/image" Target="../media/image12.emf"/><Relationship Id="rId17" Type="http://schemas.openxmlformats.org/officeDocument/2006/relationships/image" Target="../media/image17.emf"/><Relationship Id="rId25" Type="http://schemas.openxmlformats.org/officeDocument/2006/relationships/image" Target="../media/image25.emf"/><Relationship Id="rId2" Type="http://schemas.openxmlformats.org/officeDocument/2006/relationships/image" Target="../media/image2.emf"/><Relationship Id="rId16" Type="http://schemas.openxmlformats.org/officeDocument/2006/relationships/image" Target="../media/image16.emf"/><Relationship Id="rId20" Type="http://schemas.openxmlformats.org/officeDocument/2006/relationships/image" Target="../media/image20.emf"/><Relationship Id="rId29" Type="http://schemas.openxmlformats.org/officeDocument/2006/relationships/image" Target="../media/image29.emf"/><Relationship Id="rId1" Type="http://schemas.openxmlformats.org/officeDocument/2006/relationships/image" Target="../media/image1.emf"/><Relationship Id="rId6" Type="http://schemas.openxmlformats.org/officeDocument/2006/relationships/image" Target="../media/image6.emf"/><Relationship Id="rId11" Type="http://schemas.openxmlformats.org/officeDocument/2006/relationships/image" Target="../media/image11.emf"/><Relationship Id="rId24" Type="http://schemas.openxmlformats.org/officeDocument/2006/relationships/image" Target="../media/image24.emf"/><Relationship Id="rId32" Type="http://schemas.openxmlformats.org/officeDocument/2006/relationships/image" Target="../media/image32.emf"/><Relationship Id="rId5" Type="http://schemas.openxmlformats.org/officeDocument/2006/relationships/image" Target="../media/image5.emf"/><Relationship Id="rId15" Type="http://schemas.openxmlformats.org/officeDocument/2006/relationships/image" Target="../media/image15.emf"/><Relationship Id="rId23" Type="http://schemas.openxmlformats.org/officeDocument/2006/relationships/image" Target="../media/image23.emf"/><Relationship Id="rId28" Type="http://schemas.openxmlformats.org/officeDocument/2006/relationships/image" Target="../media/image28.emf"/><Relationship Id="rId10" Type="http://schemas.openxmlformats.org/officeDocument/2006/relationships/image" Target="../media/image10.emf"/><Relationship Id="rId19" Type="http://schemas.openxmlformats.org/officeDocument/2006/relationships/image" Target="../media/image19.emf"/><Relationship Id="rId31" Type="http://schemas.openxmlformats.org/officeDocument/2006/relationships/image" Target="../media/image31.emf"/><Relationship Id="rId4" Type="http://schemas.openxmlformats.org/officeDocument/2006/relationships/image" Target="../media/image4.emf"/><Relationship Id="rId9" Type="http://schemas.openxmlformats.org/officeDocument/2006/relationships/image" Target="../media/image9.emf"/><Relationship Id="rId14" Type="http://schemas.openxmlformats.org/officeDocument/2006/relationships/image" Target="../media/image14.emf"/><Relationship Id="rId22" Type="http://schemas.openxmlformats.org/officeDocument/2006/relationships/image" Target="../media/image22.emf"/><Relationship Id="rId27" Type="http://schemas.openxmlformats.org/officeDocument/2006/relationships/image" Target="../media/image27.emf"/><Relationship Id="rId30" Type="http://schemas.openxmlformats.org/officeDocument/2006/relationships/image" Target="../media/image30.emf"/></Relationships>
</file>

<file path=xl/drawings/_rels/vmlDrawing2.vml.rels><?xml version="1.0" encoding="UTF-8" standalone="yes"?>
<Relationships xmlns="http://schemas.openxmlformats.org/package/2006/relationships"><Relationship Id="rId8" Type="http://schemas.openxmlformats.org/officeDocument/2006/relationships/image" Target="../media/image8.emf"/><Relationship Id="rId13" Type="http://schemas.openxmlformats.org/officeDocument/2006/relationships/image" Target="../media/image13.emf"/><Relationship Id="rId18" Type="http://schemas.openxmlformats.org/officeDocument/2006/relationships/image" Target="../media/image18.emf"/><Relationship Id="rId26" Type="http://schemas.openxmlformats.org/officeDocument/2006/relationships/image" Target="../media/image31.emf"/><Relationship Id="rId3" Type="http://schemas.openxmlformats.org/officeDocument/2006/relationships/image" Target="../media/image3.emf"/><Relationship Id="rId21" Type="http://schemas.openxmlformats.org/officeDocument/2006/relationships/image" Target="../media/image21.emf"/><Relationship Id="rId7" Type="http://schemas.openxmlformats.org/officeDocument/2006/relationships/image" Target="../media/image7.emf"/><Relationship Id="rId12" Type="http://schemas.openxmlformats.org/officeDocument/2006/relationships/image" Target="../media/image12.emf"/><Relationship Id="rId17" Type="http://schemas.openxmlformats.org/officeDocument/2006/relationships/image" Target="../media/image17.emf"/><Relationship Id="rId25" Type="http://schemas.openxmlformats.org/officeDocument/2006/relationships/image" Target="../media/image32.emf"/><Relationship Id="rId2" Type="http://schemas.openxmlformats.org/officeDocument/2006/relationships/image" Target="../media/image2.emf"/><Relationship Id="rId16" Type="http://schemas.openxmlformats.org/officeDocument/2006/relationships/image" Target="../media/image16.emf"/><Relationship Id="rId20" Type="http://schemas.openxmlformats.org/officeDocument/2006/relationships/image" Target="../media/image20.emf"/><Relationship Id="rId29" Type="http://schemas.openxmlformats.org/officeDocument/2006/relationships/image" Target="../media/image40.emf"/><Relationship Id="rId1" Type="http://schemas.openxmlformats.org/officeDocument/2006/relationships/image" Target="../media/image1.emf"/><Relationship Id="rId6" Type="http://schemas.openxmlformats.org/officeDocument/2006/relationships/image" Target="../media/image6.emf"/><Relationship Id="rId11" Type="http://schemas.openxmlformats.org/officeDocument/2006/relationships/image" Target="../media/image11.emf"/><Relationship Id="rId24" Type="http://schemas.openxmlformats.org/officeDocument/2006/relationships/image" Target="../media/image38.emf"/><Relationship Id="rId5" Type="http://schemas.openxmlformats.org/officeDocument/2006/relationships/image" Target="../media/image5.emf"/><Relationship Id="rId15" Type="http://schemas.openxmlformats.org/officeDocument/2006/relationships/image" Target="../media/image15.emf"/><Relationship Id="rId23" Type="http://schemas.openxmlformats.org/officeDocument/2006/relationships/image" Target="../media/image37.emf"/><Relationship Id="rId28" Type="http://schemas.openxmlformats.org/officeDocument/2006/relationships/image" Target="../media/image39.emf"/><Relationship Id="rId10" Type="http://schemas.openxmlformats.org/officeDocument/2006/relationships/image" Target="../media/image10.emf"/><Relationship Id="rId19" Type="http://schemas.openxmlformats.org/officeDocument/2006/relationships/image" Target="../media/image19.emf"/><Relationship Id="rId31" Type="http://schemas.openxmlformats.org/officeDocument/2006/relationships/image" Target="../media/image23.emf"/><Relationship Id="rId4" Type="http://schemas.openxmlformats.org/officeDocument/2006/relationships/image" Target="../media/image4.emf"/><Relationship Id="rId9" Type="http://schemas.openxmlformats.org/officeDocument/2006/relationships/image" Target="../media/image9.emf"/><Relationship Id="rId14" Type="http://schemas.openxmlformats.org/officeDocument/2006/relationships/image" Target="../media/image14.emf"/><Relationship Id="rId22" Type="http://schemas.openxmlformats.org/officeDocument/2006/relationships/image" Target="../media/image22.emf"/><Relationship Id="rId27" Type="http://schemas.openxmlformats.org/officeDocument/2006/relationships/image" Target="../media/image25.emf"/><Relationship Id="rId30" Type="http://schemas.openxmlformats.org/officeDocument/2006/relationships/image" Target="../media/image24.emf"/></Relationships>
</file>

<file path=xl/drawings/_rels/vmlDrawing3.vml.rels><?xml version="1.0" encoding="UTF-8" standalone="yes"?>
<Relationships xmlns="http://schemas.openxmlformats.org/package/2006/relationships"><Relationship Id="rId2" Type="http://schemas.openxmlformats.org/officeDocument/2006/relationships/image" Target="../media/image22.emf"/><Relationship Id="rId1" Type="http://schemas.openxmlformats.org/officeDocument/2006/relationships/image" Target="../media/image16.emf"/></Relationships>
</file>

<file path=xl/drawings/_rels/vmlDrawing4.vml.rels><?xml version="1.0" encoding="UTF-8" standalone="yes"?>
<Relationships xmlns="http://schemas.openxmlformats.org/package/2006/relationships"><Relationship Id="rId8" Type="http://schemas.openxmlformats.org/officeDocument/2006/relationships/image" Target="../media/image8.emf"/><Relationship Id="rId13" Type="http://schemas.openxmlformats.org/officeDocument/2006/relationships/image" Target="../media/image13.emf"/><Relationship Id="rId18" Type="http://schemas.openxmlformats.org/officeDocument/2006/relationships/image" Target="../media/image18.emf"/><Relationship Id="rId26" Type="http://schemas.openxmlformats.org/officeDocument/2006/relationships/image" Target="../media/image26.emf"/><Relationship Id="rId3" Type="http://schemas.openxmlformats.org/officeDocument/2006/relationships/image" Target="../media/image3.emf"/><Relationship Id="rId21" Type="http://schemas.openxmlformats.org/officeDocument/2006/relationships/image" Target="../media/image21.emf"/><Relationship Id="rId7" Type="http://schemas.openxmlformats.org/officeDocument/2006/relationships/image" Target="../media/image7.emf"/><Relationship Id="rId12" Type="http://schemas.openxmlformats.org/officeDocument/2006/relationships/image" Target="../media/image12.emf"/><Relationship Id="rId17" Type="http://schemas.openxmlformats.org/officeDocument/2006/relationships/image" Target="../media/image17.emf"/><Relationship Id="rId25" Type="http://schemas.openxmlformats.org/officeDocument/2006/relationships/image" Target="../media/image25.emf"/><Relationship Id="rId2" Type="http://schemas.openxmlformats.org/officeDocument/2006/relationships/image" Target="../media/image2.emf"/><Relationship Id="rId16" Type="http://schemas.openxmlformats.org/officeDocument/2006/relationships/image" Target="../media/image16.emf"/><Relationship Id="rId20" Type="http://schemas.openxmlformats.org/officeDocument/2006/relationships/image" Target="../media/image20.emf"/><Relationship Id="rId29" Type="http://schemas.openxmlformats.org/officeDocument/2006/relationships/image" Target="../media/image29.emf"/><Relationship Id="rId1" Type="http://schemas.openxmlformats.org/officeDocument/2006/relationships/image" Target="../media/image1.emf"/><Relationship Id="rId6" Type="http://schemas.openxmlformats.org/officeDocument/2006/relationships/image" Target="../media/image6.emf"/><Relationship Id="rId11" Type="http://schemas.openxmlformats.org/officeDocument/2006/relationships/image" Target="../media/image11.emf"/><Relationship Id="rId24" Type="http://schemas.openxmlformats.org/officeDocument/2006/relationships/image" Target="../media/image24.emf"/><Relationship Id="rId32" Type="http://schemas.openxmlformats.org/officeDocument/2006/relationships/image" Target="../media/image32.emf"/><Relationship Id="rId5" Type="http://schemas.openxmlformats.org/officeDocument/2006/relationships/image" Target="../media/image5.emf"/><Relationship Id="rId15" Type="http://schemas.openxmlformats.org/officeDocument/2006/relationships/image" Target="../media/image15.emf"/><Relationship Id="rId23" Type="http://schemas.openxmlformats.org/officeDocument/2006/relationships/image" Target="../media/image23.emf"/><Relationship Id="rId28" Type="http://schemas.openxmlformats.org/officeDocument/2006/relationships/image" Target="../media/image28.emf"/><Relationship Id="rId10" Type="http://schemas.openxmlformats.org/officeDocument/2006/relationships/image" Target="../media/image10.emf"/><Relationship Id="rId19" Type="http://schemas.openxmlformats.org/officeDocument/2006/relationships/image" Target="../media/image19.emf"/><Relationship Id="rId31" Type="http://schemas.openxmlformats.org/officeDocument/2006/relationships/image" Target="../media/image31.emf"/><Relationship Id="rId4" Type="http://schemas.openxmlformats.org/officeDocument/2006/relationships/image" Target="../media/image4.emf"/><Relationship Id="rId9" Type="http://schemas.openxmlformats.org/officeDocument/2006/relationships/image" Target="../media/image9.emf"/><Relationship Id="rId14" Type="http://schemas.openxmlformats.org/officeDocument/2006/relationships/image" Target="../media/image14.emf"/><Relationship Id="rId22" Type="http://schemas.openxmlformats.org/officeDocument/2006/relationships/image" Target="../media/image22.emf"/><Relationship Id="rId27" Type="http://schemas.openxmlformats.org/officeDocument/2006/relationships/image" Target="../media/image27.emf"/><Relationship Id="rId30" Type="http://schemas.openxmlformats.org/officeDocument/2006/relationships/image" Target="../media/image30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457200</xdr:colOff>
      <xdr:row>114</xdr:row>
      <xdr:rowOff>28575</xdr:rowOff>
    </xdr:from>
    <xdr:to>
      <xdr:col>10</xdr:col>
      <xdr:colOff>114300</xdr:colOff>
      <xdr:row>114</xdr:row>
      <xdr:rowOff>171450</xdr:rowOff>
    </xdr:to>
    <xdr:sp macro="" textlink="">
      <xdr:nvSpPr>
        <xdr:cNvPr id="338833" name="AutoShape 2835">
          <a:extLst>
            <a:ext uri="{FF2B5EF4-FFF2-40B4-BE49-F238E27FC236}">
              <a16:creationId xmlns:a16="http://schemas.microsoft.com/office/drawing/2014/main" id="{00000000-0008-0000-0000-0000912B0500}"/>
            </a:ext>
          </a:extLst>
        </xdr:cNvPr>
        <xdr:cNvSpPr>
          <a:spLocks noChangeArrowheads="1"/>
        </xdr:cNvSpPr>
      </xdr:nvSpPr>
      <xdr:spPr bwMode="auto">
        <a:xfrm>
          <a:off x="5143500" y="24412575"/>
          <a:ext cx="190500" cy="142875"/>
        </a:xfrm>
        <a:prstGeom prst="curvedRightArrow">
          <a:avLst>
            <a:gd name="adj1" fmla="val 1185"/>
            <a:gd name="adj2" fmla="val 40000"/>
            <a:gd name="adj3" fmla="val 44444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9</xdr:col>
      <xdr:colOff>457200</xdr:colOff>
      <xdr:row>113</xdr:row>
      <xdr:rowOff>47625</xdr:rowOff>
    </xdr:from>
    <xdr:to>
      <xdr:col>10</xdr:col>
      <xdr:colOff>114300</xdr:colOff>
      <xdr:row>113</xdr:row>
      <xdr:rowOff>190500</xdr:rowOff>
    </xdr:to>
    <xdr:sp macro="" textlink="">
      <xdr:nvSpPr>
        <xdr:cNvPr id="338834" name="AutoShape 2836">
          <a:extLst>
            <a:ext uri="{FF2B5EF4-FFF2-40B4-BE49-F238E27FC236}">
              <a16:creationId xmlns:a16="http://schemas.microsoft.com/office/drawing/2014/main" id="{00000000-0008-0000-0000-0000922B0500}"/>
            </a:ext>
          </a:extLst>
        </xdr:cNvPr>
        <xdr:cNvSpPr>
          <a:spLocks noChangeArrowheads="1"/>
        </xdr:cNvSpPr>
      </xdr:nvSpPr>
      <xdr:spPr bwMode="auto">
        <a:xfrm>
          <a:off x="5143500" y="24231600"/>
          <a:ext cx="190500" cy="142875"/>
        </a:xfrm>
        <a:prstGeom prst="curvedRightArrow">
          <a:avLst>
            <a:gd name="adj1" fmla="val 1185"/>
            <a:gd name="adj2" fmla="val 40000"/>
            <a:gd name="adj3" fmla="val 44444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9</xdr:col>
      <xdr:colOff>457200</xdr:colOff>
      <xdr:row>112</xdr:row>
      <xdr:rowOff>47625</xdr:rowOff>
    </xdr:from>
    <xdr:to>
      <xdr:col>10</xdr:col>
      <xdr:colOff>114300</xdr:colOff>
      <xdr:row>112</xdr:row>
      <xdr:rowOff>190500</xdr:rowOff>
    </xdr:to>
    <xdr:sp macro="" textlink="">
      <xdr:nvSpPr>
        <xdr:cNvPr id="338835" name="AutoShape 2837">
          <a:extLst>
            <a:ext uri="{FF2B5EF4-FFF2-40B4-BE49-F238E27FC236}">
              <a16:creationId xmlns:a16="http://schemas.microsoft.com/office/drawing/2014/main" id="{00000000-0008-0000-0000-0000932B0500}"/>
            </a:ext>
          </a:extLst>
        </xdr:cNvPr>
        <xdr:cNvSpPr>
          <a:spLocks noChangeArrowheads="1"/>
        </xdr:cNvSpPr>
      </xdr:nvSpPr>
      <xdr:spPr bwMode="auto">
        <a:xfrm>
          <a:off x="5143500" y="24022050"/>
          <a:ext cx="190500" cy="142875"/>
        </a:xfrm>
        <a:prstGeom prst="curvedRightArrow">
          <a:avLst>
            <a:gd name="adj1" fmla="val 1185"/>
            <a:gd name="adj2" fmla="val 40000"/>
            <a:gd name="adj3" fmla="val 44444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9</xdr:col>
      <xdr:colOff>457200</xdr:colOff>
      <xdr:row>168</xdr:row>
      <xdr:rowOff>38100</xdr:rowOff>
    </xdr:from>
    <xdr:to>
      <xdr:col>10</xdr:col>
      <xdr:colOff>114300</xdr:colOff>
      <xdr:row>168</xdr:row>
      <xdr:rowOff>180975</xdr:rowOff>
    </xdr:to>
    <xdr:sp macro="" textlink="">
      <xdr:nvSpPr>
        <xdr:cNvPr id="338836" name="AutoShape 2839">
          <a:extLst>
            <a:ext uri="{FF2B5EF4-FFF2-40B4-BE49-F238E27FC236}">
              <a16:creationId xmlns:a16="http://schemas.microsoft.com/office/drawing/2014/main" id="{00000000-0008-0000-0000-0000942B0500}"/>
            </a:ext>
          </a:extLst>
        </xdr:cNvPr>
        <xdr:cNvSpPr>
          <a:spLocks noChangeArrowheads="1"/>
        </xdr:cNvSpPr>
      </xdr:nvSpPr>
      <xdr:spPr bwMode="auto">
        <a:xfrm>
          <a:off x="5143500" y="33385125"/>
          <a:ext cx="190500" cy="142875"/>
        </a:xfrm>
        <a:prstGeom prst="curvedRightArrow">
          <a:avLst>
            <a:gd name="adj1" fmla="val 1185"/>
            <a:gd name="adj2" fmla="val 40000"/>
            <a:gd name="adj3" fmla="val 44444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9</xdr:col>
      <xdr:colOff>457200</xdr:colOff>
      <xdr:row>169</xdr:row>
      <xdr:rowOff>38100</xdr:rowOff>
    </xdr:from>
    <xdr:to>
      <xdr:col>10</xdr:col>
      <xdr:colOff>114300</xdr:colOff>
      <xdr:row>169</xdr:row>
      <xdr:rowOff>180975</xdr:rowOff>
    </xdr:to>
    <xdr:sp macro="" textlink="">
      <xdr:nvSpPr>
        <xdr:cNvPr id="338837" name="AutoShape 2840">
          <a:extLst>
            <a:ext uri="{FF2B5EF4-FFF2-40B4-BE49-F238E27FC236}">
              <a16:creationId xmlns:a16="http://schemas.microsoft.com/office/drawing/2014/main" id="{00000000-0008-0000-0000-0000952B0500}"/>
            </a:ext>
          </a:extLst>
        </xdr:cNvPr>
        <xdr:cNvSpPr>
          <a:spLocks noChangeArrowheads="1"/>
        </xdr:cNvSpPr>
      </xdr:nvSpPr>
      <xdr:spPr bwMode="auto">
        <a:xfrm>
          <a:off x="5143500" y="33594675"/>
          <a:ext cx="190500" cy="142875"/>
        </a:xfrm>
        <a:prstGeom prst="curvedRightArrow">
          <a:avLst>
            <a:gd name="adj1" fmla="val 1185"/>
            <a:gd name="adj2" fmla="val 40000"/>
            <a:gd name="adj3" fmla="val 44444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9</xdr:col>
      <xdr:colOff>457200</xdr:colOff>
      <xdr:row>170</xdr:row>
      <xdr:rowOff>38100</xdr:rowOff>
    </xdr:from>
    <xdr:to>
      <xdr:col>10</xdr:col>
      <xdr:colOff>114300</xdr:colOff>
      <xdr:row>170</xdr:row>
      <xdr:rowOff>180975</xdr:rowOff>
    </xdr:to>
    <xdr:sp macro="" textlink="">
      <xdr:nvSpPr>
        <xdr:cNvPr id="338838" name="AutoShape 2841">
          <a:extLst>
            <a:ext uri="{FF2B5EF4-FFF2-40B4-BE49-F238E27FC236}">
              <a16:creationId xmlns:a16="http://schemas.microsoft.com/office/drawing/2014/main" id="{00000000-0008-0000-0000-0000962B0500}"/>
            </a:ext>
          </a:extLst>
        </xdr:cNvPr>
        <xdr:cNvSpPr>
          <a:spLocks noChangeArrowheads="1"/>
        </xdr:cNvSpPr>
      </xdr:nvSpPr>
      <xdr:spPr bwMode="auto">
        <a:xfrm>
          <a:off x="5143500" y="33794700"/>
          <a:ext cx="190500" cy="142875"/>
        </a:xfrm>
        <a:prstGeom prst="curvedRightArrow">
          <a:avLst>
            <a:gd name="adj1" fmla="val 1185"/>
            <a:gd name="adj2" fmla="val 40000"/>
            <a:gd name="adj3" fmla="val 44444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9</xdr:col>
      <xdr:colOff>466725</xdr:colOff>
      <xdr:row>285</xdr:row>
      <xdr:rowOff>38100</xdr:rowOff>
    </xdr:from>
    <xdr:to>
      <xdr:col>10</xdr:col>
      <xdr:colOff>123825</xdr:colOff>
      <xdr:row>285</xdr:row>
      <xdr:rowOff>180975</xdr:rowOff>
    </xdr:to>
    <xdr:sp macro="" textlink="">
      <xdr:nvSpPr>
        <xdr:cNvPr id="338841" name="AutoShape 2846">
          <a:extLst>
            <a:ext uri="{FF2B5EF4-FFF2-40B4-BE49-F238E27FC236}">
              <a16:creationId xmlns:a16="http://schemas.microsoft.com/office/drawing/2014/main" id="{00000000-0008-0000-0000-0000992B0500}"/>
            </a:ext>
          </a:extLst>
        </xdr:cNvPr>
        <xdr:cNvSpPr>
          <a:spLocks noChangeArrowheads="1"/>
        </xdr:cNvSpPr>
      </xdr:nvSpPr>
      <xdr:spPr bwMode="auto">
        <a:xfrm>
          <a:off x="5153025" y="42919650"/>
          <a:ext cx="190500" cy="142875"/>
        </a:xfrm>
        <a:prstGeom prst="curvedRightArrow">
          <a:avLst>
            <a:gd name="adj1" fmla="val 1185"/>
            <a:gd name="adj2" fmla="val 40000"/>
            <a:gd name="adj3" fmla="val 44444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9</xdr:col>
      <xdr:colOff>466725</xdr:colOff>
      <xdr:row>286</xdr:row>
      <xdr:rowOff>38100</xdr:rowOff>
    </xdr:from>
    <xdr:to>
      <xdr:col>10</xdr:col>
      <xdr:colOff>123825</xdr:colOff>
      <xdr:row>286</xdr:row>
      <xdr:rowOff>180975</xdr:rowOff>
    </xdr:to>
    <xdr:sp macro="" textlink="">
      <xdr:nvSpPr>
        <xdr:cNvPr id="338842" name="AutoShape 2847">
          <a:extLst>
            <a:ext uri="{FF2B5EF4-FFF2-40B4-BE49-F238E27FC236}">
              <a16:creationId xmlns:a16="http://schemas.microsoft.com/office/drawing/2014/main" id="{00000000-0008-0000-0000-00009A2B0500}"/>
            </a:ext>
          </a:extLst>
        </xdr:cNvPr>
        <xdr:cNvSpPr>
          <a:spLocks noChangeArrowheads="1"/>
        </xdr:cNvSpPr>
      </xdr:nvSpPr>
      <xdr:spPr bwMode="auto">
        <a:xfrm>
          <a:off x="5153025" y="43119675"/>
          <a:ext cx="190500" cy="142875"/>
        </a:xfrm>
        <a:prstGeom prst="curvedRightArrow">
          <a:avLst>
            <a:gd name="adj1" fmla="val 1185"/>
            <a:gd name="adj2" fmla="val 40000"/>
            <a:gd name="adj3" fmla="val 44444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9</xdr:col>
      <xdr:colOff>466725</xdr:colOff>
      <xdr:row>291</xdr:row>
      <xdr:rowOff>38100</xdr:rowOff>
    </xdr:from>
    <xdr:to>
      <xdr:col>10</xdr:col>
      <xdr:colOff>123825</xdr:colOff>
      <xdr:row>291</xdr:row>
      <xdr:rowOff>180975</xdr:rowOff>
    </xdr:to>
    <xdr:sp macro="" textlink="">
      <xdr:nvSpPr>
        <xdr:cNvPr id="338847" name="AutoShape 2852">
          <a:extLst>
            <a:ext uri="{FF2B5EF4-FFF2-40B4-BE49-F238E27FC236}">
              <a16:creationId xmlns:a16="http://schemas.microsoft.com/office/drawing/2014/main" id="{00000000-0008-0000-0000-00009F2B0500}"/>
            </a:ext>
          </a:extLst>
        </xdr:cNvPr>
        <xdr:cNvSpPr>
          <a:spLocks noChangeArrowheads="1"/>
        </xdr:cNvSpPr>
      </xdr:nvSpPr>
      <xdr:spPr bwMode="auto">
        <a:xfrm>
          <a:off x="5153025" y="44119800"/>
          <a:ext cx="190500" cy="142875"/>
        </a:xfrm>
        <a:prstGeom prst="curvedRightArrow">
          <a:avLst>
            <a:gd name="adj1" fmla="val 1185"/>
            <a:gd name="adj2" fmla="val 40000"/>
            <a:gd name="adj3" fmla="val 44444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9</xdr:col>
      <xdr:colOff>457200</xdr:colOff>
      <xdr:row>284</xdr:row>
      <xdr:rowOff>57150</xdr:rowOff>
    </xdr:from>
    <xdr:to>
      <xdr:col>10</xdr:col>
      <xdr:colOff>114300</xdr:colOff>
      <xdr:row>284</xdr:row>
      <xdr:rowOff>200025</xdr:rowOff>
    </xdr:to>
    <xdr:sp macro="" textlink="">
      <xdr:nvSpPr>
        <xdr:cNvPr id="338848" name="AutoShape 2853">
          <a:extLst>
            <a:ext uri="{FF2B5EF4-FFF2-40B4-BE49-F238E27FC236}">
              <a16:creationId xmlns:a16="http://schemas.microsoft.com/office/drawing/2014/main" id="{00000000-0008-0000-0000-0000A02B0500}"/>
            </a:ext>
          </a:extLst>
        </xdr:cNvPr>
        <xdr:cNvSpPr>
          <a:spLocks noChangeArrowheads="1"/>
        </xdr:cNvSpPr>
      </xdr:nvSpPr>
      <xdr:spPr bwMode="auto">
        <a:xfrm>
          <a:off x="5143500" y="42729150"/>
          <a:ext cx="190500" cy="142875"/>
        </a:xfrm>
        <a:prstGeom prst="curvedRightArrow">
          <a:avLst>
            <a:gd name="adj1" fmla="val 1185"/>
            <a:gd name="adj2" fmla="val 40000"/>
            <a:gd name="adj3" fmla="val 44599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9</xdr:col>
      <xdr:colOff>447675</xdr:colOff>
      <xdr:row>336</xdr:row>
      <xdr:rowOff>38100</xdr:rowOff>
    </xdr:from>
    <xdr:to>
      <xdr:col>10</xdr:col>
      <xdr:colOff>104775</xdr:colOff>
      <xdr:row>336</xdr:row>
      <xdr:rowOff>180975</xdr:rowOff>
    </xdr:to>
    <xdr:sp macro="" textlink="">
      <xdr:nvSpPr>
        <xdr:cNvPr id="338849" name="AutoShape 2856">
          <a:extLst>
            <a:ext uri="{FF2B5EF4-FFF2-40B4-BE49-F238E27FC236}">
              <a16:creationId xmlns:a16="http://schemas.microsoft.com/office/drawing/2014/main" id="{00000000-0008-0000-0000-0000A12B0500}"/>
            </a:ext>
          </a:extLst>
        </xdr:cNvPr>
        <xdr:cNvSpPr>
          <a:spLocks noChangeArrowheads="1"/>
        </xdr:cNvSpPr>
      </xdr:nvSpPr>
      <xdr:spPr bwMode="auto">
        <a:xfrm>
          <a:off x="5133975" y="53368575"/>
          <a:ext cx="190500" cy="142875"/>
        </a:xfrm>
        <a:prstGeom prst="curvedRightArrow">
          <a:avLst>
            <a:gd name="adj1" fmla="val 1185"/>
            <a:gd name="adj2" fmla="val 40000"/>
            <a:gd name="adj3" fmla="val 44444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9</xdr:col>
      <xdr:colOff>447675</xdr:colOff>
      <xdr:row>337</xdr:row>
      <xdr:rowOff>38100</xdr:rowOff>
    </xdr:from>
    <xdr:to>
      <xdr:col>10</xdr:col>
      <xdr:colOff>104775</xdr:colOff>
      <xdr:row>337</xdr:row>
      <xdr:rowOff>180975</xdr:rowOff>
    </xdr:to>
    <xdr:sp macro="" textlink="">
      <xdr:nvSpPr>
        <xdr:cNvPr id="338850" name="AutoShape 2857">
          <a:extLst>
            <a:ext uri="{FF2B5EF4-FFF2-40B4-BE49-F238E27FC236}">
              <a16:creationId xmlns:a16="http://schemas.microsoft.com/office/drawing/2014/main" id="{00000000-0008-0000-0000-0000A22B0500}"/>
            </a:ext>
          </a:extLst>
        </xdr:cNvPr>
        <xdr:cNvSpPr>
          <a:spLocks noChangeArrowheads="1"/>
        </xdr:cNvSpPr>
      </xdr:nvSpPr>
      <xdr:spPr bwMode="auto">
        <a:xfrm>
          <a:off x="5133975" y="53568600"/>
          <a:ext cx="190500" cy="142875"/>
        </a:xfrm>
        <a:prstGeom prst="curvedRightArrow">
          <a:avLst>
            <a:gd name="adj1" fmla="val 1185"/>
            <a:gd name="adj2" fmla="val 40000"/>
            <a:gd name="adj3" fmla="val 44444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10</xdr:col>
      <xdr:colOff>114300</xdr:colOff>
      <xdr:row>175</xdr:row>
      <xdr:rowOff>28575</xdr:rowOff>
    </xdr:from>
    <xdr:to>
      <xdr:col>10</xdr:col>
      <xdr:colOff>266700</xdr:colOff>
      <xdr:row>175</xdr:row>
      <xdr:rowOff>190500</xdr:rowOff>
    </xdr:to>
    <xdr:sp macro="" textlink="">
      <xdr:nvSpPr>
        <xdr:cNvPr id="338856" name="AutoShape 2864">
          <a:extLst>
            <a:ext uri="{FF2B5EF4-FFF2-40B4-BE49-F238E27FC236}">
              <a16:creationId xmlns:a16="http://schemas.microsoft.com/office/drawing/2014/main" id="{00000000-0008-0000-0000-0000A82B0500}"/>
            </a:ext>
          </a:extLst>
        </xdr:cNvPr>
        <xdr:cNvSpPr>
          <a:spLocks noChangeArrowheads="1"/>
        </xdr:cNvSpPr>
      </xdr:nvSpPr>
      <xdr:spPr bwMode="auto">
        <a:xfrm>
          <a:off x="5334000" y="34585275"/>
          <a:ext cx="152400" cy="161925"/>
        </a:xfrm>
        <a:prstGeom prst="curvedLeftArrow">
          <a:avLst>
            <a:gd name="adj1" fmla="val 1259"/>
            <a:gd name="adj2" fmla="val 42500"/>
            <a:gd name="adj3" fmla="val 33333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10</xdr:col>
      <xdr:colOff>114300</xdr:colOff>
      <xdr:row>176</xdr:row>
      <xdr:rowOff>28575</xdr:rowOff>
    </xdr:from>
    <xdr:to>
      <xdr:col>10</xdr:col>
      <xdr:colOff>266700</xdr:colOff>
      <xdr:row>176</xdr:row>
      <xdr:rowOff>190500</xdr:rowOff>
    </xdr:to>
    <xdr:sp macro="" textlink="">
      <xdr:nvSpPr>
        <xdr:cNvPr id="338857" name="AutoShape 2866">
          <a:extLst>
            <a:ext uri="{FF2B5EF4-FFF2-40B4-BE49-F238E27FC236}">
              <a16:creationId xmlns:a16="http://schemas.microsoft.com/office/drawing/2014/main" id="{00000000-0008-0000-0000-0000A92B0500}"/>
            </a:ext>
          </a:extLst>
        </xdr:cNvPr>
        <xdr:cNvSpPr>
          <a:spLocks noChangeArrowheads="1"/>
        </xdr:cNvSpPr>
      </xdr:nvSpPr>
      <xdr:spPr bwMode="auto">
        <a:xfrm>
          <a:off x="5334000" y="34785300"/>
          <a:ext cx="152400" cy="161925"/>
        </a:xfrm>
        <a:prstGeom prst="curvedLeftArrow">
          <a:avLst>
            <a:gd name="adj1" fmla="val 1259"/>
            <a:gd name="adj2" fmla="val 42500"/>
            <a:gd name="adj3" fmla="val 33333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10</xdr:col>
      <xdr:colOff>104775</xdr:colOff>
      <xdr:row>177</xdr:row>
      <xdr:rowOff>28575</xdr:rowOff>
    </xdr:from>
    <xdr:to>
      <xdr:col>10</xdr:col>
      <xdr:colOff>257175</xdr:colOff>
      <xdr:row>177</xdr:row>
      <xdr:rowOff>190500</xdr:rowOff>
    </xdr:to>
    <xdr:sp macro="" textlink="">
      <xdr:nvSpPr>
        <xdr:cNvPr id="338858" name="AutoShape 2867">
          <a:extLst>
            <a:ext uri="{FF2B5EF4-FFF2-40B4-BE49-F238E27FC236}">
              <a16:creationId xmlns:a16="http://schemas.microsoft.com/office/drawing/2014/main" id="{00000000-0008-0000-0000-0000AA2B0500}"/>
            </a:ext>
          </a:extLst>
        </xdr:cNvPr>
        <xdr:cNvSpPr>
          <a:spLocks noChangeArrowheads="1"/>
        </xdr:cNvSpPr>
      </xdr:nvSpPr>
      <xdr:spPr bwMode="auto">
        <a:xfrm>
          <a:off x="5324475" y="34985325"/>
          <a:ext cx="152400" cy="161925"/>
        </a:xfrm>
        <a:prstGeom prst="curvedLeftArrow">
          <a:avLst>
            <a:gd name="adj1" fmla="val 1259"/>
            <a:gd name="adj2" fmla="val 42500"/>
            <a:gd name="adj3" fmla="val 33333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10</xdr:col>
      <xdr:colOff>142875</xdr:colOff>
      <xdr:row>295</xdr:row>
      <xdr:rowOff>28575</xdr:rowOff>
    </xdr:from>
    <xdr:to>
      <xdr:col>10</xdr:col>
      <xdr:colOff>295275</xdr:colOff>
      <xdr:row>295</xdr:row>
      <xdr:rowOff>190500</xdr:rowOff>
    </xdr:to>
    <xdr:sp macro="" textlink="">
      <xdr:nvSpPr>
        <xdr:cNvPr id="338862" name="AutoShape 2873">
          <a:extLst>
            <a:ext uri="{FF2B5EF4-FFF2-40B4-BE49-F238E27FC236}">
              <a16:creationId xmlns:a16="http://schemas.microsoft.com/office/drawing/2014/main" id="{00000000-0008-0000-0000-0000AE2B0500}"/>
            </a:ext>
          </a:extLst>
        </xdr:cNvPr>
        <xdr:cNvSpPr>
          <a:spLocks noChangeArrowheads="1"/>
        </xdr:cNvSpPr>
      </xdr:nvSpPr>
      <xdr:spPr bwMode="auto">
        <a:xfrm>
          <a:off x="5362575" y="44700825"/>
          <a:ext cx="152400" cy="161925"/>
        </a:xfrm>
        <a:prstGeom prst="curvedLeftArrow">
          <a:avLst>
            <a:gd name="adj1" fmla="val 1259"/>
            <a:gd name="adj2" fmla="val 42500"/>
            <a:gd name="adj3" fmla="val 33333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10</xdr:col>
      <xdr:colOff>142875</xdr:colOff>
      <xdr:row>292</xdr:row>
      <xdr:rowOff>38100</xdr:rowOff>
    </xdr:from>
    <xdr:to>
      <xdr:col>10</xdr:col>
      <xdr:colOff>295275</xdr:colOff>
      <xdr:row>293</xdr:row>
      <xdr:rowOff>0</xdr:rowOff>
    </xdr:to>
    <xdr:sp macro="" textlink="">
      <xdr:nvSpPr>
        <xdr:cNvPr id="338863" name="AutoShape 2874">
          <a:extLst>
            <a:ext uri="{FF2B5EF4-FFF2-40B4-BE49-F238E27FC236}">
              <a16:creationId xmlns:a16="http://schemas.microsoft.com/office/drawing/2014/main" id="{00000000-0008-0000-0000-0000AF2B0500}"/>
            </a:ext>
          </a:extLst>
        </xdr:cNvPr>
        <xdr:cNvSpPr>
          <a:spLocks noChangeArrowheads="1"/>
        </xdr:cNvSpPr>
      </xdr:nvSpPr>
      <xdr:spPr bwMode="auto">
        <a:xfrm>
          <a:off x="5362575" y="44319825"/>
          <a:ext cx="152400" cy="152400"/>
        </a:xfrm>
        <a:prstGeom prst="curvedLeftArrow">
          <a:avLst>
            <a:gd name="adj1" fmla="val 1259"/>
            <a:gd name="adj2" fmla="val 42500"/>
            <a:gd name="adj3" fmla="val 33333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10</xdr:col>
      <xdr:colOff>123825</xdr:colOff>
      <xdr:row>346</xdr:row>
      <xdr:rowOff>28575</xdr:rowOff>
    </xdr:from>
    <xdr:to>
      <xdr:col>10</xdr:col>
      <xdr:colOff>276225</xdr:colOff>
      <xdr:row>346</xdr:row>
      <xdr:rowOff>190500</xdr:rowOff>
    </xdr:to>
    <xdr:sp macro="" textlink="">
      <xdr:nvSpPr>
        <xdr:cNvPr id="338865" name="AutoShape 2877">
          <a:extLst>
            <a:ext uri="{FF2B5EF4-FFF2-40B4-BE49-F238E27FC236}">
              <a16:creationId xmlns:a16="http://schemas.microsoft.com/office/drawing/2014/main" id="{00000000-0008-0000-0000-0000B12B0500}"/>
            </a:ext>
          </a:extLst>
        </xdr:cNvPr>
        <xdr:cNvSpPr>
          <a:spLocks noChangeArrowheads="1"/>
        </xdr:cNvSpPr>
      </xdr:nvSpPr>
      <xdr:spPr bwMode="auto">
        <a:xfrm>
          <a:off x="5343525" y="54949725"/>
          <a:ext cx="152400" cy="161925"/>
        </a:xfrm>
        <a:prstGeom prst="curvedLeftArrow">
          <a:avLst>
            <a:gd name="adj1" fmla="val 1259"/>
            <a:gd name="adj2" fmla="val 42500"/>
            <a:gd name="adj3" fmla="val 33333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10</xdr:col>
      <xdr:colOff>123825</xdr:colOff>
      <xdr:row>350</xdr:row>
      <xdr:rowOff>28575</xdr:rowOff>
    </xdr:from>
    <xdr:to>
      <xdr:col>10</xdr:col>
      <xdr:colOff>276225</xdr:colOff>
      <xdr:row>350</xdr:row>
      <xdr:rowOff>190500</xdr:rowOff>
    </xdr:to>
    <xdr:sp macro="" textlink="">
      <xdr:nvSpPr>
        <xdr:cNvPr id="338866" name="AutoShape 2878">
          <a:extLst>
            <a:ext uri="{FF2B5EF4-FFF2-40B4-BE49-F238E27FC236}">
              <a16:creationId xmlns:a16="http://schemas.microsoft.com/office/drawing/2014/main" id="{00000000-0008-0000-0000-0000B22B0500}"/>
            </a:ext>
          </a:extLst>
        </xdr:cNvPr>
        <xdr:cNvSpPr>
          <a:spLocks noChangeArrowheads="1"/>
        </xdr:cNvSpPr>
      </xdr:nvSpPr>
      <xdr:spPr bwMode="auto">
        <a:xfrm>
          <a:off x="5343525" y="55149750"/>
          <a:ext cx="152400" cy="161925"/>
        </a:xfrm>
        <a:prstGeom prst="curvedLeftArrow">
          <a:avLst>
            <a:gd name="adj1" fmla="val 1259"/>
            <a:gd name="adj2" fmla="val 42500"/>
            <a:gd name="adj3" fmla="val 33333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</xdr:col>
      <xdr:colOff>1005349</xdr:colOff>
      <xdr:row>112</xdr:row>
      <xdr:rowOff>27653</xdr:rowOff>
    </xdr:from>
    <xdr:to>
      <xdr:col>3</xdr:col>
      <xdr:colOff>1005349</xdr:colOff>
      <xdr:row>113</xdr:row>
      <xdr:rowOff>8603</xdr:rowOff>
    </xdr:to>
    <xdr:sp macro="" textlink="">
      <xdr:nvSpPr>
        <xdr:cNvPr id="338868" name="Line 2881">
          <a:extLst>
            <a:ext uri="{FF2B5EF4-FFF2-40B4-BE49-F238E27FC236}">
              <a16:creationId xmlns:a16="http://schemas.microsoft.com/office/drawing/2014/main" id="{00000000-0008-0000-0000-0000B42B0500}"/>
            </a:ext>
          </a:extLst>
        </xdr:cNvPr>
        <xdr:cNvSpPr>
          <a:spLocks noChangeShapeType="1"/>
        </xdr:cNvSpPr>
      </xdr:nvSpPr>
      <xdr:spPr bwMode="auto">
        <a:xfrm>
          <a:off x="2649092" y="20884682"/>
          <a:ext cx="0" cy="193221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xdr:twoCellAnchor>
    <xdr:from>
      <xdr:col>3</xdr:col>
      <xdr:colOff>1081447</xdr:colOff>
      <xdr:row>168</xdr:row>
      <xdr:rowOff>61857</xdr:rowOff>
    </xdr:from>
    <xdr:to>
      <xdr:col>3</xdr:col>
      <xdr:colOff>1089121</xdr:colOff>
      <xdr:row>171</xdr:row>
      <xdr:rowOff>0</xdr:rowOff>
    </xdr:to>
    <xdr:grpSp>
      <xdr:nvGrpSpPr>
        <xdr:cNvPr id="338870" name="4723 Grup">
          <a:extLst>
            <a:ext uri="{FF2B5EF4-FFF2-40B4-BE49-F238E27FC236}">
              <a16:creationId xmlns:a16="http://schemas.microsoft.com/office/drawing/2014/main" id="{00000000-0008-0000-0000-0000B62B0500}"/>
            </a:ext>
          </a:extLst>
        </xdr:cNvPr>
        <xdr:cNvGrpSpPr>
          <a:grpSpLocks/>
        </xdr:cNvGrpSpPr>
      </xdr:nvGrpSpPr>
      <xdr:grpSpPr bwMode="auto">
        <a:xfrm>
          <a:off x="3378653" y="32088269"/>
          <a:ext cx="7674" cy="554466"/>
          <a:chOff x="-214166" y="32337237"/>
          <a:chExt cx="1936" cy="634088"/>
        </a:xfrm>
      </xdr:grpSpPr>
      <xdr:sp macro="" textlink="">
        <xdr:nvSpPr>
          <xdr:cNvPr id="338969" name="Line 2893">
            <a:extLst>
              <a:ext uri="{FF2B5EF4-FFF2-40B4-BE49-F238E27FC236}">
                <a16:creationId xmlns:a16="http://schemas.microsoft.com/office/drawing/2014/main" id="{00000000-0008-0000-0000-0000192C0500}"/>
              </a:ext>
            </a:extLst>
          </xdr:cNvPr>
          <xdr:cNvSpPr>
            <a:spLocks noChangeShapeType="1"/>
          </xdr:cNvSpPr>
        </xdr:nvSpPr>
        <xdr:spPr bwMode="auto">
          <a:xfrm>
            <a:off x="-214166" y="32337237"/>
            <a:ext cx="0" cy="172810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 type="triangle" w="med" len="med"/>
          </a:ln>
        </xdr:spPr>
      </xdr:sp>
      <xdr:sp macro="" textlink="">
        <xdr:nvSpPr>
          <xdr:cNvPr id="338973" name="Line 2899">
            <a:extLst>
              <a:ext uri="{FF2B5EF4-FFF2-40B4-BE49-F238E27FC236}">
                <a16:creationId xmlns:a16="http://schemas.microsoft.com/office/drawing/2014/main" id="{00000000-0008-0000-0000-00001D2C0500}"/>
              </a:ext>
            </a:extLst>
          </xdr:cNvPr>
          <xdr:cNvSpPr>
            <a:spLocks noChangeShapeType="1"/>
          </xdr:cNvSpPr>
        </xdr:nvSpPr>
        <xdr:spPr bwMode="auto">
          <a:xfrm>
            <a:off x="-212230" y="32776744"/>
            <a:ext cx="0" cy="194581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 type="triangle" w="med" len="med"/>
          </a:ln>
        </xdr:spPr>
        <xdr:txBody>
          <a:bodyPr/>
          <a:lstStyle/>
          <a:p>
            <a:endParaRPr lang="en-US"/>
          </a:p>
        </xdr:txBody>
      </xdr:sp>
      <xdr:sp macro="" textlink="">
        <xdr:nvSpPr>
          <xdr:cNvPr id="338974" name="Line 2900">
            <a:extLst>
              <a:ext uri="{FF2B5EF4-FFF2-40B4-BE49-F238E27FC236}">
                <a16:creationId xmlns:a16="http://schemas.microsoft.com/office/drawing/2014/main" id="{00000000-0008-0000-0000-00001E2C0500}"/>
              </a:ext>
            </a:extLst>
          </xdr:cNvPr>
          <xdr:cNvSpPr>
            <a:spLocks noChangeShapeType="1"/>
          </xdr:cNvSpPr>
        </xdr:nvSpPr>
        <xdr:spPr bwMode="auto">
          <a:xfrm>
            <a:off x="-213253" y="32520807"/>
            <a:ext cx="0" cy="204107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 type="triangle" w="med" len="med"/>
          </a:ln>
        </xdr:spPr>
      </xdr:sp>
    </xdr:grpSp>
    <xdr:clientData/>
  </xdr:twoCellAnchor>
  <xdr:twoCellAnchor>
    <xdr:from>
      <xdr:col>3</xdr:col>
      <xdr:colOff>938941</xdr:colOff>
      <xdr:row>284</xdr:row>
      <xdr:rowOff>9525</xdr:rowOff>
    </xdr:from>
    <xdr:to>
      <xdr:col>3</xdr:col>
      <xdr:colOff>950145</xdr:colOff>
      <xdr:row>293</xdr:row>
      <xdr:rowOff>11900</xdr:rowOff>
    </xdr:to>
    <xdr:grpSp>
      <xdr:nvGrpSpPr>
        <xdr:cNvPr id="338871" name="4724 Grup">
          <a:extLst>
            <a:ext uri="{FF2B5EF4-FFF2-40B4-BE49-F238E27FC236}">
              <a16:creationId xmlns:a16="http://schemas.microsoft.com/office/drawing/2014/main" id="{00000000-0008-0000-0000-0000B72B0500}"/>
            </a:ext>
          </a:extLst>
        </xdr:cNvPr>
        <xdr:cNvGrpSpPr>
          <a:grpSpLocks/>
        </xdr:cNvGrpSpPr>
      </xdr:nvGrpSpPr>
      <xdr:grpSpPr bwMode="auto">
        <a:xfrm>
          <a:off x="3236147" y="53360731"/>
          <a:ext cx="11204" cy="1010904"/>
          <a:chOff x="3930028" y="41946739"/>
          <a:chExt cx="2436" cy="995876"/>
        </a:xfrm>
      </xdr:grpSpPr>
      <xdr:sp macro="" textlink="">
        <xdr:nvSpPr>
          <xdr:cNvPr id="338959" name="Line 2910">
            <a:extLst>
              <a:ext uri="{FF2B5EF4-FFF2-40B4-BE49-F238E27FC236}">
                <a16:creationId xmlns:a16="http://schemas.microsoft.com/office/drawing/2014/main" id="{00000000-0008-0000-0000-00000F2C0500}"/>
              </a:ext>
            </a:extLst>
          </xdr:cNvPr>
          <xdr:cNvSpPr>
            <a:spLocks noChangeShapeType="1"/>
          </xdr:cNvSpPr>
        </xdr:nvSpPr>
        <xdr:spPr bwMode="auto">
          <a:xfrm>
            <a:off x="3932464" y="41946739"/>
            <a:ext cx="0" cy="194582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 type="triangle" w="med" len="med"/>
          </a:ln>
        </xdr:spPr>
      </xdr:sp>
      <xdr:sp macro="" textlink="">
        <xdr:nvSpPr>
          <xdr:cNvPr id="338960" name="Line 2911">
            <a:extLst>
              <a:ext uri="{FF2B5EF4-FFF2-40B4-BE49-F238E27FC236}">
                <a16:creationId xmlns:a16="http://schemas.microsoft.com/office/drawing/2014/main" id="{00000000-0008-0000-0000-0000102C0500}"/>
              </a:ext>
            </a:extLst>
          </xdr:cNvPr>
          <xdr:cNvSpPr>
            <a:spLocks noChangeShapeType="1"/>
          </xdr:cNvSpPr>
        </xdr:nvSpPr>
        <xdr:spPr bwMode="auto">
          <a:xfrm>
            <a:off x="3932464" y="42141321"/>
            <a:ext cx="0" cy="204108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 type="triangle" w="med" len="med"/>
          </a:ln>
        </xdr:spPr>
      </xdr:sp>
      <xdr:sp macro="" textlink="">
        <xdr:nvSpPr>
          <xdr:cNvPr id="338961" name="Line 2912">
            <a:extLst>
              <a:ext uri="{FF2B5EF4-FFF2-40B4-BE49-F238E27FC236}">
                <a16:creationId xmlns:a16="http://schemas.microsoft.com/office/drawing/2014/main" id="{00000000-0008-0000-0000-0000112C0500}"/>
              </a:ext>
            </a:extLst>
          </xdr:cNvPr>
          <xdr:cNvSpPr>
            <a:spLocks noChangeShapeType="1"/>
          </xdr:cNvSpPr>
        </xdr:nvSpPr>
        <xdr:spPr bwMode="auto">
          <a:xfrm>
            <a:off x="3932464" y="42345429"/>
            <a:ext cx="0" cy="204107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 type="triangle" w="med" len="med"/>
          </a:ln>
        </xdr:spPr>
      </xdr:sp>
      <xdr:sp macro="" textlink="">
        <xdr:nvSpPr>
          <xdr:cNvPr id="338965" name="Line 2916">
            <a:extLst>
              <a:ext uri="{FF2B5EF4-FFF2-40B4-BE49-F238E27FC236}">
                <a16:creationId xmlns:a16="http://schemas.microsoft.com/office/drawing/2014/main" id="{00000000-0008-0000-0000-0000152C0500}"/>
              </a:ext>
            </a:extLst>
          </xdr:cNvPr>
          <xdr:cNvSpPr>
            <a:spLocks noChangeShapeType="1"/>
          </xdr:cNvSpPr>
        </xdr:nvSpPr>
        <xdr:spPr bwMode="auto">
          <a:xfrm>
            <a:off x="3930028" y="42565734"/>
            <a:ext cx="0" cy="204107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 type="triangle" w="med" len="med"/>
          </a:ln>
        </xdr:spPr>
      </xdr:sp>
      <xdr:sp macro="" textlink="">
        <xdr:nvSpPr>
          <xdr:cNvPr id="338966" name="Line 2917">
            <a:extLst>
              <a:ext uri="{FF2B5EF4-FFF2-40B4-BE49-F238E27FC236}">
                <a16:creationId xmlns:a16="http://schemas.microsoft.com/office/drawing/2014/main" id="{00000000-0008-0000-0000-0000162C0500}"/>
              </a:ext>
            </a:extLst>
          </xdr:cNvPr>
          <xdr:cNvSpPr>
            <a:spLocks noChangeShapeType="1"/>
          </xdr:cNvSpPr>
        </xdr:nvSpPr>
        <xdr:spPr bwMode="auto">
          <a:xfrm flipV="1">
            <a:off x="3930921" y="42761640"/>
            <a:ext cx="0" cy="180975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 type="triangle" w="med" len="med"/>
          </a:ln>
        </xdr:spPr>
      </xdr:sp>
    </xdr:grpSp>
    <xdr:clientData/>
  </xdr:twoCellAnchor>
  <xdr:twoCellAnchor>
    <xdr:from>
      <xdr:col>3</xdr:col>
      <xdr:colOff>485775</xdr:colOff>
      <xdr:row>335</xdr:row>
      <xdr:rowOff>38100</xdr:rowOff>
    </xdr:from>
    <xdr:to>
      <xdr:col>3</xdr:col>
      <xdr:colOff>485775</xdr:colOff>
      <xdr:row>336</xdr:row>
      <xdr:rowOff>9525</xdr:rowOff>
    </xdr:to>
    <xdr:sp macro="" textlink="">
      <xdr:nvSpPr>
        <xdr:cNvPr id="338872" name="Line 2920">
          <a:extLst>
            <a:ext uri="{FF2B5EF4-FFF2-40B4-BE49-F238E27FC236}">
              <a16:creationId xmlns:a16="http://schemas.microsoft.com/office/drawing/2014/main" id="{00000000-0008-0000-0000-0000B82B0500}"/>
            </a:ext>
          </a:extLst>
        </xdr:cNvPr>
        <xdr:cNvSpPr>
          <a:spLocks noChangeShapeType="1"/>
        </xdr:cNvSpPr>
      </xdr:nvSpPr>
      <xdr:spPr bwMode="auto">
        <a:xfrm>
          <a:off x="2028825" y="53159025"/>
          <a:ext cx="0" cy="1809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xdr:twoCellAnchor>
    <xdr:from>
      <xdr:col>3</xdr:col>
      <xdr:colOff>485775</xdr:colOff>
      <xdr:row>336</xdr:row>
      <xdr:rowOff>19050</xdr:rowOff>
    </xdr:from>
    <xdr:to>
      <xdr:col>3</xdr:col>
      <xdr:colOff>485775</xdr:colOff>
      <xdr:row>337</xdr:row>
      <xdr:rowOff>19050</xdr:rowOff>
    </xdr:to>
    <xdr:sp macro="" textlink="">
      <xdr:nvSpPr>
        <xdr:cNvPr id="338873" name="Line 2921">
          <a:extLst>
            <a:ext uri="{FF2B5EF4-FFF2-40B4-BE49-F238E27FC236}">
              <a16:creationId xmlns:a16="http://schemas.microsoft.com/office/drawing/2014/main" id="{00000000-0008-0000-0000-0000B92B0500}"/>
            </a:ext>
          </a:extLst>
        </xdr:cNvPr>
        <xdr:cNvSpPr>
          <a:spLocks noChangeShapeType="1"/>
        </xdr:cNvSpPr>
      </xdr:nvSpPr>
      <xdr:spPr bwMode="auto">
        <a:xfrm>
          <a:off x="2028825" y="53349525"/>
          <a:ext cx="0" cy="2000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xdr:twoCellAnchor>
    <xdr:from>
      <xdr:col>3</xdr:col>
      <xdr:colOff>476250</xdr:colOff>
      <xdr:row>337</xdr:row>
      <xdr:rowOff>28575</xdr:rowOff>
    </xdr:from>
    <xdr:to>
      <xdr:col>3</xdr:col>
      <xdr:colOff>476250</xdr:colOff>
      <xdr:row>338</xdr:row>
      <xdr:rowOff>28575</xdr:rowOff>
    </xdr:to>
    <xdr:sp macro="" textlink="">
      <xdr:nvSpPr>
        <xdr:cNvPr id="338875" name="Line 2923">
          <a:extLst>
            <a:ext uri="{FF2B5EF4-FFF2-40B4-BE49-F238E27FC236}">
              <a16:creationId xmlns:a16="http://schemas.microsoft.com/office/drawing/2014/main" id="{00000000-0008-0000-0000-0000BB2B0500}"/>
            </a:ext>
          </a:extLst>
        </xdr:cNvPr>
        <xdr:cNvSpPr>
          <a:spLocks noChangeShapeType="1"/>
        </xdr:cNvSpPr>
      </xdr:nvSpPr>
      <xdr:spPr bwMode="auto">
        <a:xfrm>
          <a:off x="2019300" y="53559075"/>
          <a:ext cx="0" cy="2000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xdr:twoCellAnchor>
    <xdr:from>
      <xdr:col>3</xdr:col>
      <xdr:colOff>485775</xdr:colOff>
      <xdr:row>343</xdr:row>
      <xdr:rowOff>19049</xdr:rowOff>
    </xdr:from>
    <xdr:to>
      <xdr:col>3</xdr:col>
      <xdr:colOff>485775</xdr:colOff>
      <xdr:row>344</xdr:row>
      <xdr:rowOff>9524</xdr:rowOff>
    </xdr:to>
    <xdr:sp macro="" textlink="">
      <xdr:nvSpPr>
        <xdr:cNvPr id="338879" name="Line 2927">
          <a:extLst>
            <a:ext uri="{FF2B5EF4-FFF2-40B4-BE49-F238E27FC236}">
              <a16:creationId xmlns:a16="http://schemas.microsoft.com/office/drawing/2014/main" id="{00000000-0008-0000-0000-0000BF2B0500}"/>
            </a:ext>
          </a:extLst>
        </xdr:cNvPr>
        <xdr:cNvSpPr>
          <a:spLocks noChangeShapeType="1"/>
        </xdr:cNvSpPr>
      </xdr:nvSpPr>
      <xdr:spPr bwMode="auto">
        <a:xfrm flipV="1">
          <a:off x="2124075" y="56873774"/>
          <a:ext cx="0" cy="1809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xdr:twoCellAnchor>
    <xdr:from>
      <xdr:col>13</xdr:col>
      <xdr:colOff>13607</xdr:colOff>
      <xdr:row>8</xdr:row>
      <xdr:rowOff>163297</xdr:rowOff>
    </xdr:from>
    <xdr:to>
      <xdr:col>13</xdr:col>
      <xdr:colOff>213632</xdr:colOff>
      <xdr:row>10</xdr:row>
      <xdr:rowOff>19742</xdr:rowOff>
    </xdr:to>
    <xdr:sp macro="" textlink="">
      <xdr:nvSpPr>
        <xdr:cNvPr id="2901" name="Text Box 5112">
          <a:extLst>
            <a:ext uri="{FF2B5EF4-FFF2-40B4-BE49-F238E27FC236}">
              <a16:creationId xmlns:a16="http://schemas.microsoft.com/office/drawing/2014/main" id="{00000000-0008-0000-0000-0000550B0000}"/>
            </a:ext>
          </a:extLst>
        </xdr:cNvPr>
        <xdr:cNvSpPr txBox="1">
          <a:spLocks noChangeArrowheads="1"/>
        </xdr:cNvSpPr>
      </xdr:nvSpPr>
      <xdr:spPr bwMode="auto">
        <a:xfrm>
          <a:off x="6966857" y="1605654"/>
          <a:ext cx="200025" cy="2238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tr-TR" sz="1000" b="0" i="0" strike="noStrike">
              <a:solidFill>
                <a:srgbClr val="000000"/>
              </a:solidFill>
              <a:latin typeface="Symbol"/>
            </a:rPr>
            <a:t>F</a:t>
          </a:r>
        </a:p>
      </xdr:txBody>
    </xdr:sp>
    <xdr:clientData/>
  </xdr:twoCellAnchor>
  <xdr:twoCellAnchor>
    <xdr:from>
      <xdr:col>13</xdr:col>
      <xdr:colOff>13607</xdr:colOff>
      <xdr:row>9</xdr:row>
      <xdr:rowOff>163292</xdr:rowOff>
    </xdr:from>
    <xdr:to>
      <xdr:col>13</xdr:col>
      <xdr:colOff>213632</xdr:colOff>
      <xdr:row>11</xdr:row>
      <xdr:rowOff>19737</xdr:rowOff>
    </xdr:to>
    <xdr:sp macro="" textlink="">
      <xdr:nvSpPr>
        <xdr:cNvPr id="2902" name="Text Box 5112">
          <a:extLst>
            <a:ext uri="{FF2B5EF4-FFF2-40B4-BE49-F238E27FC236}">
              <a16:creationId xmlns:a16="http://schemas.microsoft.com/office/drawing/2014/main" id="{00000000-0008-0000-0000-0000560B0000}"/>
            </a:ext>
          </a:extLst>
        </xdr:cNvPr>
        <xdr:cNvSpPr txBox="1">
          <a:spLocks noChangeArrowheads="1"/>
        </xdr:cNvSpPr>
      </xdr:nvSpPr>
      <xdr:spPr bwMode="auto">
        <a:xfrm>
          <a:off x="6966857" y="1782542"/>
          <a:ext cx="200025" cy="2238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tr-TR" sz="1000" b="0" i="0" strike="noStrike">
              <a:solidFill>
                <a:srgbClr val="000000"/>
              </a:solidFill>
              <a:latin typeface="Symbol"/>
            </a:rPr>
            <a:t>F</a:t>
          </a:r>
        </a:p>
      </xdr:txBody>
    </xdr:sp>
    <xdr:clientData/>
  </xdr:twoCellAnchor>
  <xdr:twoCellAnchor>
    <xdr:from>
      <xdr:col>13</xdr:col>
      <xdr:colOff>13607</xdr:colOff>
      <xdr:row>10</xdr:row>
      <xdr:rowOff>149681</xdr:rowOff>
    </xdr:from>
    <xdr:to>
      <xdr:col>13</xdr:col>
      <xdr:colOff>213632</xdr:colOff>
      <xdr:row>11</xdr:row>
      <xdr:rowOff>138795</xdr:rowOff>
    </xdr:to>
    <xdr:sp macro="" textlink="">
      <xdr:nvSpPr>
        <xdr:cNvPr id="2903" name="Text Box 5112">
          <a:extLst>
            <a:ext uri="{FF2B5EF4-FFF2-40B4-BE49-F238E27FC236}">
              <a16:creationId xmlns:a16="http://schemas.microsoft.com/office/drawing/2014/main" id="{00000000-0008-0000-0000-0000570B0000}"/>
            </a:ext>
          </a:extLst>
        </xdr:cNvPr>
        <xdr:cNvSpPr txBox="1">
          <a:spLocks noChangeArrowheads="1"/>
        </xdr:cNvSpPr>
      </xdr:nvSpPr>
      <xdr:spPr bwMode="auto">
        <a:xfrm>
          <a:off x="6966857" y="1959431"/>
          <a:ext cx="200025" cy="16600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tr-TR" sz="1000" b="0" i="0" strike="noStrike">
              <a:solidFill>
                <a:srgbClr val="000000"/>
              </a:solidFill>
              <a:latin typeface="Symbol"/>
            </a:rPr>
            <a:t>F</a:t>
          </a:r>
        </a:p>
      </xdr:txBody>
    </xdr:sp>
    <xdr:clientData/>
  </xdr:twoCellAnchor>
  <xdr:twoCellAnchor>
    <xdr:from>
      <xdr:col>13</xdr:col>
      <xdr:colOff>593112</xdr:colOff>
      <xdr:row>8</xdr:row>
      <xdr:rowOff>95256</xdr:rowOff>
    </xdr:from>
    <xdr:to>
      <xdr:col>15</xdr:col>
      <xdr:colOff>171290</xdr:colOff>
      <xdr:row>10</xdr:row>
      <xdr:rowOff>27214</xdr:rowOff>
    </xdr:to>
    <xdr:sp macro="" textlink="">
      <xdr:nvSpPr>
        <xdr:cNvPr id="2904" name="Text Box 5113">
          <a:extLst>
            <a:ext uri="{FF2B5EF4-FFF2-40B4-BE49-F238E27FC236}">
              <a16:creationId xmlns:a16="http://schemas.microsoft.com/office/drawing/2014/main" id="{00000000-0008-0000-0000-0000580B0000}"/>
            </a:ext>
          </a:extLst>
        </xdr:cNvPr>
        <xdr:cNvSpPr txBox="1">
          <a:spLocks noChangeArrowheads="1"/>
        </xdr:cNvSpPr>
      </xdr:nvSpPr>
      <xdr:spPr bwMode="auto">
        <a:xfrm>
          <a:off x="8717377" y="1552021"/>
          <a:ext cx="1449560" cy="30175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tr-TR" sz="1800" b="0" i="0" strike="noStrike">
              <a:solidFill>
                <a:sysClr val="windowText" lastClr="000000"/>
              </a:solidFill>
              <a:latin typeface="Symbol"/>
            </a:rPr>
            <a:t>/</a:t>
          </a:r>
        </a:p>
      </xdr:txBody>
    </xdr:sp>
    <xdr:clientData/>
  </xdr:twoCellAnchor>
  <xdr:twoCellAnchor>
    <xdr:from>
      <xdr:col>13</xdr:col>
      <xdr:colOff>517066</xdr:colOff>
      <xdr:row>9</xdr:row>
      <xdr:rowOff>81650</xdr:rowOff>
    </xdr:from>
    <xdr:to>
      <xdr:col>15</xdr:col>
      <xdr:colOff>95244</xdr:colOff>
      <xdr:row>11</xdr:row>
      <xdr:rowOff>13608</xdr:rowOff>
    </xdr:to>
    <xdr:sp macro="" textlink="">
      <xdr:nvSpPr>
        <xdr:cNvPr id="3014" name="Text Box 5113">
          <a:extLst>
            <a:ext uri="{FF2B5EF4-FFF2-40B4-BE49-F238E27FC236}">
              <a16:creationId xmlns:a16="http://schemas.microsoft.com/office/drawing/2014/main" id="{00000000-0008-0000-0000-0000C60B0000}"/>
            </a:ext>
          </a:extLst>
        </xdr:cNvPr>
        <xdr:cNvSpPr txBox="1">
          <a:spLocks noChangeArrowheads="1"/>
        </xdr:cNvSpPr>
      </xdr:nvSpPr>
      <xdr:spPr bwMode="auto">
        <a:xfrm>
          <a:off x="7470316" y="1700900"/>
          <a:ext cx="163285" cy="29935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tr-TR" sz="1800" b="0" i="0" strike="noStrike">
              <a:solidFill>
                <a:sysClr val="windowText" lastClr="000000"/>
              </a:solidFill>
              <a:latin typeface="Symbol"/>
            </a:rPr>
            <a:t>/</a:t>
          </a:r>
        </a:p>
      </xdr:txBody>
    </xdr:sp>
    <xdr:clientData/>
  </xdr:twoCellAnchor>
  <xdr:twoCellAnchor>
    <xdr:from>
      <xdr:col>13</xdr:col>
      <xdr:colOff>530673</xdr:colOff>
      <xdr:row>10</xdr:row>
      <xdr:rowOff>68041</xdr:rowOff>
    </xdr:from>
    <xdr:to>
      <xdr:col>15</xdr:col>
      <xdr:colOff>108851</xdr:colOff>
      <xdr:row>12</xdr:row>
      <xdr:rowOff>0</xdr:rowOff>
    </xdr:to>
    <xdr:sp macro="" textlink="">
      <xdr:nvSpPr>
        <xdr:cNvPr id="3015" name="Text Box 5113">
          <a:extLst>
            <a:ext uri="{FF2B5EF4-FFF2-40B4-BE49-F238E27FC236}">
              <a16:creationId xmlns:a16="http://schemas.microsoft.com/office/drawing/2014/main" id="{00000000-0008-0000-0000-0000C70B0000}"/>
            </a:ext>
          </a:extLst>
        </xdr:cNvPr>
        <xdr:cNvSpPr txBox="1">
          <a:spLocks noChangeArrowheads="1"/>
        </xdr:cNvSpPr>
      </xdr:nvSpPr>
      <xdr:spPr bwMode="auto">
        <a:xfrm>
          <a:off x="7483923" y="1877791"/>
          <a:ext cx="163285" cy="29935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tr-TR" sz="1800" b="0" i="0" strike="noStrike">
              <a:solidFill>
                <a:sysClr val="windowText" lastClr="000000"/>
              </a:solidFill>
              <a:latin typeface="Symbol"/>
            </a:rPr>
            <a:t>/</a:t>
          </a:r>
        </a:p>
      </xdr:txBody>
    </xdr:sp>
    <xdr:clientData/>
  </xdr:twoCellAnchor>
  <xdr:twoCellAnchor>
    <xdr:from>
      <xdr:col>10</xdr:col>
      <xdr:colOff>85725</xdr:colOff>
      <xdr:row>396</xdr:row>
      <xdr:rowOff>28575</xdr:rowOff>
    </xdr:from>
    <xdr:to>
      <xdr:col>10</xdr:col>
      <xdr:colOff>238125</xdr:colOff>
      <xdr:row>396</xdr:row>
      <xdr:rowOff>190500</xdr:rowOff>
    </xdr:to>
    <xdr:sp macro="" textlink="">
      <xdr:nvSpPr>
        <xdr:cNvPr id="338890" name="AutoShape 2865">
          <a:extLst>
            <a:ext uri="{FF2B5EF4-FFF2-40B4-BE49-F238E27FC236}">
              <a16:creationId xmlns:a16="http://schemas.microsoft.com/office/drawing/2014/main" id="{00000000-0008-0000-0000-0000CA2B0500}"/>
            </a:ext>
          </a:extLst>
        </xdr:cNvPr>
        <xdr:cNvSpPr>
          <a:spLocks noChangeArrowheads="1"/>
        </xdr:cNvSpPr>
      </xdr:nvSpPr>
      <xdr:spPr bwMode="auto">
        <a:xfrm>
          <a:off x="5305425" y="63827025"/>
          <a:ext cx="152400" cy="161925"/>
        </a:xfrm>
        <a:prstGeom prst="curvedLeftArrow">
          <a:avLst>
            <a:gd name="adj1" fmla="val 1343"/>
            <a:gd name="adj2" fmla="val 45348"/>
            <a:gd name="adj3" fmla="val 33333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10</xdr:col>
      <xdr:colOff>91108</xdr:colOff>
      <xdr:row>397</xdr:row>
      <xdr:rowOff>24848</xdr:rowOff>
    </xdr:from>
    <xdr:to>
      <xdr:col>10</xdr:col>
      <xdr:colOff>266699</xdr:colOff>
      <xdr:row>398</xdr:row>
      <xdr:rowOff>1</xdr:rowOff>
    </xdr:to>
    <xdr:sp macro="" textlink="">
      <xdr:nvSpPr>
        <xdr:cNvPr id="338891" name="AutoShape 2866">
          <a:extLst>
            <a:ext uri="{FF2B5EF4-FFF2-40B4-BE49-F238E27FC236}">
              <a16:creationId xmlns:a16="http://schemas.microsoft.com/office/drawing/2014/main" id="{00000000-0008-0000-0000-0000CB2B0500}"/>
            </a:ext>
          </a:extLst>
        </xdr:cNvPr>
        <xdr:cNvSpPr>
          <a:spLocks noChangeArrowheads="1"/>
        </xdr:cNvSpPr>
      </xdr:nvSpPr>
      <xdr:spPr bwMode="auto">
        <a:xfrm>
          <a:off x="5980043" y="66244305"/>
          <a:ext cx="175591" cy="157370"/>
        </a:xfrm>
        <a:prstGeom prst="curvedLeftArrow">
          <a:avLst>
            <a:gd name="adj1" fmla="val 1339"/>
            <a:gd name="adj2" fmla="val 45349"/>
            <a:gd name="adj3" fmla="val 33333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</xdr:col>
      <xdr:colOff>457200</xdr:colOff>
      <xdr:row>396</xdr:row>
      <xdr:rowOff>123825</xdr:rowOff>
    </xdr:from>
    <xdr:to>
      <xdr:col>6</xdr:col>
      <xdr:colOff>142875</xdr:colOff>
      <xdr:row>396</xdr:row>
      <xdr:rowOff>123825</xdr:rowOff>
    </xdr:to>
    <xdr:sp macro="" textlink="">
      <xdr:nvSpPr>
        <xdr:cNvPr id="338895" name="Line 2902">
          <a:extLst>
            <a:ext uri="{FF2B5EF4-FFF2-40B4-BE49-F238E27FC236}">
              <a16:creationId xmlns:a16="http://schemas.microsoft.com/office/drawing/2014/main" id="{00000000-0008-0000-0000-0000CF2B0500}"/>
            </a:ext>
          </a:extLst>
        </xdr:cNvPr>
        <xdr:cNvSpPr>
          <a:spLocks noChangeShapeType="1"/>
        </xdr:cNvSpPr>
      </xdr:nvSpPr>
      <xdr:spPr bwMode="auto">
        <a:xfrm>
          <a:off x="3067050" y="63922275"/>
          <a:ext cx="2190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xdr:twoCellAnchor>
    <xdr:from>
      <xdr:col>5</xdr:col>
      <xdr:colOff>457200</xdr:colOff>
      <xdr:row>397</xdr:row>
      <xdr:rowOff>95250</xdr:rowOff>
    </xdr:from>
    <xdr:to>
      <xdr:col>6</xdr:col>
      <xdr:colOff>161925</xdr:colOff>
      <xdr:row>397</xdr:row>
      <xdr:rowOff>95250</xdr:rowOff>
    </xdr:to>
    <xdr:sp macro="" textlink="">
      <xdr:nvSpPr>
        <xdr:cNvPr id="338899" name="Line 2908">
          <a:extLst>
            <a:ext uri="{FF2B5EF4-FFF2-40B4-BE49-F238E27FC236}">
              <a16:creationId xmlns:a16="http://schemas.microsoft.com/office/drawing/2014/main" id="{00000000-0008-0000-0000-0000D32B0500}"/>
            </a:ext>
          </a:extLst>
        </xdr:cNvPr>
        <xdr:cNvSpPr>
          <a:spLocks noChangeShapeType="1"/>
        </xdr:cNvSpPr>
      </xdr:nvSpPr>
      <xdr:spPr bwMode="auto">
        <a:xfrm>
          <a:off x="3333750" y="66036825"/>
          <a:ext cx="2381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xdr:twoCellAnchor>
    <xdr:from>
      <xdr:col>4</xdr:col>
      <xdr:colOff>104704</xdr:colOff>
      <xdr:row>514</xdr:row>
      <xdr:rowOff>31893</xdr:rowOff>
    </xdr:from>
    <xdr:to>
      <xdr:col>4</xdr:col>
      <xdr:colOff>298134</xdr:colOff>
      <xdr:row>515</xdr:row>
      <xdr:rowOff>108093</xdr:rowOff>
    </xdr:to>
    <xdr:sp macro="" textlink="">
      <xdr:nvSpPr>
        <xdr:cNvPr id="3741" name="3740 Metin kutusu">
          <a:extLst>
            <a:ext uri="{FF2B5EF4-FFF2-40B4-BE49-F238E27FC236}">
              <a16:creationId xmlns:a16="http://schemas.microsoft.com/office/drawing/2014/main" id="{00000000-0008-0000-0000-00009D0E0000}"/>
            </a:ext>
          </a:extLst>
        </xdr:cNvPr>
        <xdr:cNvSpPr txBox="1"/>
      </xdr:nvSpPr>
      <xdr:spPr>
        <a:xfrm>
          <a:off x="3645763" y="98957422"/>
          <a:ext cx="193430" cy="25549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l"/>
          <a:r>
            <a:rPr lang="el-GR" sz="1100"/>
            <a:t>σ</a:t>
          </a:r>
          <a:endParaRPr lang="tr-TR" sz="1100"/>
        </a:p>
      </xdr:txBody>
    </xdr:sp>
    <xdr:clientData/>
  </xdr:twoCellAnchor>
  <xdr:twoCellAnchor>
    <xdr:from>
      <xdr:col>2</xdr:col>
      <xdr:colOff>926762</xdr:colOff>
      <xdr:row>466</xdr:row>
      <xdr:rowOff>105436</xdr:rowOff>
    </xdr:from>
    <xdr:to>
      <xdr:col>2</xdr:col>
      <xdr:colOff>1117471</xdr:colOff>
      <xdr:row>468</xdr:row>
      <xdr:rowOff>145</xdr:rowOff>
    </xdr:to>
    <xdr:sp macro="" textlink="">
      <xdr:nvSpPr>
        <xdr:cNvPr id="3743" name="3742 Metin kutusu">
          <a:extLst>
            <a:ext uri="{FF2B5EF4-FFF2-40B4-BE49-F238E27FC236}">
              <a16:creationId xmlns:a16="http://schemas.microsoft.com/office/drawing/2014/main" id="{00000000-0008-0000-0000-00009F0E0000}"/>
            </a:ext>
          </a:extLst>
        </xdr:cNvPr>
        <xdr:cNvSpPr txBox="1"/>
      </xdr:nvSpPr>
      <xdr:spPr>
        <a:xfrm>
          <a:off x="1946497" y="89741289"/>
          <a:ext cx="190709" cy="253297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l"/>
          <a:r>
            <a:rPr lang="el-GR" sz="1100"/>
            <a:t>σ</a:t>
          </a:r>
          <a:endParaRPr lang="tr-TR" sz="1100"/>
        </a:p>
      </xdr:txBody>
    </xdr:sp>
    <xdr:clientData/>
  </xdr:twoCellAnchor>
  <xdr:twoCellAnchor>
    <xdr:from>
      <xdr:col>5</xdr:col>
      <xdr:colOff>515746</xdr:colOff>
      <xdr:row>467</xdr:row>
      <xdr:rowOff>51088</xdr:rowOff>
    </xdr:from>
    <xdr:to>
      <xdr:col>6</xdr:col>
      <xdr:colOff>168572</xdr:colOff>
      <xdr:row>468</xdr:row>
      <xdr:rowOff>125091</xdr:rowOff>
    </xdr:to>
    <xdr:sp macro="" textlink="">
      <xdr:nvSpPr>
        <xdr:cNvPr id="3744" name="3743 Metin kutusu">
          <a:extLst>
            <a:ext uri="{FF2B5EF4-FFF2-40B4-BE49-F238E27FC236}">
              <a16:creationId xmlns:a16="http://schemas.microsoft.com/office/drawing/2014/main" id="{00000000-0008-0000-0000-0000A00E0000}"/>
            </a:ext>
          </a:extLst>
        </xdr:cNvPr>
        <xdr:cNvSpPr txBox="1"/>
      </xdr:nvSpPr>
      <xdr:spPr>
        <a:xfrm>
          <a:off x="4594687" y="89866235"/>
          <a:ext cx="190709" cy="253297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l"/>
          <a:r>
            <a:rPr lang="el-GR" sz="1100"/>
            <a:t>σ</a:t>
          </a:r>
          <a:endParaRPr lang="tr-TR" sz="1100"/>
        </a:p>
      </xdr:txBody>
    </xdr:sp>
    <xdr:clientData/>
  </xdr:twoCellAnchor>
  <xdr:twoCellAnchor>
    <xdr:from>
      <xdr:col>2</xdr:col>
      <xdr:colOff>687756</xdr:colOff>
      <xdr:row>8</xdr:row>
      <xdr:rowOff>169310</xdr:rowOff>
    </xdr:from>
    <xdr:to>
      <xdr:col>2</xdr:col>
      <xdr:colOff>878465</xdr:colOff>
      <xdr:row>10</xdr:row>
      <xdr:rowOff>54494</xdr:rowOff>
    </xdr:to>
    <xdr:sp macro="" textlink="">
      <xdr:nvSpPr>
        <xdr:cNvPr id="3745" name="3744 Metin kutusu">
          <a:extLst>
            <a:ext uri="{FF2B5EF4-FFF2-40B4-BE49-F238E27FC236}">
              <a16:creationId xmlns:a16="http://schemas.microsoft.com/office/drawing/2014/main" id="{00000000-0008-0000-0000-0000A10E0000}"/>
            </a:ext>
          </a:extLst>
        </xdr:cNvPr>
        <xdr:cNvSpPr txBox="1"/>
      </xdr:nvSpPr>
      <xdr:spPr>
        <a:xfrm>
          <a:off x="1707491" y="1626075"/>
          <a:ext cx="190709" cy="254978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l"/>
          <a:r>
            <a:rPr lang="el-GR" sz="1100"/>
            <a:t>δ</a:t>
          </a:r>
          <a:endParaRPr lang="tr-TR" sz="1100"/>
        </a:p>
      </xdr:txBody>
    </xdr:sp>
    <xdr:clientData/>
  </xdr:twoCellAnchor>
  <xdr:twoCellAnchor>
    <xdr:from>
      <xdr:col>2</xdr:col>
      <xdr:colOff>91054</xdr:colOff>
      <xdr:row>3</xdr:row>
      <xdr:rowOff>123926</xdr:rowOff>
    </xdr:from>
    <xdr:to>
      <xdr:col>2</xdr:col>
      <xdr:colOff>281763</xdr:colOff>
      <xdr:row>4</xdr:row>
      <xdr:rowOff>178879</xdr:rowOff>
    </xdr:to>
    <xdr:sp macro="" textlink="">
      <xdr:nvSpPr>
        <xdr:cNvPr id="3746" name="3745 Metin kutusu">
          <a:extLst>
            <a:ext uri="{FF2B5EF4-FFF2-40B4-BE49-F238E27FC236}">
              <a16:creationId xmlns:a16="http://schemas.microsoft.com/office/drawing/2014/main" id="{00000000-0008-0000-0000-0000A20E0000}"/>
            </a:ext>
          </a:extLst>
        </xdr:cNvPr>
        <xdr:cNvSpPr txBox="1"/>
      </xdr:nvSpPr>
      <xdr:spPr>
        <a:xfrm>
          <a:off x="1110789" y="673014"/>
          <a:ext cx="190709" cy="245453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l"/>
          <a:r>
            <a:rPr lang="el-GR" sz="1100"/>
            <a:t>α</a:t>
          </a:r>
          <a:endParaRPr lang="tr-TR" sz="1100"/>
        </a:p>
      </xdr:txBody>
    </xdr:sp>
    <xdr:clientData/>
  </xdr:twoCellAnchor>
  <xdr:twoCellAnchor>
    <xdr:from>
      <xdr:col>17</xdr:col>
      <xdr:colOff>13607</xdr:colOff>
      <xdr:row>8</xdr:row>
      <xdr:rowOff>163297</xdr:rowOff>
    </xdr:from>
    <xdr:to>
      <xdr:col>17</xdr:col>
      <xdr:colOff>213632</xdr:colOff>
      <xdr:row>10</xdr:row>
      <xdr:rowOff>19742</xdr:rowOff>
    </xdr:to>
    <xdr:sp macro="" textlink="">
      <xdr:nvSpPr>
        <xdr:cNvPr id="123" name="Text Box 5112">
          <a:extLst>
            <a:ext uri="{FF2B5EF4-FFF2-40B4-BE49-F238E27FC236}">
              <a16:creationId xmlns:a16="http://schemas.microsoft.com/office/drawing/2014/main" id="{00000000-0008-0000-0000-00007B000000}"/>
            </a:ext>
          </a:extLst>
        </xdr:cNvPr>
        <xdr:cNvSpPr txBox="1">
          <a:spLocks noChangeArrowheads="1"/>
        </xdr:cNvSpPr>
      </xdr:nvSpPr>
      <xdr:spPr bwMode="auto">
        <a:xfrm>
          <a:off x="7006078" y="1620062"/>
          <a:ext cx="200025" cy="2262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tr-TR" sz="1000" b="0" i="0" strike="noStrike">
              <a:solidFill>
                <a:srgbClr val="000000"/>
              </a:solidFill>
              <a:latin typeface="Symbol"/>
            </a:rPr>
            <a:t>F</a:t>
          </a:r>
        </a:p>
      </xdr:txBody>
    </xdr:sp>
    <xdr:clientData/>
  </xdr:twoCellAnchor>
  <xdr:twoCellAnchor>
    <xdr:from>
      <xdr:col>17</xdr:col>
      <xdr:colOff>13607</xdr:colOff>
      <xdr:row>9</xdr:row>
      <xdr:rowOff>163292</xdr:rowOff>
    </xdr:from>
    <xdr:to>
      <xdr:col>17</xdr:col>
      <xdr:colOff>213632</xdr:colOff>
      <xdr:row>11</xdr:row>
      <xdr:rowOff>19737</xdr:rowOff>
    </xdr:to>
    <xdr:sp macro="" textlink="">
      <xdr:nvSpPr>
        <xdr:cNvPr id="124" name="Text Box 5112">
          <a:extLst>
            <a:ext uri="{FF2B5EF4-FFF2-40B4-BE49-F238E27FC236}">
              <a16:creationId xmlns:a16="http://schemas.microsoft.com/office/drawing/2014/main" id="{00000000-0008-0000-0000-00007C000000}"/>
            </a:ext>
          </a:extLst>
        </xdr:cNvPr>
        <xdr:cNvSpPr txBox="1">
          <a:spLocks noChangeArrowheads="1"/>
        </xdr:cNvSpPr>
      </xdr:nvSpPr>
      <xdr:spPr bwMode="auto">
        <a:xfrm>
          <a:off x="7006078" y="1799351"/>
          <a:ext cx="200025" cy="2262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tr-TR" sz="1000" b="0" i="0" strike="noStrike">
              <a:solidFill>
                <a:srgbClr val="000000"/>
              </a:solidFill>
              <a:latin typeface="Symbol"/>
            </a:rPr>
            <a:t>F</a:t>
          </a:r>
        </a:p>
      </xdr:txBody>
    </xdr:sp>
    <xdr:clientData/>
  </xdr:twoCellAnchor>
  <xdr:twoCellAnchor>
    <xdr:from>
      <xdr:col>17</xdr:col>
      <xdr:colOff>13607</xdr:colOff>
      <xdr:row>10</xdr:row>
      <xdr:rowOff>149681</xdr:rowOff>
    </xdr:from>
    <xdr:to>
      <xdr:col>17</xdr:col>
      <xdr:colOff>213632</xdr:colOff>
      <xdr:row>11</xdr:row>
      <xdr:rowOff>138795</xdr:rowOff>
    </xdr:to>
    <xdr:sp macro="" textlink="">
      <xdr:nvSpPr>
        <xdr:cNvPr id="125" name="Text Box 5112">
          <a:extLst>
            <a:ext uri="{FF2B5EF4-FFF2-40B4-BE49-F238E27FC236}">
              <a16:creationId xmlns:a16="http://schemas.microsoft.com/office/drawing/2014/main" id="{00000000-0008-0000-0000-00007D000000}"/>
            </a:ext>
          </a:extLst>
        </xdr:cNvPr>
        <xdr:cNvSpPr txBox="1">
          <a:spLocks noChangeArrowheads="1"/>
        </xdr:cNvSpPr>
      </xdr:nvSpPr>
      <xdr:spPr bwMode="auto">
        <a:xfrm>
          <a:off x="7006078" y="1976240"/>
          <a:ext cx="200025" cy="1684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tr-TR" sz="1000" b="0" i="0" strike="noStrike">
              <a:solidFill>
                <a:srgbClr val="000000"/>
              </a:solidFill>
              <a:latin typeface="Symbol"/>
            </a:rPr>
            <a:t>F</a:t>
          </a:r>
        </a:p>
      </xdr:txBody>
    </xdr:sp>
    <xdr:clientData/>
  </xdr:twoCellAnchor>
  <xdr:twoCellAnchor>
    <xdr:from>
      <xdr:col>17</xdr:col>
      <xdr:colOff>503465</xdr:colOff>
      <xdr:row>8</xdr:row>
      <xdr:rowOff>95256</xdr:rowOff>
    </xdr:from>
    <xdr:to>
      <xdr:col>18</xdr:col>
      <xdr:colOff>81643</xdr:colOff>
      <xdr:row>10</xdr:row>
      <xdr:rowOff>27214</xdr:rowOff>
    </xdr:to>
    <xdr:sp macro="" textlink="">
      <xdr:nvSpPr>
        <xdr:cNvPr id="126" name="Text Box 5113">
          <a:extLst>
            <a:ext uri="{FF2B5EF4-FFF2-40B4-BE49-F238E27FC236}">
              <a16:creationId xmlns:a16="http://schemas.microsoft.com/office/drawing/2014/main" id="{00000000-0008-0000-0000-00007E000000}"/>
            </a:ext>
          </a:extLst>
        </xdr:cNvPr>
        <xdr:cNvSpPr txBox="1">
          <a:spLocks noChangeArrowheads="1"/>
        </xdr:cNvSpPr>
      </xdr:nvSpPr>
      <xdr:spPr bwMode="auto">
        <a:xfrm>
          <a:off x="7495936" y="1552021"/>
          <a:ext cx="160883" cy="30175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tr-TR" sz="1800" b="0" i="0" strike="noStrike">
              <a:solidFill>
                <a:sysClr val="windowText" lastClr="000000"/>
              </a:solidFill>
              <a:latin typeface="Symbol"/>
            </a:rPr>
            <a:t>/</a:t>
          </a:r>
        </a:p>
      </xdr:txBody>
    </xdr:sp>
    <xdr:clientData/>
  </xdr:twoCellAnchor>
  <xdr:twoCellAnchor>
    <xdr:from>
      <xdr:col>17</xdr:col>
      <xdr:colOff>517066</xdr:colOff>
      <xdr:row>9</xdr:row>
      <xdr:rowOff>81650</xdr:rowOff>
    </xdr:from>
    <xdr:to>
      <xdr:col>18</xdr:col>
      <xdr:colOff>95244</xdr:colOff>
      <xdr:row>11</xdr:row>
      <xdr:rowOff>13608</xdr:rowOff>
    </xdr:to>
    <xdr:sp macro="" textlink="">
      <xdr:nvSpPr>
        <xdr:cNvPr id="127" name="Text Box 5113">
          <a:extLst>
            <a:ext uri="{FF2B5EF4-FFF2-40B4-BE49-F238E27FC236}">
              <a16:creationId xmlns:a16="http://schemas.microsoft.com/office/drawing/2014/main" id="{00000000-0008-0000-0000-00007F000000}"/>
            </a:ext>
          </a:extLst>
        </xdr:cNvPr>
        <xdr:cNvSpPr txBox="1">
          <a:spLocks noChangeArrowheads="1"/>
        </xdr:cNvSpPr>
      </xdr:nvSpPr>
      <xdr:spPr bwMode="auto">
        <a:xfrm>
          <a:off x="7509537" y="1717709"/>
          <a:ext cx="160883" cy="30175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tr-TR" sz="1800" b="0" i="0" strike="noStrike">
              <a:solidFill>
                <a:sysClr val="windowText" lastClr="000000"/>
              </a:solidFill>
              <a:latin typeface="Symbol"/>
            </a:rPr>
            <a:t>/</a:t>
          </a:r>
        </a:p>
      </xdr:txBody>
    </xdr:sp>
    <xdr:clientData/>
  </xdr:twoCellAnchor>
  <xdr:twoCellAnchor>
    <xdr:from>
      <xdr:col>17</xdr:col>
      <xdr:colOff>530673</xdr:colOff>
      <xdr:row>10</xdr:row>
      <xdr:rowOff>68041</xdr:rowOff>
    </xdr:from>
    <xdr:to>
      <xdr:col>18</xdr:col>
      <xdr:colOff>108851</xdr:colOff>
      <xdr:row>12</xdr:row>
      <xdr:rowOff>0</xdr:rowOff>
    </xdr:to>
    <xdr:sp macro="" textlink="">
      <xdr:nvSpPr>
        <xdr:cNvPr id="128" name="Text Box 5113">
          <a:extLst>
            <a:ext uri="{FF2B5EF4-FFF2-40B4-BE49-F238E27FC236}">
              <a16:creationId xmlns:a16="http://schemas.microsoft.com/office/drawing/2014/main" id="{00000000-0008-0000-0000-000080000000}"/>
            </a:ext>
          </a:extLst>
        </xdr:cNvPr>
        <xdr:cNvSpPr txBox="1">
          <a:spLocks noChangeArrowheads="1"/>
        </xdr:cNvSpPr>
      </xdr:nvSpPr>
      <xdr:spPr bwMode="auto">
        <a:xfrm>
          <a:off x="7523144" y="1894600"/>
          <a:ext cx="160883" cy="29054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tr-TR" sz="1800" b="0" i="0" strike="noStrike">
              <a:solidFill>
                <a:sysClr val="windowText" lastClr="000000"/>
              </a:solidFill>
              <a:latin typeface="Symbol"/>
            </a:rPr>
            <a:t>/</a:t>
          </a:r>
        </a:p>
      </xdr:txBody>
    </xdr:sp>
    <xdr:clientData/>
  </xdr:twoCellAnchor>
  <xdr:twoCellAnchor>
    <xdr:from>
      <xdr:col>9</xdr:col>
      <xdr:colOff>447675</xdr:colOff>
      <xdr:row>335</xdr:row>
      <xdr:rowOff>47625</xdr:rowOff>
    </xdr:from>
    <xdr:to>
      <xdr:col>10</xdr:col>
      <xdr:colOff>104775</xdr:colOff>
      <xdr:row>335</xdr:row>
      <xdr:rowOff>190500</xdr:rowOff>
    </xdr:to>
    <xdr:sp macro="" textlink="">
      <xdr:nvSpPr>
        <xdr:cNvPr id="338920" name="AutoShape 2856">
          <a:extLst>
            <a:ext uri="{FF2B5EF4-FFF2-40B4-BE49-F238E27FC236}">
              <a16:creationId xmlns:a16="http://schemas.microsoft.com/office/drawing/2014/main" id="{00000000-0008-0000-0000-0000E82B0500}"/>
            </a:ext>
          </a:extLst>
        </xdr:cNvPr>
        <xdr:cNvSpPr>
          <a:spLocks noChangeArrowheads="1"/>
        </xdr:cNvSpPr>
      </xdr:nvSpPr>
      <xdr:spPr bwMode="auto">
        <a:xfrm>
          <a:off x="5133975" y="53168550"/>
          <a:ext cx="190500" cy="142875"/>
        </a:xfrm>
        <a:prstGeom prst="curvedRightArrow">
          <a:avLst>
            <a:gd name="adj1" fmla="val 1185"/>
            <a:gd name="adj2" fmla="val 40000"/>
            <a:gd name="adj3" fmla="val 44599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10</xdr:col>
      <xdr:colOff>85725</xdr:colOff>
      <xdr:row>403</xdr:row>
      <xdr:rowOff>28575</xdr:rowOff>
    </xdr:from>
    <xdr:to>
      <xdr:col>10</xdr:col>
      <xdr:colOff>238125</xdr:colOff>
      <xdr:row>403</xdr:row>
      <xdr:rowOff>190500</xdr:rowOff>
    </xdr:to>
    <xdr:sp macro="" textlink="">
      <xdr:nvSpPr>
        <xdr:cNvPr id="338923" name="AutoShape 2865">
          <a:extLst>
            <a:ext uri="{FF2B5EF4-FFF2-40B4-BE49-F238E27FC236}">
              <a16:creationId xmlns:a16="http://schemas.microsoft.com/office/drawing/2014/main" id="{00000000-0008-0000-0000-0000EB2B0500}"/>
            </a:ext>
          </a:extLst>
        </xdr:cNvPr>
        <xdr:cNvSpPr>
          <a:spLocks noChangeArrowheads="1"/>
        </xdr:cNvSpPr>
      </xdr:nvSpPr>
      <xdr:spPr bwMode="auto">
        <a:xfrm>
          <a:off x="5305425" y="64789050"/>
          <a:ext cx="152400" cy="161925"/>
        </a:xfrm>
        <a:prstGeom prst="curvedLeftArrow">
          <a:avLst>
            <a:gd name="adj1" fmla="val 1343"/>
            <a:gd name="adj2" fmla="val 45348"/>
            <a:gd name="adj3" fmla="val 33333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10</xdr:col>
      <xdr:colOff>84482</xdr:colOff>
      <xdr:row>405</xdr:row>
      <xdr:rowOff>162339</xdr:rowOff>
    </xdr:from>
    <xdr:to>
      <xdr:col>10</xdr:col>
      <xdr:colOff>236882</xdr:colOff>
      <xdr:row>406</xdr:row>
      <xdr:rowOff>124239</xdr:rowOff>
    </xdr:to>
    <xdr:sp macro="" textlink="">
      <xdr:nvSpPr>
        <xdr:cNvPr id="338925" name="AutoShape 2866">
          <a:extLst>
            <a:ext uri="{FF2B5EF4-FFF2-40B4-BE49-F238E27FC236}">
              <a16:creationId xmlns:a16="http://schemas.microsoft.com/office/drawing/2014/main" id="{00000000-0008-0000-0000-0000ED2B0500}"/>
            </a:ext>
          </a:extLst>
        </xdr:cNvPr>
        <xdr:cNvSpPr>
          <a:spLocks noChangeArrowheads="1"/>
        </xdr:cNvSpPr>
      </xdr:nvSpPr>
      <xdr:spPr bwMode="auto">
        <a:xfrm>
          <a:off x="5973417" y="67657317"/>
          <a:ext cx="152400" cy="152400"/>
        </a:xfrm>
        <a:prstGeom prst="curvedLeftArrow">
          <a:avLst>
            <a:gd name="adj1" fmla="val 1139"/>
            <a:gd name="adj2" fmla="val 38333"/>
            <a:gd name="adj3" fmla="val 33333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</xdr:col>
      <xdr:colOff>457200</xdr:colOff>
      <xdr:row>403</xdr:row>
      <xdr:rowOff>123825</xdr:rowOff>
    </xdr:from>
    <xdr:to>
      <xdr:col>6</xdr:col>
      <xdr:colOff>142875</xdr:colOff>
      <xdr:row>403</xdr:row>
      <xdr:rowOff>123825</xdr:rowOff>
    </xdr:to>
    <xdr:sp macro="" textlink="">
      <xdr:nvSpPr>
        <xdr:cNvPr id="338926" name="Line 2902">
          <a:extLst>
            <a:ext uri="{FF2B5EF4-FFF2-40B4-BE49-F238E27FC236}">
              <a16:creationId xmlns:a16="http://schemas.microsoft.com/office/drawing/2014/main" id="{00000000-0008-0000-0000-0000EE2B0500}"/>
            </a:ext>
          </a:extLst>
        </xdr:cNvPr>
        <xdr:cNvSpPr>
          <a:spLocks noChangeShapeType="1"/>
        </xdr:cNvSpPr>
      </xdr:nvSpPr>
      <xdr:spPr bwMode="auto">
        <a:xfrm>
          <a:off x="3331265" y="67237803"/>
          <a:ext cx="215762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xdr:twoCellAnchor>
    <xdr:from>
      <xdr:col>5</xdr:col>
      <xdr:colOff>438150</xdr:colOff>
      <xdr:row>406</xdr:row>
      <xdr:rowOff>95250</xdr:rowOff>
    </xdr:from>
    <xdr:to>
      <xdr:col>6</xdr:col>
      <xdr:colOff>142875</xdr:colOff>
      <xdr:row>406</xdr:row>
      <xdr:rowOff>95250</xdr:rowOff>
    </xdr:to>
    <xdr:sp macro="" textlink="">
      <xdr:nvSpPr>
        <xdr:cNvPr id="338927" name="Line 2908">
          <a:extLst>
            <a:ext uri="{FF2B5EF4-FFF2-40B4-BE49-F238E27FC236}">
              <a16:creationId xmlns:a16="http://schemas.microsoft.com/office/drawing/2014/main" id="{00000000-0008-0000-0000-0000EF2B0500}"/>
            </a:ext>
          </a:extLst>
        </xdr:cNvPr>
        <xdr:cNvSpPr>
          <a:spLocks noChangeShapeType="1"/>
        </xdr:cNvSpPr>
      </xdr:nvSpPr>
      <xdr:spPr bwMode="auto">
        <a:xfrm>
          <a:off x="3048000" y="65046225"/>
          <a:ext cx="2381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xdr:twoCellAnchor>
    <xdr:from>
      <xdr:col>10</xdr:col>
      <xdr:colOff>85725</xdr:colOff>
      <xdr:row>410</xdr:row>
      <xdr:rowOff>28575</xdr:rowOff>
    </xdr:from>
    <xdr:to>
      <xdr:col>10</xdr:col>
      <xdr:colOff>238125</xdr:colOff>
      <xdr:row>410</xdr:row>
      <xdr:rowOff>190500</xdr:rowOff>
    </xdr:to>
    <xdr:sp macro="" textlink="">
      <xdr:nvSpPr>
        <xdr:cNvPr id="338928" name="AutoShape 2865">
          <a:extLst>
            <a:ext uri="{FF2B5EF4-FFF2-40B4-BE49-F238E27FC236}">
              <a16:creationId xmlns:a16="http://schemas.microsoft.com/office/drawing/2014/main" id="{00000000-0008-0000-0000-0000F02B0500}"/>
            </a:ext>
          </a:extLst>
        </xdr:cNvPr>
        <xdr:cNvSpPr>
          <a:spLocks noChangeArrowheads="1"/>
        </xdr:cNvSpPr>
      </xdr:nvSpPr>
      <xdr:spPr bwMode="auto">
        <a:xfrm>
          <a:off x="5305425" y="65741550"/>
          <a:ext cx="152400" cy="161925"/>
        </a:xfrm>
        <a:prstGeom prst="curvedLeftArrow">
          <a:avLst>
            <a:gd name="adj1" fmla="val 1343"/>
            <a:gd name="adj2" fmla="val 45348"/>
            <a:gd name="adj3" fmla="val 33333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</xdr:col>
      <xdr:colOff>457200</xdr:colOff>
      <xdr:row>405</xdr:row>
      <xdr:rowOff>123825</xdr:rowOff>
    </xdr:from>
    <xdr:to>
      <xdr:col>6</xdr:col>
      <xdr:colOff>142875</xdr:colOff>
      <xdr:row>405</xdr:row>
      <xdr:rowOff>123825</xdr:rowOff>
    </xdr:to>
    <xdr:sp macro="" textlink="">
      <xdr:nvSpPr>
        <xdr:cNvPr id="338930" name="Line 2902">
          <a:extLst>
            <a:ext uri="{FF2B5EF4-FFF2-40B4-BE49-F238E27FC236}">
              <a16:creationId xmlns:a16="http://schemas.microsoft.com/office/drawing/2014/main" id="{00000000-0008-0000-0000-0000F22B0500}"/>
            </a:ext>
          </a:extLst>
        </xdr:cNvPr>
        <xdr:cNvSpPr>
          <a:spLocks noChangeShapeType="1"/>
        </xdr:cNvSpPr>
      </xdr:nvSpPr>
      <xdr:spPr bwMode="auto">
        <a:xfrm>
          <a:off x="3067050" y="65836800"/>
          <a:ext cx="2190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xdr:twoCellAnchor>
    <xdr:from>
      <xdr:col>10</xdr:col>
      <xdr:colOff>85725</xdr:colOff>
      <xdr:row>415</xdr:row>
      <xdr:rowOff>28575</xdr:rowOff>
    </xdr:from>
    <xdr:to>
      <xdr:col>10</xdr:col>
      <xdr:colOff>238125</xdr:colOff>
      <xdr:row>415</xdr:row>
      <xdr:rowOff>190500</xdr:rowOff>
    </xdr:to>
    <xdr:sp macro="" textlink="">
      <xdr:nvSpPr>
        <xdr:cNvPr id="338933" name="AutoShape 2865">
          <a:extLst>
            <a:ext uri="{FF2B5EF4-FFF2-40B4-BE49-F238E27FC236}">
              <a16:creationId xmlns:a16="http://schemas.microsoft.com/office/drawing/2014/main" id="{00000000-0008-0000-0000-0000F52B0500}"/>
            </a:ext>
          </a:extLst>
        </xdr:cNvPr>
        <xdr:cNvSpPr>
          <a:spLocks noChangeArrowheads="1"/>
        </xdr:cNvSpPr>
      </xdr:nvSpPr>
      <xdr:spPr bwMode="auto">
        <a:xfrm>
          <a:off x="5305425" y="66694050"/>
          <a:ext cx="152400" cy="161925"/>
        </a:xfrm>
        <a:prstGeom prst="curvedLeftArrow">
          <a:avLst>
            <a:gd name="adj1" fmla="val 1343"/>
            <a:gd name="adj2" fmla="val 45348"/>
            <a:gd name="adj3" fmla="val 33333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</xdr:col>
      <xdr:colOff>457200</xdr:colOff>
      <xdr:row>415</xdr:row>
      <xdr:rowOff>123825</xdr:rowOff>
    </xdr:from>
    <xdr:to>
      <xdr:col>6</xdr:col>
      <xdr:colOff>142875</xdr:colOff>
      <xdr:row>415</xdr:row>
      <xdr:rowOff>123825</xdr:rowOff>
    </xdr:to>
    <xdr:sp macro="" textlink="">
      <xdr:nvSpPr>
        <xdr:cNvPr id="338935" name="Line 2902">
          <a:extLst>
            <a:ext uri="{FF2B5EF4-FFF2-40B4-BE49-F238E27FC236}">
              <a16:creationId xmlns:a16="http://schemas.microsoft.com/office/drawing/2014/main" id="{00000000-0008-0000-0000-0000F72B0500}"/>
            </a:ext>
          </a:extLst>
        </xdr:cNvPr>
        <xdr:cNvSpPr>
          <a:spLocks noChangeShapeType="1"/>
        </xdr:cNvSpPr>
      </xdr:nvSpPr>
      <xdr:spPr bwMode="auto">
        <a:xfrm>
          <a:off x="3067050" y="66789300"/>
          <a:ext cx="2190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xdr:twoCellAnchor>
    <xdr:from>
      <xdr:col>5</xdr:col>
      <xdr:colOff>447675</xdr:colOff>
      <xdr:row>416</xdr:row>
      <xdr:rowOff>114300</xdr:rowOff>
    </xdr:from>
    <xdr:to>
      <xdr:col>6</xdr:col>
      <xdr:colOff>133350</xdr:colOff>
      <xdr:row>416</xdr:row>
      <xdr:rowOff>114300</xdr:rowOff>
    </xdr:to>
    <xdr:sp macro="" textlink="">
      <xdr:nvSpPr>
        <xdr:cNvPr id="338936" name="Line 2902">
          <a:extLst>
            <a:ext uri="{FF2B5EF4-FFF2-40B4-BE49-F238E27FC236}">
              <a16:creationId xmlns:a16="http://schemas.microsoft.com/office/drawing/2014/main" id="{00000000-0008-0000-0000-0000F82B0500}"/>
            </a:ext>
          </a:extLst>
        </xdr:cNvPr>
        <xdr:cNvSpPr>
          <a:spLocks noChangeShapeType="1"/>
        </xdr:cNvSpPr>
      </xdr:nvSpPr>
      <xdr:spPr bwMode="auto">
        <a:xfrm>
          <a:off x="3057525" y="66970275"/>
          <a:ext cx="2190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xdr:twoCellAnchor>
    <xdr:from>
      <xdr:col>10</xdr:col>
      <xdr:colOff>85725</xdr:colOff>
      <xdr:row>418</xdr:row>
      <xdr:rowOff>28575</xdr:rowOff>
    </xdr:from>
    <xdr:to>
      <xdr:col>10</xdr:col>
      <xdr:colOff>247650</xdr:colOff>
      <xdr:row>419</xdr:row>
      <xdr:rowOff>19050</xdr:rowOff>
    </xdr:to>
    <xdr:sp macro="" textlink="">
      <xdr:nvSpPr>
        <xdr:cNvPr id="338938" name="AutoShape 2865">
          <a:extLst>
            <a:ext uri="{FF2B5EF4-FFF2-40B4-BE49-F238E27FC236}">
              <a16:creationId xmlns:a16="http://schemas.microsoft.com/office/drawing/2014/main" id="{00000000-0008-0000-0000-0000FA2B0500}"/>
            </a:ext>
          </a:extLst>
        </xdr:cNvPr>
        <xdr:cNvSpPr>
          <a:spLocks noChangeArrowheads="1"/>
        </xdr:cNvSpPr>
      </xdr:nvSpPr>
      <xdr:spPr bwMode="auto">
        <a:xfrm>
          <a:off x="5305425" y="67075050"/>
          <a:ext cx="161925" cy="180975"/>
        </a:xfrm>
        <a:prstGeom prst="curvedLeftArrow">
          <a:avLst>
            <a:gd name="adj1" fmla="val 1273"/>
            <a:gd name="adj2" fmla="val 42926"/>
            <a:gd name="adj3" fmla="val 33333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10</xdr:col>
      <xdr:colOff>104775</xdr:colOff>
      <xdr:row>180</xdr:row>
      <xdr:rowOff>28575</xdr:rowOff>
    </xdr:from>
    <xdr:to>
      <xdr:col>10</xdr:col>
      <xdr:colOff>257175</xdr:colOff>
      <xdr:row>180</xdr:row>
      <xdr:rowOff>190500</xdr:rowOff>
    </xdr:to>
    <xdr:sp macro="" textlink="">
      <xdr:nvSpPr>
        <xdr:cNvPr id="167" name="AutoShape 2868">
          <a:extLst>
            <a:ext uri="{FF2B5EF4-FFF2-40B4-BE49-F238E27FC236}">
              <a16:creationId xmlns:a16="http://schemas.microsoft.com/office/drawing/2014/main" id="{00000000-0008-0000-0000-0000A7000000}"/>
            </a:ext>
          </a:extLst>
        </xdr:cNvPr>
        <xdr:cNvSpPr>
          <a:spLocks noChangeArrowheads="1"/>
        </xdr:cNvSpPr>
      </xdr:nvSpPr>
      <xdr:spPr bwMode="auto">
        <a:xfrm>
          <a:off x="5953125" y="38004750"/>
          <a:ext cx="152400" cy="161925"/>
        </a:xfrm>
        <a:prstGeom prst="curvedLeftArrow">
          <a:avLst>
            <a:gd name="adj1" fmla="val 1259"/>
            <a:gd name="adj2" fmla="val 42500"/>
            <a:gd name="adj3" fmla="val 33333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</xdr:col>
      <xdr:colOff>485775</xdr:colOff>
      <xdr:row>341</xdr:row>
      <xdr:rowOff>180975</xdr:rowOff>
    </xdr:from>
    <xdr:to>
      <xdr:col>3</xdr:col>
      <xdr:colOff>485775</xdr:colOff>
      <xdr:row>343</xdr:row>
      <xdr:rowOff>9525</xdr:rowOff>
    </xdr:to>
    <xdr:sp macro="" textlink="">
      <xdr:nvSpPr>
        <xdr:cNvPr id="174" name="Line 2926">
          <a:extLst>
            <a:ext uri="{FF2B5EF4-FFF2-40B4-BE49-F238E27FC236}">
              <a16:creationId xmlns:a16="http://schemas.microsoft.com/office/drawing/2014/main" id="{00000000-0008-0000-0000-0000AE000000}"/>
            </a:ext>
          </a:extLst>
        </xdr:cNvPr>
        <xdr:cNvSpPr>
          <a:spLocks noChangeShapeType="1"/>
        </xdr:cNvSpPr>
      </xdr:nvSpPr>
      <xdr:spPr bwMode="auto">
        <a:xfrm>
          <a:off x="2124075" y="56673750"/>
          <a:ext cx="0" cy="1905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xdr:twoCellAnchor>
    <xdr:from>
      <xdr:col>9</xdr:col>
      <xdr:colOff>466725</xdr:colOff>
      <xdr:row>342</xdr:row>
      <xdr:rowOff>38100</xdr:rowOff>
    </xdr:from>
    <xdr:to>
      <xdr:col>10</xdr:col>
      <xdr:colOff>123825</xdr:colOff>
      <xdr:row>342</xdr:row>
      <xdr:rowOff>180975</xdr:rowOff>
    </xdr:to>
    <xdr:sp macro="" textlink="">
      <xdr:nvSpPr>
        <xdr:cNvPr id="175" name="AutoShape 2852">
          <a:extLst>
            <a:ext uri="{FF2B5EF4-FFF2-40B4-BE49-F238E27FC236}">
              <a16:creationId xmlns:a16="http://schemas.microsoft.com/office/drawing/2014/main" id="{00000000-0008-0000-0000-0000AF000000}"/>
            </a:ext>
          </a:extLst>
        </xdr:cNvPr>
        <xdr:cNvSpPr>
          <a:spLocks noChangeArrowheads="1"/>
        </xdr:cNvSpPr>
      </xdr:nvSpPr>
      <xdr:spPr bwMode="auto">
        <a:xfrm>
          <a:off x="5619750" y="46281975"/>
          <a:ext cx="400050" cy="142875"/>
        </a:xfrm>
        <a:prstGeom prst="curvedRightArrow">
          <a:avLst>
            <a:gd name="adj1" fmla="val 1185"/>
            <a:gd name="adj2" fmla="val 40000"/>
            <a:gd name="adj3" fmla="val 44444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10</xdr:col>
      <xdr:colOff>123825</xdr:colOff>
      <xdr:row>348</xdr:row>
      <xdr:rowOff>28575</xdr:rowOff>
    </xdr:from>
    <xdr:to>
      <xdr:col>10</xdr:col>
      <xdr:colOff>276225</xdr:colOff>
      <xdr:row>348</xdr:row>
      <xdr:rowOff>190500</xdr:rowOff>
    </xdr:to>
    <xdr:sp macro="" textlink="">
      <xdr:nvSpPr>
        <xdr:cNvPr id="180" name="AutoShape 2877">
          <a:extLst>
            <a:ext uri="{FF2B5EF4-FFF2-40B4-BE49-F238E27FC236}">
              <a16:creationId xmlns:a16="http://schemas.microsoft.com/office/drawing/2014/main" id="{00000000-0008-0000-0000-0000B4000000}"/>
            </a:ext>
          </a:extLst>
        </xdr:cNvPr>
        <xdr:cNvSpPr>
          <a:spLocks noChangeArrowheads="1"/>
        </xdr:cNvSpPr>
      </xdr:nvSpPr>
      <xdr:spPr bwMode="auto">
        <a:xfrm>
          <a:off x="6019800" y="56588025"/>
          <a:ext cx="152400" cy="161925"/>
        </a:xfrm>
        <a:prstGeom prst="curvedLeftArrow">
          <a:avLst>
            <a:gd name="adj1" fmla="val 1259"/>
            <a:gd name="adj2" fmla="val 42500"/>
            <a:gd name="adj3" fmla="val 33333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10</xdr:col>
      <xdr:colOff>104775</xdr:colOff>
      <xdr:row>343</xdr:row>
      <xdr:rowOff>9525</xdr:rowOff>
    </xdr:from>
    <xdr:to>
      <xdr:col>10</xdr:col>
      <xdr:colOff>257175</xdr:colOff>
      <xdr:row>344</xdr:row>
      <xdr:rowOff>19050</xdr:rowOff>
    </xdr:to>
    <xdr:sp macro="" textlink="">
      <xdr:nvSpPr>
        <xdr:cNvPr id="183" name="AutoShape 2876">
          <a:extLst>
            <a:ext uri="{FF2B5EF4-FFF2-40B4-BE49-F238E27FC236}">
              <a16:creationId xmlns:a16="http://schemas.microsoft.com/office/drawing/2014/main" id="{00000000-0008-0000-0000-0000B7000000}"/>
            </a:ext>
          </a:extLst>
        </xdr:cNvPr>
        <xdr:cNvSpPr>
          <a:spLocks noChangeArrowheads="1"/>
        </xdr:cNvSpPr>
      </xdr:nvSpPr>
      <xdr:spPr bwMode="auto">
        <a:xfrm>
          <a:off x="6000750" y="56178450"/>
          <a:ext cx="152400" cy="200025"/>
        </a:xfrm>
        <a:prstGeom prst="curvedLeftArrow">
          <a:avLst>
            <a:gd name="adj1" fmla="val 1556"/>
            <a:gd name="adj2" fmla="val 52500"/>
            <a:gd name="adj3" fmla="val 33333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9</xdr:col>
      <xdr:colOff>513229</xdr:colOff>
      <xdr:row>351</xdr:row>
      <xdr:rowOff>58831</xdr:rowOff>
    </xdr:from>
    <xdr:to>
      <xdr:col>10</xdr:col>
      <xdr:colOff>170329</xdr:colOff>
      <xdr:row>352</xdr:row>
      <xdr:rowOff>0</xdr:rowOff>
    </xdr:to>
    <xdr:sp macro="" textlink="">
      <xdr:nvSpPr>
        <xdr:cNvPr id="184" name="AutoShape 2852">
          <a:extLst>
            <a:ext uri="{FF2B5EF4-FFF2-40B4-BE49-F238E27FC236}">
              <a16:creationId xmlns:a16="http://schemas.microsoft.com/office/drawing/2014/main" id="{00000000-0008-0000-0000-0000B8000000}"/>
            </a:ext>
          </a:extLst>
        </xdr:cNvPr>
        <xdr:cNvSpPr>
          <a:spLocks noChangeArrowheads="1"/>
        </xdr:cNvSpPr>
      </xdr:nvSpPr>
      <xdr:spPr bwMode="auto">
        <a:xfrm>
          <a:off x="7057464" y="67226890"/>
          <a:ext cx="396689" cy="142875"/>
        </a:xfrm>
        <a:prstGeom prst="curvedRightArrow">
          <a:avLst>
            <a:gd name="adj1" fmla="val 1185"/>
            <a:gd name="adj2" fmla="val 40000"/>
            <a:gd name="adj3" fmla="val 44444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10</xdr:col>
      <xdr:colOff>115956</xdr:colOff>
      <xdr:row>404</xdr:row>
      <xdr:rowOff>16565</xdr:rowOff>
    </xdr:from>
    <xdr:to>
      <xdr:col>10</xdr:col>
      <xdr:colOff>268356</xdr:colOff>
      <xdr:row>404</xdr:row>
      <xdr:rowOff>178490</xdr:rowOff>
    </xdr:to>
    <xdr:sp macro="" textlink="">
      <xdr:nvSpPr>
        <xdr:cNvPr id="161" name="AutoShape 2865">
          <a:extLst>
            <a:ext uri="{FF2B5EF4-FFF2-40B4-BE49-F238E27FC236}">
              <a16:creationId xmlns:a16="http://schemas.microsoft.com/office/drawing/2014/main" id="{00000000-0008-0000-0000-0000A1000000}"/>
            </a:ext>
          </a:extLst>
        </xdr:cNvPr>
        <xdr:cNvSpPr>
          <a:spLocks noChangeArrowheads="1"/>
        </xdr:cNvSpPr>
      </xdr:nvSpPr>
      <xdr:spPr bwMode="auto">
        <a:xfrm>
          <a:off x="6004891" y="67321043"/>
          <a:ext cx="152400" cy="161925"/>
        </a:xfrm>
        <a:prstGeom prst="curvedLeftArrow">
          <a:avLst>
            <a:gd name="adj1" fmla="val 1343"/>
            <a:gd name="adj2" fmla="val 45348"/>
            <a:gd name="adj3" fmla="val 33333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10</xdr:col>
      <xdr:colOff>107674</xdr:colOff>
      <xdr:row>405</xdr:row>
      <xdr:rowOff>16565</xdr:rowOff>
    </xdr:from>
    <xdr:to>
      <xdr:col>10</xdr:col>
      <xdr:colOff>260074</xdr:colOff>
      <xdr:row>405</xdr:row>
      <xdr:rowOff>178490</xdr:rowOff>
    </xdr:to>
    <xdr:sp macro="" textlink="">
      <xdr:nvSpPr>
        <xdr:cNvPr id="163" name="AutoShape 2865">
          <a:extLst>
            <a:ext uri="{FF2B5EF4-FFF2-40B4-BE49-F238E27FC236}">
              <a16:creationId xmlns:a16="http://schemas.microsoft.com/office/drawing/2014/main" id="{00000000-0008-0000-0000-0000A3000000}"/>
            </a:ext>
          </a:extLst>
        </xdr:cNvPr>
        <xdr:cNvSpPr>
          <a:spLocks noChangeArrowheads="1"/>
        </xdr:cNvSpPr>
      </xdr:nvSpPr>
      <xdr:spPr bwMode="auto">
        <a:xfrm>
          <a:off x="5996609" y="67511543"/>
          <a:ext cx="152400" cy="161925"/>
        </a:xfrm>
        <a:prstGeom prst="curvedLeftArrow">
          <a:avLst>
            <a:gd name="adj1" fmla="val 1343"/>
            <a:gd name="adj2" fmla="val 45348"/>
            <a:gd name="adj3" fmla="val 33333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</xdr:col>
      <xdr:colOff>455543</xdr:colOff>
      <xdr:row>404</xdr:row>
      <xdr:rowOff>124240</xdr:rowOff>
    </xdr:from>
    <xdr:to>
      <xdr:col>6</xdr:col>
      <xdr:colOff>141218</xdr:colOff>
      <xdr:row>404</xdr:row>
      <xdr:rowOff>124240</xdr:rowOff>
    </xdr:to>
    <xdr:sp macro="" textlink="">
      <xdr:nvSpPr>
        <xdr:cNvPr id="164" name="Line 2902">
          <a:extLst>
            <a:ext uri="{FF2B5EF4-FFF2-40B4-BE49-F238E27FC236}">
              <a16:creationId xmlns:a16="http://schemas.microsoft.com/office/drawing/2014/main" id="{00000000-0008-0000-0000-0000A4000000}"/>
            </a:ext>
          </a:extLst>
        </xdr:cNvPr>
        <xdr:cNvSpPr>
          <a:spLocks noChangeShapeType="1"/>
        </xdr:cNvSpPr>
      </xdr:nvSpPr>
      <xdr:spPr bwMode="auto">
        <a:xfrm>
          <a:off x="3329608" y="67428718"/>
          <a:ext cx="215762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xdr:twoCellAnchor>
    <xdr:from>
      <xdr:col>5</xdr:col>
      <xdr:colOff>457200</xdr:colOff>
      <xdr:row>410</xdr:row>
      <xdr:rowOff>123825</xdr:rowOff>
    </xdr:from>
    <xdr:to>
      <xdr:col>6</xdr:col>
      <xdr:colOff>142875</xdr:colOff>
      <xdr:row>410</xdr:row>
      <xdr:rowOff>123825</xdr:rowOff>
    </xdr:to>
    <xdr:sp macro="" textlink="">
      <xdr:nvSpPr>
        <xdr:cNvPr id="166" name="Line 2902">
          <a:extLst>
            <a:ext uri="{FF2B5EF4-FFF2-40B4-BE49-F238E27FC236}">
              <a16:creationId xmlns:a16="http://schemas.microsoft.com/office/drawing/2014/main" id="{00000000-0008-0000-0000-0000A6000000}"/>
            </a:ext>
          </a:extLst>
        </xdr:cNvPr>
        <xdr:cNvSpPr>
          <a:spLocks noChangeShapeType="1"/>
        </xdr:cNvSpPr>
      </xdr:nvSpPr>
      <xdr:spPr bwMode="auto">
        <a:xfrm>
          <a:off x="3331265" y="67237803"/>
          <a:ext cx="215762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xdr:twoCellAnchor>
    <xdr:from>
      <xdr:col>5</xdr:col>
      <xdr:colOff>457200</xdr:colOff>
      <xdr:row>411</xdr:row>
      <xdr:rowOff>123825</xdr:rowOff>
    </xdr:from>
    <xdr:to>
      <xdr:col>6</xdr:col>
      <xdr:colOff>142875</xdr:colOff>
      <xdr:row>411</xdr:row>
      <xdr:rowOff>123825</xdr:rowOff>
    </xdr:to>
    <xdr:sp macro="" textlink="">
      <xdr:nvSpPr>
        <xdr:cNvPr id="168" name="Line 2902">
          <a:extLst>
            <a:ext uri="{FF2B5EF4-FFF2-40B4-BE49-F238E27FC236}">
              <a16:creationId xmlns:a16="http://schemas.microsoft.com/office/drawing/2014/main" id="{00000000-0008-0000-0000-0000A8000000}"/>
            </a:ext>
          </a:extLst>
        </xdr:cNvPr>
        <xdr:cNvSpPr>
          <a:spLocks noChangeShapeType="1"/>
        </xdr:cNvSpPr>
      </xdr:nvSpPr>
      <xdr:spPr bwMode="auto">
        <a:xfrm>
          <a:off x="3331265" y="67237803"/>
          <a:ext cx="215762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xdr:twoCellAnchor>
    <xdr:from>
      <xdr:col>10</xdr:col>
      <xdr:colOff>115957</xdr:colOff>
      <xdr:row>411</xdr:row>
      <xdr:rowOff>8282</xdr:rowOff>
    </xdr:from>
    <xdr:to>
      <xdr:col>10</xdr:col>
      <xdr:colOff>268357</xdr:colOff>
      <xdr:row>411</xdr:row>
      <xdr:rowOff>170207</xdr:rowOff>
    </xdr:to>
    <xdr:sp macro="" textlink="">
      <xdr:nvSpPr>
        <xdr:cNvPr id="170" name="AutoShape 2865">
          <a:extLst>
            <a:ext uri="{FF2B5EF4-FFF2-40B4-BE49-F238E27FC236}">
              <a16:creationId xmlns:a16="http://schemas.microsoft.com/office/drawing/2014/main" id="{00000000-0008-0000-0000-0000AA000000}"/>
            </a:ext>
          </a:extLst>
        </xdr:cNvPr>
        <xdr:cNvSpPr>
          <a:spLocks noChangeArrowheads="1"/>
        </xdr:cNvSpPr>
      </xdr:nvSpPr>
      <xdr:spPr bwMode="auto">
        <a:xfrm>
          <a:off x="6004892" y="68646260"/>
          <a:ext cx="152400" cy="161925"/>
        </a:xfrm>
        <a:prstGeom prst="curvedLeftArrow">
          <a:avLst>
            <a:gd name="adj1" fmla="val 1343"/>
            <a:gd name="adj2" fmla="val 45348"/>
            <a:gd name="adj3" fmla="val 33333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10</xdr:col>
      <xdr:colOff>94007</xdr:colOff>
      <xdr:row>416</xdr:row>
      <xdr:rowOff>3727</xdr:rowOff>
    </xdr:from>
    <xdr:to>
      <xdr:col>10</xdr:col>
      <xdr:colOff>255932</xdr:colOff>
      <xdr:row>416</xdr:row>
      <xdr:rowOff>184702</xdr:rowOff>
    </xdr:to>
    <xdr:sp macro="" textlink="">
      <xdr:nvSpPr>
        <xdr:cNvPr id="179" name="AutoShape 2865">
          <a:extLst>
            <a:ext uri="{FF2B5EF4-FFF2-40B4-BE49-F238E27FC236}">
              <a16:creationId xmlns:a16="http://schemas.microsoft.com/office/drawing/2014/main" id="{00000000-0008-0000-0000-0000B3000000}"/>
            </a:ext>
          </a:extLst>
        </xdr:cNvPr>
        <xdr:cNvSpPr>
          <a:spLocks noChangeArrowheads="1"/>
        </xdr:cNvSpPr>
      </xdr:nvSpPr>
      <xdr:spPr bwMode="auto">
        <a:xfrm>
          <a:off x="5982942" y="69594205"/>
          <a:ext cx="161925" cy="180975"/>
        </a:xfrm>
        <a:prstGeom prst="curvedLeftArrow">
          <a:avLst>
            <a:gd name="adj1" fmla="val 1273"/>
            <a:gd name="adj2" fmla="val 42926"/>
            <a:gd name="adj3" fmla="val 33333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</xdr:col>
      <xdr:colOff>472109</xdr:colOff>
      <xdr:row>417</xdr:row>
      <xdr:rowOff>74544</xdr:rowOff>
    </xdr:from>
    <xdr:to>
      <xdr:col>6</xdr:col>
      <xdr:colOff>157784</xdr:colOff>
      <xdr:row>417</xdr:row>
      <xdr:rowOff>74544</xdr:rowOff>
    </xdr:to>
    <xdr:sp macro="" textlink="">
      <xdr:nvSpPr>
        <xdr:cNvPr id="185" name="Line 2902">
          <a:extLst>
            <a:ext uri="{FF2B5EF4-FFF2-40B4-BE49-F238E27FC236}">
              <a16:creationId xmlns:a16="http://schemas.microsoft.com/office/drawing/2014/main" id="{00000000-0008-0000-0000-0000B9000000}"/>
            </a:ext>
          </a:extLst>
        </xdr:cNvPr>
        <xdr:cNvSpPr>
          <a:spLocks noChangeShapeType="1"/>
        </xdr:cNvSpPr>
      </xdr:nvSpPr>
      <xdr:spPr bwMode="auto">
        <a:xfrm>
          <a:off x="3346174" y="69855522"/>
          <a:ext cx="215762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xdr:twoCellAnchor>
    <xdr:from>
      <xdr:col>5</xdr:col>
      <xdr:colOff>455543</xdr:colOff>
      <xdr:row>418</xdr:row>
      <xdr:rowOff>91109</xdr:rowOff>
    </xdr:from>
    <xdr:to>
      <xdr:col>6</xdr:col>
      <xdr:colOff>141218</xdr:colOff>
      <xdr:row>418</xdr:row>
      <xdr:rowOff>91109</xdr:rowOff>
    </xdr:to>
    <xdr:sp macro="" textlink="">
      <xdr:nvSpPr>
        <xdr:cNvPr id="186" name="Line 2902">
          <a:extLst>
            <a:ext uri="{FF2B5EF4-FFF2-40B4-BE49-F238E27FC236}">
              <a16:creationId xmlns:a16="http://schemas.microsoft.com/office/drawing/2014/main" id="{00000000-0008-0000-0000-0000BA000000}"/>
            </a:ext>
          </a:extLst>
        </xdr:cNvPr>
        <xdr:cNvSpPr>
          <a:spLocks noChangeShapeType="1"/>
        </xdr:cNvSpPr>
      </xdr:nvSpPr>
      <xdr:spPr bwMode="auto">
        <a:xfrm>
          <a:off x="3329608" y="70062587"/>
          <a:ext cx="215762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xdr:twoCellAnchor>
    <xdr:from>
      <xdr:col>5</xdr:col>
      <xdr:colOff>431108</xdr:colOff>
      <xdr:row>419</xdr:row>
      <xdr:rowOff>74542</xdr:rowOff>
    </xdr:from>
    <xdr:to>
      <xdr:col>6</xdr:col>
      <xdr:colOff>149087</xdr:colOff>
      <xdr:row>419</xdr:row>
      <xdr:rowOff>74543</xdr:rowOff>
    </xdr:to>
    <xdr:sp macro="" textlink="">
      <xdr:nvSpPr>
        <xdr:cNvPr id="188" name="Line 2902">
          <a:extLst>
            <a:ext uri="{FF2B5EF4-FFF2-40B4-BE49-F238E27FC236}">
              <a16:creationId xmlns:a16="http://schemas.microsoft.com/office/drawing/2014/main" id="{00000000-0008-0000-0000-0000BC000000}"/>
            </a:ext>
          </a:extLst>
        </xdr:cNvPr>
        <xdr:cNvSpPr>
          <a:spLocks noChangeShapeType="1"/>
        </xdr:cNvSpPr>
      </xdr:nvSpPr>
      <xdr:spPr bwMode="auto">
        <a:xfrm flipH="1" flipV="1">
          <a:off x="3305173" y="70236520"/>
          <a:ext cx="248066" cy="1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xdr:twoCellAnchor>
    <xdr:from>
      <xdr:col>10</xdr:col>
      <xdr:colOff>107674</xdr:colOff>
      <xdr:row>416</xdr:row>
      <xdr:rowOff>173935</xdr:rowOff>
    </xdr:from>
    <xdr:to>
      <xdr:col>10</xdr:col>
      <xdr:colOff>269599</xdr:colOff>
      <xdr:row>417</xdr:row>
      <xdr:rowOff>164410</xdr:rowOff>
    </xdr:to>
    <xdr:sp macro="" textlink="">
      <xdr:nvSpPr>
        <xdr:cNvPr id="189" name="AutoShape 2865">
          <a:extLst>
            <a:ext uri="{FF2B5EF4-FFF2-40B4-BE49-F238E27FC236}">
              <a16:creationId xmlns:a16="http://schemas.microsoft.com/office/drawing/2014/main" id="{00000000-0008-0000-0000-0000BD000000}"/>
            </a:ext>
          </a:extLst>
        </xdr:cNvPr>
        <xdr:cNvSpPr>
          <a:spLocks noChangeArrowheads="1"/>
        </xdr:cNvSpPr>
      </xdr:nvSpPr>
      <xdr:spPr bwMode="auto">
        <a:xfrm>
          <a:off x="5996609" y="69764413"/>
          <a:ext cx="161925" cy="180975"/>
        </a:xfrm>
        <a:prstGeom prst="curvedLeftArrow">
          <a:avLst>
            <a:gd name="adj1" fmla="val 1273"/>
            <a:gd name="adj2" fmla="val 42926"/>
            <a:gd name="adj3" fmla="val 33333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10</xdr:col>
      <xdr:colOff>24848</xdr:colOff>
      <xdr:row>419</xdr:row>
      <xdr:rowOff>16565</xdr:rowOff>
    </xdr:from>
    <xdr:to>
      <xdr:col>10</xdr:col>
      <xdr:colOff>427383</xdr:colOff>
      <xdr:row>419</xdr:row>
      <xdr:rowOff>159440</xdr:rowOff>
    </xdr:to>
    <xdr:sp macro="" textlink="">
      <xdr:nvSpPr>
        <xdr:cNvPr id="190" name="AutoShape 2852">
          <a:extLst>
            <a:ext uri="{FF2B5EF4-FFF2-40B4-BE49-F238E27FC236}">
              <a16:creationId xmlns:a16="http://schemas.microsoft.com/office/drawing/2014/main" id="{00000000-0008-0000-0000-0000BE000000}"/>
            </a:ext>
          </a:extLst>
        </xdr:cNvPr>
        <xdr:cNvSpPr>
          <a:spLocks noChangeArrowheads="1"/>
        </xdr:cNvSpPr>
      </xdr:nvSpPr>
      <xdr:spPr bwMode="auto">
        <a:xfrm>
          <a:off x="5913783" y="70178543"/>
          <a:ext cx="402535" cy="142875"/>
        </a:xfrm>
        <a:prstGeom prst="curvedRightArrow">
          <a:avLst>
            <a:gd name="adj1" fmla="val 1185"/>
            <a:gd name="adj2" fmla="val 40000"/>
            <a:gd name="adj3" fmla="val 44444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</xdr:col>
      <xdr:colOff>304800</xdr:colOff>
      <xdr:row>435</xdr:row>
      <xdr:rowOff>38100</xdr:rowOff>
    </xdr:from>
    <xdr:to>
      <xdr:col>2</xdr:col>
      <xdr:colOff>457200</xdr:colOff>
      <xdr:row>436</xdr:row>
      <xdr:rowOff>142875</xdr:rowOff>
    </xdr:to>
    <xdr:pic>
      <xdr:nvPicPr>
        <xdr:cNvPr id="337564" name="Picture 231068">
          <a:extLst>
            <a:ext uri="{FF2B5EF4-FFF2-40B4-BE49-F238E27FC236}">
              <a16:creationId xmlns:a16="http://schemas.microsoft.com/office/drawing/2014/main" id="{00000000-0008-0000-0000-00009C2605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81050" y="72818625"/>
          <a:ext cx="685800" cy="314325"/>
        </a:xfrm>
        <a:prstGeom prst="rect">
          <a:avLst/>
        </a:prstGeom>
        <a:noFill/>
      </xdr:spPr>
    </xdr:pic>
    <xdr:clientData/>
  </xdr:twoCellAnchor>
  <xdr:twoCellAnchor>
    <xdr:from>
      <xdr:col>1</xdr:col>
      <xdr:colOff>304800</xdr:colOff>
      <xdr:row>491</xdr:row>
      <xdr:rowOff>38100</xdr:rowOff>
    </xdr:from>
    <xdr:to>
      <xdr:col>2</xdr:col>
      <xdr:colOff>457200</xdr:colOff>
      <xdr:row>492</xdr:row>
      <xdr:rowOff>142875</xdr:rowOff>
    </xdr:to>
    <xdr:pic>
      <xdr:nvPicPr>
        <xdr:cNvPr id="154" name="Picture 231068">
          <a:extLst>
            <a:ext uri="{FF2B5EF4-FFF2-40B4-BE49-F238E27FC236}">
              <a16:creationId xmlns:a16="http://schemas.microsoft.com/office/drawing/2014/main" id="{00000000-0008-0000-0000-00009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81050" y="73818750"/>
          <a:ext cx="685800" cy="314325"/>
        </a:xfrm>
        <a:prstGeom prst="rect">
          <a:avLst/>
        </a:prstGeom>
        <a:noFill/>
      </xdr:spPr>
    </xdr:pic>
    <xdr:clientData/>
  </xdr:twoCellAnchor>
  <xdr:twoCellAnchor>
    <xdr:from>
      <xdr:col>1</xdr:col>
      <xdr:colOff>304800</xdr:colOff>
      <xdr:row>547</xdr:row>
      <xdr:rowOff>38100</xdr:rowOff>
    </xdr:from>
    <xdr:to>
      <xdr:col>2</xdr:col>
      <xdr:colOff>457200</xdr:colOff>
      <xdr:row>548</xdr:row>
      <xdr:rowOff>142875</xdr:rowOff>
    </xdr:to>
    <xdr:pic>
      <xdr:nvPicPr>
        <xdr:cNvPr id="156" name="Picture 231068">
          <a:extLst>
            <a:ext uri="{FF2B5EF4-FFF2-40B4-BE49-F238E27FC236}">
              <a16:creationId xmlns:a16="http://schemas.microsoft.com/office/drawing/2014/main" id="{00000000-0008-0000-0000-00009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81050" y="83829525"/>
          <a:ext cx="685800" cy="285750"/>
        </a:xfrm>
        <a:prstGeom prst="rect">
          <a:avLst/>
        </a:prstGeom>
        <a:noFill/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76200</xdr:colOff>
          <xdr:row>61</xdr:row>
          <xdr:rowOff>9525</xdr:rowOff>
        </xdr:from>
        <xdr:to>
          <xdr:col>6</xdr:col>
          <xdr:colOff>85725</xdr:colOff>
          <xdr:row>65</xdr:row>
          <xdr:rowOff>76200</xdr:rowOff>
        </xdr:to>
        <xdr:sp macro="" textlink="">
          <xdr:nvSpPr>
            <xdr:cNvPr id="3821" name="Object 2797" hidden="1">
              <a:extLst>
                <a:ext uri="{63B3BB69-23CF-44E3-9099-C40C66FF867C}">
                  <a14:compatExt spid="_x0000_s3821"/>
                </a:ext>
                <a:ext uri="{FF2B5EF4-FFF2-40B4-BE49-F238E27FC236}">
                  <a16:creationId xmlns:a16="http://schemas.microsoft.com/office/drawing/2014/main" id="{00000000-0008-0000-0000-0000ED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95250</xdr:colOff>
          <xdr:row>67</xdr:row>
          <xdr:rowOff>19050</xdr:rowOff>
        </xdr:from>
        <xdr:to>
          <xdr:col>1</xdr:col>
          <xdr:colOff>209550</xdr:colOff>
          <xdr:row>69</xdr:row>
          <xdr:rowOff>123825</xdr:rowOff>
        </xdr:to>
        <xdr:sp macro="" textlink="">
          <xdr:nvSpPr>
            <xdr:cNvPr id="3823" name="Object 2799" hidden="1">
              <a:extLst>
                <a:ext uri="{63B3BB69-23CF-44E3-9099-C40C66FF867C}">
                  <a14:compatExt spid="_x0000_s3823"/>
                </a:ext>
                <a:ext uri="{FF2B5EF4-FFF2-40B4-BE49-F238E27FC236}">
                  <a16:creationId xmlns:a16="http://schemas.microsoft.com/office/drawing/2014/main" id="{00000000-0008-0000-0000-0000EF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104775</xdr:colOff>
          <xdr:row>70</xdr:row>
          <xdr:rowOff>38100</xdr:rowOff>
        </xdr:from>
        <xdr:to>
          <xdr:col>2</xdr:col>
          <xdr:colOff>314325</xdr:colOff>
          <xdr:row>72</xdr:row>
          <xdr:rowOff>161925</xdr:rowOff>
        </xdr:to>
        <xdr:sp macro="" textlink="">
          <xdr:nvSpPr>
            <xdr:cNvPr id="3824" name="Object 2800" hidden="1">
              <a:extLst>
                <a:ext uri="{63B3BB69-23CF-44E3-9099-C40C66FF867C}">
                  <a14:compatExt spid="_x0000_s3824"/>
                </a:ext>
                <a:ext uri="{FF2B5EF4-FFF2-40B4-BE49-F238E27FC236}">
                  <a16:creationId xmlns:a16="http://schemas.microsoft.com/office/drawing/2014/main" id="{00000000-0008-0000-0000-0000F0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104775</xdr:colOff>
          <xdr:row>73</xdr:row>
          <xdr:rowOff>0</xdr:rowOff>
        </xdr:from>
        <xdr:to>
          <xdr:col>3</xdr:col>
          <xdr:colOff>409575</xdr:colOff>
          <xdr:row>76</xdr:row>
          <xdr:rowOff>9525</xdr:rowOff>
        </xdr:to>
        <xdr:sp macro="" textlink="">
          <xdr:nvSpPr>
            <xdr:cNvPr id="3825" name="Object 2801" hidden="1">
              <a:extLst>
                <a:ext uri="{63B3BB69-23CF-44E3-9099-C40C66FF867C}">
                  <a14:compatExt spid="_x0000_s3825"/>
                </a:ext>
                <a:ext uri="{FF2B5EF4-FFF2-40B4-BE49-F238E27FC236}">
                  <a16:creationId xmlns:a16="http://schemas.microsoft.com/office/drawing/2014/main" id="{00000000-0008-0000-0000-0000F1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95250</xdr:colOff>
          <xdr:row>76</xdr:row>
          <xdr:rowOff>57150</xdr:rowOff>
        </xdr:from>
        <xdr:to>
          <xdr:col>7</xdr:col>
          <xdr:colOff>352425</xdr:colOff>
          <xdr:row>80</xdr:row>
          <xdr:rowOff>85725</xdr:rowOff>
        </xdr:to>
        <xdr:sp macro="" textlink="">
          <xdr:nvSpPr>
            <xdr:cNvPr id="3826" name="Object 2802" hidden="1">
              <a:extLst>
                <a:ext uri="{63B3BB69-23CF-44E3-9099-C40C66FF867C}">
                  <a14:compatExt spid="_x0000_s3826"/>
                </a:ext>
                <a:ext uri="{FF2B5EF4-FFF2-40B4-BE49-F238E27FC236}">
                  <a16:creationId xmlns:a16="http://schemas.microsoft.com/office/drawing/2014/main" id="{00000000-0008-0000-0000-0000F2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123825</xdr:colOff>
          <xdr:row>132</xdr:row>
          <xdr:rowOff>0</xdr:rowOff>
        </xdr:from>
        <xdr:to>
          <xdr:col>7</xdr:col>
          <xdr:colOff>314325</xdr:colOff>
          <xdr:row>135</xdr:row>
          <xdr:rowOff>180975</xdr:rowOff>
        </xdr:to>
        <xdr:sp macro="" textlink="">
          <xdr:nvSpPr>
            <xdr:cNvPr id="3828" name="Object 2804" hidden="1">
              <a:extLst>
                <a:ext uri="{63B3BB69-23CF-44E3-9099-C40C66FF867C}">
                  <a14:compatExt spid="_x0000_s3828"/>
                </a:ext>
                <a:ext uri="{FF2B5EF4-FFF2-40B4-BE49-F238E27FC236}">
                  <a16:creationId xmlns:a16="http://schemas.microsoft.com/office/drawing/2014/main" id="{00000000-0008-0000-0000-0000F4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95250</xdr:colOff>
          <xdr:row>188</xdr:row>
          <xdr:rowOff>38100</xdr:rowOff>
        </xdr:from>
        <xdr:to>
          <xdr:col>7</xdr:col>
          <xdr:colOff>285750</xdr:colOff>
          <xdr:row>191</xdr:row>
          <xdr:rowOff>142875</xdr:rowOff>
        </xdr:to>
        <xdr:sp macro="" textlink="">
          <xdr:nvSpPr>
            <xdr:cNvPr id="3829" name="Object 2805" hidden="1">
              <a:extLst>
                <a:ext uri="{63B3BB69-23CF-44E3-9099-C40C66FF867C}">
                  <a14:compatExt spid="_x0000_s3829"/>
                </a:ext>
                <a:ext uri="{FF2B5EF4-FFF2-40B4-BE49-F238E27FC236}">
                  <a16:creationId xmlns:a16="http://schemas.microsoft.com/office/drawing/2014/main" id="{00000000-0008-0000-0000-0000F5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76200</xdr:colOff>
          <xdr:row>305</xdr:row>
          <xdr:rowOff>123825</xdr:rowOff>
        </xdr:from>
        <xdr:to>
          <xdr:col>7</xdr:col>
          <xdr:colOff>266700</xdr:colOff>
          <xdr:row>309</xdr:row>
          <xdr:rowOff>0</xdr:rowOff>
        </xdr:to>
        <xdr:sp macro="" textlink="">
          <xdr:nvSpPr>
            <xdr:cNvPr id="3830" name="Object 2806" hidden="1">
              <a:extLst>
                <a:ext uri="{63B3BB69-23CF-44E3-9099-C40C66FF867C}">
                  <a14:compatExt spid="_x0000_s3830"/>
                </a:ext>
                <a:ext uri="{FF2B5EF4-FFF2-40B4-BE49-F238E27FC236}">
                  <a16:creationId xmlns:a16="http://schemas.microsoft.com/office/drawing/2014/main" id="{00000000-0008-0000-0000-0000F6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209550</xdr:colOff>
          <xdr:row>357</xdr:row>
          <xdr:rowOff>133350</xdr:rowOff>
        </xdr:from>
        <xdr:to>
          <xdr:col>7</xdr:col>
          <xdr:colOff>400050</xdr:colOff>
          <xdr:row>361</xdr:row>
          <xdr:rowOff>85725</xdr:rowOff>
        </xdr:to>
        <xdr:sp macro="" textlink="">
          <xdr:nvSpPr>
            <xdr:cNvPr id="3831" name="Object 2807" hidden="1">
              <a:extLst>
                <a:ext uri="{63B3BB69-23CF-44E3-9099-C40C66FF867C}">
                  <a14:compatExt spid="_x0000_s3831"/>
                </a:ext>
                <a:ext uri="{FF2B5EF4-FFF2-40B4-BE49-F238E27FC236}">
                  <a16:creationId xmlns:a16="http://schemas.microsoft.com/office/drawing/2014/main" id="{00000000-0008-0000-0000-0000F7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57150</xdr:colOff>
          <xdr:row>136</xdr:row>
          <xdr:rowOff>9525</xdr:rowOff>
        </xdr:from>
        <xdr:to>
          <xdr:col>0</xdr:col>
          <xdr:colOff>457200</xdr:colOff>
          <xdr:row>137</xdr:row>
          <xdr:rowOff>9525</xdr:rowOff>
        </xdr:to>
        <xdr:sp macro="" textlink="">
          <xdr:nvSpPr>
            <xdr:cNvPr id="3832" name="Object 2808" hidden="1">
              <a:extLst>
                <a:ext uri="{63B3BB69-23CF-44E3-9099-C40C66FF867C}">
                  <a14:compatExt spid="_x0000_s3832"/>
                </a:ext>
                <a:ext uri="{FF2B5EF4-FFF2-40B4-BE49-F238E27FC236}">
                  <a16:creationId xmlns:a16="http://schemas.microsoft.com/office/drawing/2014/main" id="{00000000-0008-0000-0000-0000F8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192</xdr:row>
          <xdr:rowOff>9525</xdr:rowOff>
        </xdr:from>
        <xdr:to>
          <xdr:col>0</xdr:col>
          <xdr:colOff>438150</xdr:colOff>
          <xdr:row>193</xdr:row>
          <xdr:rowOff>9525</xdr:rowOff>
        </xdr:to>
        <xdr:sp macro="" textlink="">
          <xdr:nvSpPr>
            <xdr:cNvPr id="3833" name="Object 2809" hidden="1">
              <a:extLst>
                <a:ext uri="{63B3BB69-23CF-44E3-9099-C40C66FF867C}">
                  <a14:compatExt spid="_x0000_s3833"/>
                </a:ext>
                <a:ext uri="{FF2B5EF4-FFF2-40B4-BE49-F238E27FC236}">
                  <a16:creationId xmlns:a16="http://schemas.microsoft.com/office/drawing/2014/main" id="{00000000-0008-0000-0000-0000F9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57150</xdr:colOff>
          <xdr:row>309</xdr:row>
          <xdr:rowOff>9525</xdr:rowOff>
        </xdr:from>
        <xdr:to>
          <xdr:col>0</xdr:col>
          <xdr:colOff>457200</xdr:colOff>
          <xdr:row>309</xdr:row>
          <xdr:rowOff>371475</xdr:rowOff>
        </xdr:to>
        <xdr:sp macro="" textlink="">
          <xdr:nvSpPr>
            <xdr:cNvPr id="3834" name="Object 2810" hidden="1">
              <a:extLst>
                <a:ext uri="{63B3BB69-23CF-44E3-9099-C40C66FF867C}">
                  <a14:compatExt spid="_x0000_s3834"/>
                </a:ext>
                <a:ext uri="{FF2B5EF4-FFF2-40B4-BE49-F238E27FC236}">
                  <a16:creationId xmlns:a16="http://schemas.microsoft.com/office/drawing/2014/main" id="{00000000-0008-0000-0000-0000FA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47625</xdr:colOff>
          <xdr:row>361</xdr:row>
          <xdr:rowOff>9525</xdr:rowOff>
        </xdr:from>
        <xdr:to>
          <xdr:col>0</xdr:col>
          <xdr:colOff>447675</xdr:colOff>
          <xdr:row>362</xdr:row>
          <xdr:rowOff>9525</xdr:rowOff>
        </xdr:to>
        <xdr:sp macro="" textlink="">
          <xdr:nvSpPr>
            <xdr:cNvPr id="3835" name="Object 2811" hidden="1">
              <a:extLst>
                <a:ext uri="{63B3BB69-23CF-44E3-9099-C40C66FF867C}">
                  <a14:compatExt spid="_x0000_s3835"/>
                </a:ext>
                <a:ext uri="{FF2B5EF4-FFF2-40B4-BE49-F238E27FC236}">
                  <a16:creationId xmlns:a16="http://schemas.microsoft.com/office/drawing/2014/main" id="{00000000-0008-0000-0000-0000FB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76200</xdr:colOff>
          <xdr:row>360</xdr:row>
          <xdr:rowOff>161925</xdr:rowOff>
        </xdr:from>
        <xdr:to>
          <xdr:col>2</xdr:col>
          <xdr:colOff>581025</xdr:colOff>
          <xdr:row>361</xdr:row>
          <xdr:rowOff>371475</xdr:rowOff>
        </xdr:to>
        <xdr:sp macro="" textlink="">
          <xdr:nvSpPr>
            <xdr:cNvPr id="3836" name="Object 2812" hidden="1">
              <a:extLst>
                <a:ext uri="{63B3BB69-23CF-44E3-9099-C40C66FF867C}">
                  <a14:compatExt spid="_x0000_s3836"/>
                </a:ext>
                <a:ext uri="{FF2B5EF4-FFF2-40B4-BE49-F238E27FC236}">
                  <a16:creationId xmlns:a16="http://schemas.microsoft.com/office/drawing/2014/main" id="{00000000-0008-0000-0000-0000FC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152400</xdr:colOff>
          <xdr:row>309</xdr:row>
          <xdr:rowOff>38100</xdr:rowOff>
        </xdr:from>
        <xdr:to>
          <xdr:col>2</xdr:col>
          <xdr:colOff>657225</xdr:colOff>
          <xdr:row>310</xdr:row>
          <xdr:rowOff>0</xdr:rowOff>
        </xdr:to>
        <xdr:sp macro="" textlink="">
          <xdr:nvSpPr>
            <xdr:cNvPr id="3837" name="Object 2813" hidden="1">
              <a:extLst>
                <a:ext uri="{63B3BB69-23CF-44E3-9099-C40C66FF867C}">
                  <a14:compatExt spid="_x0000_s3837"/>
                </a:ext>
                <a:ext uri="{FF2B5EF4-FFF2-40B4-BE49-F238E27FC236}">
                  <a16:creationId xmlns:a16="http://schemas.microsoft.com/office/drawing/2014/main" id="{00000000-0008-0000-0000-0000FD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333375</xdr:colOff>
          <xdr:row>192</xdr:row>
          <xdr:rowOff>0</xdr:rowOff>
        </xdr:from>
        <xdr:to>
          <xdr:col>2</xdr:col>
          <xdr:colOff>304800</xdr:colOff>
          <xdr:row>193</xdr:row>
          <xdr:rowOff>0</xdr:rowOff>
        </xdr:to>
        <xdr:sp macro="" textlink="">
          <xdr:nvSpPr>
            <xdr:cNvPr id="3838" name="Object 2814" hidden="1">
              <a:extLst>
                <a:ext uri="{63B3BB69-23CF-44E3-9099-C40C66FF867C}">
                  <a14:compatExt spid="_x0000_s3838"/>
                </a:ext>
                <a:ext uri="{FF2B5EF4-FFF2-40B4-BE49-F238E27FC236}">
                  <a16:creationId xmlns:a16="http://schemas.microsoft.com/office/drawing/2014/main" id="{00000000-0008-0000-0000-0000FE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342900</xdr:colOff>
          <xdr:row>136</xdr:row>
          <xdr:rowOff>9525</xdr:rowOff>
        </xdr:from>
        <xdr:to>
          <xdr:col>2</xdr:col>
          <xdr:colOff>304800</xdr:colOff>
          <xdr:row>137</xdr:row>
          <xdr:rowOff>9525</xdr:rowOff>
        </xdr:to>
        <xdr:sp macro="" textlink="">
          <xdr:nvSpPr>
            <xdr:cNvPr id="3839" name="Object 2815" hidden="1">
              <a:extLst>
                <a:ext uri="{63B3BB69-23CF-44E3-9099-C40C66FF867C}">
                  <a14:compatExt spid="_x0000_s3839"/>
                </a:ext>
                <a:ext uri="{FF2B5EF4-FFF2-40B4-BE49-F238E27FC236}">
                  <a16:creationId xmlns:a16="http://schemas.microsoft.com/office/drawing/2014/main" id="{00000000-0008-0000-0000-0000FF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228600</xdr:colOff>
          <xdr:row>140</xdr:row>
          <xdr:rowOff>19050</xdr:rowOff>
        </xdr:from>
        <xdr:to>
          <xdr:col>5</xdr:col>
          <xdr:colOff>295275</xdr:colOff>
          <xdr:row>140</xdr:row>
          <xdr:rowOff>419100</xdr:rowOff>
        </xdr:to>
        <xdr:sp macro="" textlink="">
          <xdr:nvSpPr>
            <xdr:cNvPr id="3841" name="Object 2817" hidden="1">
              <a:extLst>
                <a:ext uri="{63B3BB69-23CF-44E3-9099-C40C66FF867C}">
                  <a14:compatExt spid="_x0000_s3841"/>
                </a:ext>
                <a:ext uri="{FF2B5EF4-FFF2-40B4-BE49-F238E27FC236}">
                  <a16:creationId xmlns:a16="http://schemas.microsoft.com/office/drawing/2014/main" id="{00000000-0008-0000-0000-000001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219075</xdr:colOff>
          <xdr:row>196</xdr:row>
          <xdr:rowOff>19050</xdr:rowOff>
        </xdr:from>
        <xdr:to>
          <xdr:col>5</xdr:col>
          <xdr:colOff>285750</xdr:colOff>
          <xdr:row>197</xdr:row>
          <xdr:rowOff>0</xdr:rowOff>
        </xdr:to>
        <xdr:sp macro="" textlink="">
          <xdr:nvSpPr>
            <xdr:cNvPr id="3842" name="Object 2818" hidden="1">
              <a:extLst>
                <a:ext uri="{63B3BB69-23CF-44E3-9099-C40C66FF867C}">
                  <a14:compatExt spid="_x0000_s3842"/>
                </a:ext>
                <a:ext uri="{FF2B5EF4-FFF2-40B4-BE49-F238E27FC236}">
                  <a16:creationId xmlns:a16="http://schemas.microsoft.com/office/drawing/2014/main" id="{00000000-0008-0000-0000-000002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200025</xdr:colOff>
          <xdr:row>313</xdr:row>
          <xdr:rowOff>19050</xdr:rowOff>
        </xdr:from>
        <xdr:to>
          <xdr:col>5</xdr:col>
          <xdr:colOff>266700</xdr:colOff>
          <xdr:row>313</xdr:row>
          <xdr:rowOff>419100</xdr:rowOff>
        </xdr:to>
        <xdr:sp macro="" textlink="">
          <xdr:nvSpPr>
            <xdr:cNvPr id="3843" name="Object 2819" hidden="1">
              <a:extLst>
                <a:ext uri="{63B3BB69-23CF-44E3-9099-C40C66FF867C}">
                  <a14:compatExt spid="_x0000_s3843"/>
                </a:ext>
                <a:ext uri="{FF2B5EF4-FFF2-40B4-BE49-F238E27FC236}">
                  <a16:creationId xmlns:a16="http://schemas.microsoft.com/office/drawing/2014/main" id="{00000000-0008-0000-0000-000003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238125</xdr:colOff>
          <xdr:row>365</xdr:row>
          <xdr:rowOff>0</xdr:rowOff>
        </xdr:from>
        <xdr:to>
          <xdr:col>5</xdr:col>
          <xdr:colOff>304800</xdr:colOff>
          <xdr:row>366</xdr:row>
          <xdr:rowOff>9525</xdr:rowOff>
        </xdr:to>
        <xdr:sp macro="" textlink="">
          <xdr:nvSpPr>
            <xdr:cNvPr id="3844" name="Object 2820" hidden="1">
              <a:extLst>
                <a:ext uri="{63B3BB69-23CF-44E3-9099-C40C66FF867C}">
                  <a14:compatExt spid="_x0000_s3844"/>
                </a:ext>
                <a:ext uri="{FF2B5EF4-FFF2-40B4-BE49-F238E27FC236}">
                  <a16:creationId xmlns:a16="http://schemas.microsoft.com/office/drawing/2014/main" id="{00000000-0008-0000-0000-000004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152400</xdr:colOff>
          <xdr:row>369</xdr:row>
          <xdr:rowOff>9525</xdr:rowOff>
        </xdr:from>
        <xdr:to>
          <xdr:col>6</xdr:col>
          <xdr:colOff>295275</xdr:colOff>
          <xdr:row>370</xdr:row>
          <xdr:rowOff>0</xdr:rowOff>
        </xdr:to>
        <xdr:sp macro="" textlink="">
          <xdr:nvSpPr>
            <xdr:cNvPr id="3845" name="Object 2821" hidden="1">
              <a:extLst>
                <a:ext uri="{63B3BB69-23CF-44E3-9099-C40C66FF867C}">
                  <a14:compatExt spid="_x0000_s3845"/>
                </a:ext>
                <a:ext uri="{FF2B5EF4-FFF2-40B4-BE49-F238E27FC236}">
                  <a16:creationId xmlns:a16="http://schemas.microsoft.com/office/drawing/2014/main" id="{00000000-0008-0000-0000-000005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171450</xdr:colOff>
          <xdr:row>317</xdr:row>
          <xdr:rowOff>9525</xdr:rowOff>
        </xdr:from>
        <xdr:to>
          <xdr:col>6</xdr:col>
          <xdr:colOff>314325</xdr:colOff>
          <xdr:row>318</xdr:row>
          <xdr:rowOff>0</xdr:rowOff>
        </xdr:to>
        <xdr:sp macro="" textlink="">
          <xdr:nvSpPr>
            <xdr:cNvPr id="3846" name="Object 2822" hidden="1">
              <a:extLst>
                <a:ext uri="{63B3BB69-23CF-44E3-9099-C40C66FF867C}">
                  <a14:compatExt spid="_x0000_s3846"/>
                </a:ext>
                <a:ext uri="{FF2B5EF4-FFF2-40B4-BE49-F238E27FC236}">
                  <a16:creationId xmlns:a16="http://schemas.microsoft.com/office/drawing/2014/main" id="{00000000-0008-0000-0000-000006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228600</xdr:colOff>
          <xdr:row>200</xdr:row>
          <xdr:rowOff>171450</xdr:rowOff>
        </xdr:from>
        <xdr:to>
          <xdr:col>6</xdr:col>
          <xdr:colOff>371475</xdr:colOff>
          <xdr:row>202</xdr:row>
          <xdr:rowOff>9525</xdr:rowOff>
        </xdr:to>
        <xdr:sp macro="" textlink="">
          <xdr:nvSpPr>
            <xdr:cNvPr id="3847" name="Object 2823" hidden="1">
              <a:extLst>
                <a:ext uri="{63B3BB69-23CF-44E3-9099-C40C66FF867C}">
                  <a14:compatExt spid="_x0000_s3847"/>
                </a:ext>
                <a:ext uri="{FF2B5EF4-FFF2-40B4-BE49-F238E27FC236}">
                  <a16:creationId xmlns:a16="http://schemas.microsoft.com/office/drawing/2014/main" id="{00000000-0008-0000-0000-000007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238125</xdr:colOff>
          <xdr:row>144</xdr:row>
          <xdr:rowOff>19050</xdr:rowOff>
        </xdr:from>
        <xdr:to>
          <xdr:col>6</xdr:col>
          <xdr:colOff>381000</xdr:colOff>
          <xdr:row>145</xdr:row>
          <xdr:rowOff>0</xdr:rowOff>
        </xdr:to>
        <xdr:sp macro="" textlink="">
          <xdr:nvSpPr>
            <xdr:cNvPr id="3848" name="Object 2824" hidden="1">
              <a:extLst>
                <a:ext uri="{63B3BB69-23CF-44E3-9099-C40C66FF867C}">
                  <a14:compatExt spid="_x0000_s3848"/>
                </a:ext>
                <a:ext uri="{FF2B5EF4-FFF2-40B4-BE49-F238E27FC236}">
                  <a16:creationId xmlns:a16="http://schemas.microsoft.com/office/drawing/2014/main" id="{00000000-0008-0000-0000-000008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323850</xdr:colOff>
          <xdr:row>1</xdr:row>
          <xdr:rowOff>76200</xdr:rowOff>
        </xdr:from>
        <xdr:to>
          <xdr:col>6</xdr:col>
          <xdr:colOff>219075</xdr:colOff>
          <xdr:row>18</xdr:row>
          <xdr:rowOff>95250</xdr:rowOff>
        </xdr:to>
        <xdr:sp macro="" textlink="">
          <xdr:nvSpPr>
            <xdr:cNvPr id="328561" name="Object 222065" hidden="1">
              <a:extLst>
                <a:ext uri="{63B3BB69-23CF-44E3-9099-C40C66FF867C}">
                  <a14:compatExt spid="_x0000_s328561"/>
                </a:ext>
                <a:ext uri="{FF2B5EF4-FFF2-40B4-BE49-F238E27FC236}">
                  <a16:creationId xmlns:a16="http://schemas.microsoft.com/office/drawing/2014/main" id="{00000000-0008-0000-0000-0000710305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3</xdr:col>
      <xdr:colOff>1033511</xdr:colOff>
      <xdr:row>119</xdr:row>
      <xdr:rowOff>26997</xdr:rowOff>
    </xdr:from>
    <xdr:to>
      <xdr:col>3</xdr:col>
      <xdr:colOff>1033511</xdr:colOff>
      <xdr:row>120</xdr:row>
      <xdr:rowOff>1378</xdr:rowOff>
    </xdr:to>
    <xdr:cxnSp macro="">
      <xdr:nvCxnSpPr>
        <xdr:cNvPr id="203" name="3776 Düz Bağlayıcı">
          <a:extLst>
            <a:ext uri="{FF2B5EF4-FFF2-40B4-BE49-F238E27FC236}">
              <a16:creationId xmlns:a16="http://schemas.microsoft.com/office/drawing/2014/main" id="{00000000-0008-0000-0000-0000CB000000}"/>
            </a:ext>
          </a:extLst>
        </xdr:cNvPr>
        <xdr:cNvCxnSpPr>
          <a:cxnSpLocks noChangeShapeType="1"/>
        </xdr:cNvCxnSpPr>
      </xdr:nvCxnSpPr>
      <xdr:spPr bwMode="auto">
        <a:xfrm rot="5400000">
          <a:off x="2589370" y="22392495"/>
          <a:ext cx="175767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57150</xdr:colOff>
          <xdr:row>85</xdr:row>
          <xdr:rowOff>9525</xdr:rowOff>
        </xdr:from>
        <xdr:to>
          <xdr:col>7</xdr:col>
          <xdr:colOff>247650</xdr:colOff>
          <xdr:row>89</xdr:row>
          <xdr:rowOff>66675</xdr:rowOff>
        </xdr:to>
        <xdr:sp macro="" textlink="">
          <xdr:nvSpPr>
            <xdr:cNvPr id="337585" name="Object 231089" hidden="1">
              <a:extLst>
                <a:ext uri="{63B3BB69-23CF-44E3-9099-C40C66FF867C}">
                  <a14:compatExt spid="_x0000_s337585"/>
                </a:ext>
                <a:ext uri="{FF2B5EF4-FFF2-40B4-BE49-F238E27FC236}">
                  <a16:creationId xmlns:a16="http://schemas.microsoft.com/office/drawing/2014/main" id="{00000000-0008-0000-0000-0000B12605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twoCellAnchor>
    <xdr:from>
      <xdr:col>3</xdr:col>
      <xdr:colOff>1093391</xdr:colOff>
      <xdr:row>182</xdr:row>
      <xdr:rowOff>9611</xdr:rowOff>
    </xdr:from>
    <xdr:to>
      <xdr:col>3</xdr:col>
      <xdr:colOff>1093391</xdr:colOff>
      <xdr:row>182</xdr:row>
      <xdr:rowOff>181061</xdr:rowOff>
    </xdr:to>
    <xdr:cxnSp macro="">
      <xdr:nvCxnSpPr>
        <xdr:cNvPr id="191" name="3776 Düz Bağlayıcı">
          <a:extLst>
            <a:ext uri="{FF2B5EF4-FFF2-40B4-BE49-F238E27FC236}">
              <a16:creationId xmlns:a16="http://schemas.microsoft.com/office/drawing/2014/main" id="{00000000-0008-0000-0000-0000BF000000}"/>
            </a:ext>
          </a:extLst>
        </xdr:cNvPr>
        <xdr:cNvCxnSpPr>
          <a:cxnSpLocks noChangeShapeType="1"/>
        </xdr:cNvCxnSpPr>
      </xdr:nvCxnSpPr>
      <xdr:spPr bwMode="auto">
        <a:xfrm rot="5400000">
          <a:off x="3304872" y="34150012"/>
          <a:ext cx="1714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3</xdr:col>
      <xdr:colOff>967111</xdr:colOff>
      <xdr:row>299</xdr:row>
      <xdr:rowOff>6163</xdr:rowOff>
    </xdr:from>
    <xdr:to>
      <xdr:col>3</xdr:col>
      <xdr:colOff>967111</xdr:colOff>
      <xdr:row>299</xdr:row>
      <xdr:rowOff>177613</xdr:rowOff>
    </xdr:to>
    <xdr:cxnSp macro="">
      <xdr:nvCxnSpPr>
        <xdr:cNvPr id="199" name="3776 Düz Bağlayıcı">
          <a:extLst>
            <a:ext uri="{FF2B5EF4-FFF2-40B4-BE49-F238E27FC236}">
              <a16:creationId xmlns:a16="http://schemas.microsoft.com/office/drawing/2014/main" id="{00000000-0008-0000-0000-0000C7000000}"/>
            </a:ext>
          </a:extLst>
        </xdr:cNvPr>
        <xdr:cNvCxnSpPr>
          <a:cxnSpLocks noChangeShapeType="1"/>
        </xdr:cNvCxnSpPr>
      </xdr:nvCxnSpPr>
      <xdr:spPr bwMode="auto">
        <a:xfrm rot="5400000">
          <a:off x="3178592" y="55258447"/>
          <a:ext cx="1714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3</xdr:col>
      <xdr:colOff>832640</xdr:colOff>
      <xdr:row>352</xdr:row>
      <xdr:rowOff>28575</xdr:rowOff>
    </xdr:from>
    <xdr:to>
      <xdr:col>3</xdr:col>
      <xdr:colOff>832640</xdr:colOff>
      <xdr:row>352</xdr:row>
      <xdr:rowOff>200025</xdr:rowOff>
    </xdr:to>
    <xdr:cxnSp macro="">
      <xdr:nvCxnSpPr>
        <xdr:cNvPr id="216" name="3776 Düz Bağlayıcı">
          <a:extLst>
            <a:ext uri="{FF2B5EF4-FFF2-40B4-BE49-F238E27FC236}">
              <a16:creationId xmlns:a16="http://schemas.microsoft.com/office/drawing/2014/main" id="{00000000-0008-0000-0000-0000D8000000}"/>
            </a:ext>
          </a:extLst>
        </xdr:cNvPr>
        <xdr:cNvCxnSpPr>
          <a:cxnSpLocks noChangeShapeType="1"/>
        </xdr:cNvCxnSpPr>
      </xdr:nvCxnSpPr>
      <xdr:spPr bwMode="auto">
        <a:xfrm rot="5400000">
          <a:off x="3044121" y="67484065"/>
          <a:ext cx="1714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</xdr:col>
      <xdr:colOff>489852</xdr:colOff>
      <xdr:row>495</xdr:row>
      <xdr:rowOff>0</xdr:rowOff>
    </xdr:from>
    <xdr:to>
      <xdr:col>2</xdr:col>
      <xdr:colOff>159198</xdr:colOff>
      <xdr:row>496</xdr:row>
      <xdr:rowOff>0</xdr:rowOff>
    </xdr:to>
    <xdr:sp macro="" textlink="">
      <xdr:nvSpPr>
        <xdr:cNvPr id="224" name="Text Box 5112">
          <a:extLst>
            <a:ext uri="{FF2B5EF4-FFF2-40B4-BE49-F238E27FC236}">
              <a16:creationId xmlns:a16="http://schemas.microsoft.com/office/drawing/2014/main" id="{00000000-0008-0000-0000-0000E0000000}"/>
            </a:ext>
          </a:extLst>
        </xdr:cNvPr>
        <xdr:cNvSpPr txBox="1">
          <a:spLocks noChangeArrowheads="1"/>
        </xdr:cNvSpPr>
      </xdr:nvSpPr>
      <xdr:spPr bwMode="auto">
        <a:xfrm>
          <a:off x="966102" y="76838175"/>
          <a:ext cx="202746" cy="1905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tr-TR" sz="1000" b="0" i="0" strike="noStrike">
              <a:solidFill>
                <a:sysClr val="windowText" lastClr="000000"/>
              </a:solidFill>
              <a:latin typeface="Symbol"/>
            </a:rPr>
            <a:t>F</a:t>
          </a:r>
        </a:p>
      </xdr:txBody>
    </xdr:sp>
    <xdr:clientData/>
  </xdr:twoCellAnchor>
  <xdr:twoCellAnchor>
    <xdr:from>
      <xdr:col>2</xdr:col>
      <xdr:colOff>332980</xdr:colOff>
      <xdr:row>494</xdr:row>
      <xdr:rowOff>120064</xdr:rowOff>
    </xdr:from>
    <xdr:to>
      <xdr:col>2</xdr:col>
      <xdr:colOff>1243058</xdr:colOff>
      <xdr:row>497</xdr:row>
      <xdr:rowOff>11206</xdr:rowOff>
    </xdr:to>
    <xdr:sp macro="" textlink="">
      <xdr:nvSpPr>
        <xdr:cNvPr id="225" name="Text Box 5113">
          <a:extLst>
            <a:ext uri="{FF2B5EF4-FFF2-40B4-BE49-F238E27FC236}">
              <a16:creationId xmlns:a16="http://schemas.microsoft.com/office/drawing/2014/main" id="{00000000-0008-0000-0000-0000E1000000}"/>
            </a:ext>
          </a:extLst>
        </xdr:cNvPr>
        <xdr:cNvSpPr txBox="1">
          <a:spLocks noChangeArrowheads="1"/>
        </xdr:cNvSpPr>
      </xdr:nvSpPr>
      <xdr:spPr bwMode="auto">
        <a:xfrm>
          <a:off x="1352715" y="95213182"/>
          <a:ext cx="910078" cy="44023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tr-TR" sz="1800" b="0" i="0" strike="noStrike">
              <a:solidFill>
                <a:sysClr val="windowText" lastClr="000000"/>
              </a:solidFill>
              <a:latin typeface="Symbol"/>
            </a:rPr>
            <a:t>/</a:t>
          </a:r>
        </a:p>
      </xdr:txBody>
    </xdr:sp>
    <xdr:clientData/>
  </xdr:twoCellAnchor>
  <xdr:twoCellAnchor>
    <xdr:from>
      <xdr:col>1</xdr:col>
      <xdr:colOff>489852</xdr:colOff>
      <xdr:row>551</xdr:row>
      <xdr:rowOff>0</xdr:rowOff>
    </xdr:from>
    <xdr:to>
      <xdr:col>2</xdr:col>
      <xdr:colOff>159198</xdr:colOff>
      <xdr:row>552</xdr:row>
      <xdr:rowOff>0</xdr:rowOff>
    </xdr:to>
    <xdr:sp macro="" textlink="">
      <xdr:nvSpPr>
        <xdr:cNvPr id="226" name="Text Box 5112">
          <a:extLst>
            <a:ext uri="{FF2B5EF4-FFF2-40B4-BE49-F238E27FC236}">
              <a16:creationId xmlns:a16="http://schemas.microsoft.com/office/drawing/2014/main" id="{00000000-0008-0000-0000-0000E2000000}"/>
            </a:ext>
          </a:extLst>
        </xdr:cNvPr>
        <xdr:cNvSpPr txBox="1">
          <a:spLocks noChangeArrowheads="1"/>
        </xdr:cNvSpPr>
      </xdr:nvSpPr>
      <xdr:spPr bwMode="auto">
        <a:xfrm>
          <a:off x="966102" y="87525225"/>
          <a:ext cx="202746" cy="1809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tr-TR" sz="1000" b="0" i="0" strike="noStrike">
              <a:solidFill>
                <a:sysClr val="windowText" lastClr="000000"/>
              </a:solidFill>
              <a:latin typeface="Symbol"/>
            </a:rPr>
            <a:t>F</a:t>
          </a:r>
        </a:p>
      </xdr:txBody>
    </xdr:sp>
    <xdr:clientData/>
  </xdr:twoCellAnchor>
  <xdr:twoCellAnchor>
    <xdr:from>
      <xdr:col>2</xdr:col>
      <xdr:colOff>310569</xdr:colOff>
      <xdr:row>550</xdr:row>
      <xdr:rowOff>134471</xdr:rowOff>
    </xdr:from>
    <xdr:to>
      <xdr:col>2</xdr:col>
      <xdr:colOff>1220647</xdr:colOff>
      <xdr:row>551</xdr:row>
      <xdr:rowOff>134471</xdr:rowOff>
    </xdr:to>
    <xdr:sp macro="" textlink="">
      <xdr:nvSpPr>
        <xdr:cNvPr id="227" name="Text Box 5113">
          <a:extLst>
            <a:ext uri="{FF2B5EF4-FFF2-40B4-BE49-F238E27FC236}">
              <a16:creationId xmlns:a16="http://schemas.microsoft.com/office/drawing/2014/main" id="{00000000-0008-0000-0000-0000E3000000}"/>
            </a:ext>
          </a:extLst>
        </xdr:cNvPr>
        <xdr:cNvSpPr txBox="1">
          <a:spLocks noChangeArrowheads="1"/>
        </xdr:cNvSpPr>
      </xdr:nvSpPr>
      <xdr:spPr bwMode="auto">
        <a:xfrm>
          <a:off x="1330304" y="105794736"/>
          <a:ext cx="910078" cy="17929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tr-TR" sz="1800" b="0" i="0" strike="noStrike">
              <a:solidFill>
                <a:sysClr val="windowText" lastClr="000000"/>
              </a:solidFill>
              <a:latin typeface="Symbol"/>
            </a:rPr>
            <a:t>/</a:t>
          </a:r>
        </a:p>
      </xdr:txBody>
    </xdr:sp>
    <xdr:clientData/>
  </xdr:twoCellAnchor>
  <xdr:twoCellAnchor>
    <xdr:from>
      <xdr:col>5</xdr:col>
      <xdr:colOff>455543</xdr:colOff>
      <xdr:row>404</xdr:row>
      <xdr:rowOff>124240</xdr:rowOff>
    </xdr:from>
    <xdr:to>
      <xdr:col>6</xdr:col>
      <xdr:colOff>141218</xdr:colOff>
      <xdr:row>404</xdr:row>
      <xdr:rowOff>124240</xdr:rowOff>
    </xdr:to>
    <xdr:sp macro="" textlink="">
      <xdr:nvSpPr>
        <xdr:cNvPr id="228" name="Line 2902">
          <a:extLst>
            <a:ext uri="{FF2B5EF4-FFF2-40B4-BE49-F238E27FC236}">
              <a16:creationId xmlns:a16="http://schemas.microsoft.com/office/drawing/2014/main" id="{00000000-0008-0000-0000-0000E4000000}"/>
            </a:ext>
          </a:extLst>
        </xdr:cNvPr>
        <xdr:cNvSpPr>
          <a:spLocks noChangeShapeType="1"/>
        </xdr:cNvSpPr>
      </xdr:nvSpPr>
      <xdr:spPr bwMode="auto">
        <a:xfrm>
          <a:off x="3360668" y="69237640"/>
          <a:ext cx="2190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xdr:twoCellAnchor>
    <xdr:from>
      <xdr:col>5</xdr:col>
      <xdr:colOff>455543</xdr:colOff>
      <xdr:row>404</xdr:row>
      <xdr:rowOff>124240</xdr:rowOff>
    </xdr:from>
    <xdr:to>
      <xdr:col>6</xdr:col>
      <xdr:colOff>141218</xdr:colOff>
      <xdr:row>404</xdr:row>
      <xdr:rowOff>124240</xdr:rowOff>
    </xdr:to>
    <xdr:sp macro="" textlink="">
      <xdr:nvSpPr>
        <xdr:cNvPr id="229" name="Line 2902">
          <a:extLst>
            <a:ext uri="{FF2B5EF4-FFF2-40B4-BE49-F238E27FC236}">
              <a16:creationId xmlns:a16="http://schemas.microsoft.com/office/drawing/2014/main" id="{00000000-0008-0000-0000-0000E5000000}"/>
            </a:ext>
          </a:extLst>
        </xdr:cNvPr>
        <xdr:cNvSpPr>
          <a:spLocks noChangeShapeType="1"/>
        </xdr:cNvSpPr>
      </xdr:nvSpPr>
      <xdr:spPr bwMode="auto">
        <a:xfrm>
          <a:off x="3360668" y="69237640"/>
          <a:ext cx="2190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xdr:twoCellAnchor>
    <xdr:from>
      <xdr:col>1</xdr:col>
      <xdr:colOff>489852</xdr:colOff>
      <xdr:row>447</xdr:row>
      <xdr:rowOff>0</xdr:rowOff>
    </xdr:from>
    <xdr:to>
      <xdr:col>2</xdr:col>
      <xdr:colOff>159198</xdr:colOff>
      <xdr:row>448</xdr:row>
      <xdr:rowOff>0</xdr:rowOff>
    </xdr:to>
    <xdr:sp macro="" textlink="">
      <xdr:nvSpPr>
        <xdr:cNvPr id="230" name="Text Box 5112">
          <a:extLst>
            <a:ext uri="{FF2B5EF4-FFF2-40B4-BE49-F238E27FC236}">
              <a16:creationId xmlns:a16="http://schemas.microsoft.com/office/drawing/2014/main" id="{00000000-0008-0000-0000-0000E6000000}"/>
            </a:ext>
          </a:extLst>
        </xdr:cNvPr>
        <xdr:cNvSpPr txBox="1">
          <a:spLocks noChangeArrowheads="1"/>
        </xdr:cNvSpPr>
      </xdr:nvSpPr>
      <xdr:spPr bwMode="auto">
        <a:xfrm>
          <a:off x="966102" y="76866750"/>
          <a:ext cx="202746" cy="1809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tr-TR" sz="1000" b="0" i="0" strike="noStrike">
              <a:solidFill>
                <a:srgbClr val="000000"/>
              </a:solidFill>
              <a:latin typeface="Symbol"/>
            </a:rPr>
            <a:t>F</a:t>
          </a:r>
        </a:p>
      </xdr:txBody>
    </xdr:sp>
    <xdr:clientData/>
  </xdr:twoCellAnchor>
  <xdr:twoCellAnchor>
    <xdr:from>
      <xdr:col>2</xdr:col>
      <xdr:colOff>1241988</xdr:colOff>
      <xdr:row>446</xdr:row>
      <xdr:rowOff>76328</xdr:rowOff>
    </xdr:from>
    <xdr:to>
      <xdr:col>3</xdr:col>
      <xdr:colOff>840441</xdr:colOff>
      <xdr:row>448</xdr:row>
      <xdr:rowOff>17759</xdr:rowOff>
    </xdr:to>
    <xdr:sp macro="" textlink="">
      <xdr:nvSpPr>
        <xdr:cNvPr id="231" name="Text Box 5113">
          <a:extLst>
            <a:ext uri="{FF2B5EF4-FFF2-40B4-BE49-F238E27FC236}">
              <a16:creationId xmlns:a16="http://schemas.microsoft.com/office/drawing/2014/main" id="{00000000-0008-0000-0000-0000E7000000}"/>
            </a:ext>
          </a:extLst>
        </xdr:cNvPr>
        <xdr:cNvSpPr txBox="1">
          <a:spLocks noChangeArrowheads="1"/>
        </xdr:cNvSpPr>
      </xdr:nvSpPr>
      <xdr:spPr bwMode="auto">
        <a:xfrm>
          <a:off x="2261723" y="85980622"/>
          <a:ext cx="875924" cy="2776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tr-TR" sz="1800" b="0" i="0" strike="noStrike">
              <a:solidFill>
                <a:sysClr val="windowText" lastClr="000000"/>
              </a:solidFill>
              <a:latin typeface="Symbol"/>
            </a:rPr>
            <a:t>/</a:t>
          </a:r>
        </a:p>
      </xdr:txBody>
    </xdr:sp>
    <xdr:clientData/>
  </xdr:twoCellAnchor>
  <xdr:twoCellAnchor>
    <xdr:from>
      <xdr:col>1</xdr:col>
      <xdr:colOff>504264</xdr:colOff>
      <xdr:row>448</xdr:row>
      <xdr:rowOff>22412</xdr:rowOff>
    </xdr:from>
    <xdr:to>
      <xdr:col>2</xdr:col>
      <xdr:colOff>173610</xdr:colOff>
      <xdr:row>449</xdr:row>
      <xdr:rowOff>22412</xdr:rowOff>
    </xdr:to>
    <xdr:sp macro="" textlink="">
      <xdr:nvSpPr>
        <xdr:cNvPr id="232" name="Text Box 5112">
          <a:extLst>
            <a:ext uri="{FF2B5EF4-FFF2-40B4-BE49-F238E27FC236}">
              <a16:creationId xmlns:a16="http://schemas.microsoft.com/office/drawing/2014/main" id="{00000000-0008-0000-0000-0000E8000000}"/>
            </a:ext>
          </a:extLst>
        </xdr:cNvPr>
        <xdr:cNvSpPr txBox="1">
          <a:spLocks noChangeArrowheads="1"/>
        </xdr:cNvSpPr>
      </xdr:nvSpPr>
      <xdr:spPr bwMode="auto">
        <a:xfrm>
          <a:off x="980514" y="77070137"/>
          <a:ext cx="202746" cy="161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tr-TR" sz="1000" b="0" i="0" strike="noStrike">
              <a:solidFill>
                <a:srgbClr val="000000"/>
              </a:solidFill>
              <a:latin typeface="Symbol"/>
            </a:rPr>
            <a:t>F</a:t>
          </a:r>
        </a:p>
      </xdr:txBody>
    </xdr:sp>
    <xdr:clientData/>
  </xdr:twoCellAnchor>
  <xdr:twoCellAnchor>
    <xdr:from>
      <xdr:col>3</xdr:col>
      <xdr:colOff>1973</xdr:colOff>
      <xdr:row>447</xdr:row>
      <xdr:rowOff>99391</xdr:rowOff>
    </xdr:from>
    <xdr:to>
      <xdr:col>3</xdr:col>
      <xdr:colOff>179294</xdr:colOff>
      <xdr:row>449</xdr:row>
      <xdr:rowOff>33131</xdr:rowOff>
    </xdr:to>
    <xdr:sp macro="" textlink="">
      <xdr:nvSpPr>
        <xdr:cNvPr id="233" name="Text Box 5113">
          <a:extLst>
            <a:ext uri="{FF2B5EF4-FFF2-40B4-BE49-F238E27FC236}">
              <a16:creationId xmlns:a16="http://schemas.microsoft.com/office/drawing/2014/main" id="{00000000-0008-0000-0000-0000E9000000}"/>
            </a:ext>
          </a:extLst>
        </xdr:cNvPr>
        <xdr:cNvSpPr txBox="1">
          <a:spLocks noChangeArrowheads="1"/>
        </xdr:cNvSpPr>
      </xdr:nvSpPr>
      <xdr:spPr bwMode="auto">
        <a:xfrm>
          <a:off x="1649238" y="76837273"/>
          <a:ext cx="177321" cy="26991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tr-TR" sz="1800" b="0" i="0" strike="noStrike">
              <a:solidFill>
                <a:sysClr val="windowText" lastClr="000000"/>
              </a:solidFill>
              <a:latin typeface="Symbol"/>
            </a:rPr>
            <a:t>/</a:t>
          </a:r>
        </a:p>
      </xdr:txBody>
    </xdr:sp>
    <xdr:clientData/>
  </xdr:twoCellAnchor>
  <xdr:twoCellAnchor>
    <xdr:from>
      <xdr:col>0</xdr:col>
      <xdr:colOff>93058</xdr:colOff>
      <xdr:row>441</xdr:row>
      <xdr:rowOff>72107</xdr:rowOff>
    </xdr:from>
    <xdr:to>
      <xdr:col>2</xdr:col>
      <xdr:colOff>543243</xdr:colOff>
      <xdr:row>443</xdr:row>
      <xdr:rowOff>114493</xdr:rowOff>
    </xdr:to>
    <xdr:pic>
      <xdr:nvPicPr>
        <xdr:cNvPr id="234" name="Picture 231080">
          <a:extLst>
            <a:ext uri="{FF2B5EF4-FFF2-40B4-BE49-F238E27FC236}">
              <a16:creationId xmlns:a16="http://schemas.microsoft.com/office/drawing/2014/main" id="{00000000-0008-0000-0000-0000E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93058" y="75872057"/>
          <a:ext cx="1459835" cy="394811"/>
        </a:xfrm>
        <a:prstGeom prst="rect">
          <a:avLst/>
        </a:prstGeom>
        <a:noFill/>
      </xdr:spPr>
    </xdr:pic>
    <xdr:clientData/>
  </xdr:twoCellAnchor>
  <xdr:twoCellAnchor>
    <xdr:from>
      <xdr:col>0</xdr:col>
      <xdr:colOff>82826</xdr:colOff>
      <xdr:row>444</xdr:row>
      <xdr:rowOff>16564</xdr:rowOff>
    </xdr:from>
    <xdr:to>
      <xdr:col>2</xdr:col>
      <xdr:colOff>299578</xdr:colOff>
      <xdr:row>445</xdr:row>
      <xdr:rowOff>16564</xdr:rowOff>
    </xdr:to>
    <xdr:pic>
      <xdr:nvPicPr>
        <xdr:cNvPr id="235" name="Picture 231082">
          <a:extLst>
            <a:ext uri="{FF2B5EF4-FFF2-40B4-BE49-F238E27FC236}">
              <a16:creationId xmlns:a16="http://schemas.microsoft.com/office/drawing/2014/main" id="{00000000-0008-0000-0000-0000E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82826" y="76359439"/>
          <a:ext cx="1226402" cy="180975"/>
        </a:xfrm>
        <a:prstGeom prst="rect">
          <a:avLst/>
        </a:prstGeom>
        <a:noFill/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121</xdr:row>
          <xdr:rowOff>66675</xdr:rowOff>
        </xdr:from>
        <xdr:to>
          <xdr:col>3</xdr:col>
          <xdr:colOff>1209675</xdr:colOff>
          <xdr:row>132</xdr:row>
          <xdr:rowOff>190500</xdr:rowOff>
        </xdr:to>
        <xdr:sp macro="" textlink="">
          <xdr:nvSpPr>
            <xdr:cNvPr id="337592" name="Object 231096" hidden="1">
              <a:extLst>
                <a:ext uri="{63B3BB69-23CF-44E3-9099-C40C66FF867C}">
                  <a14:compatExt spid="_x0000_s337592"/>
                </a:ext>
                <a:ext uri="{FF2B5EF4-FFF2-40B4-BE49-F238E27FC236}">
                  <a16:creationId xmlns:a16="http://schemas.microsoft.com/office/drawing/2014/main" id="{00000000-0008-0000-0000-0000B82605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9</xdr:col>
      <xdr:colOff>614728</xdr:colOff>
      <xdr:row>116</xdr:row>
      <xdr:rowOff>30773</xdr:rowOff>
    </xdr:from>
    <xdr:to>
      <xdr:col>10</xdr:col>
      <xdr:colOff>27109</xdr:colOff>
      <xdr:row>116</xdr:row>
      <xdr:rowOff>183173</xdr:rowOff>
    </xdr:to>
    <xdr:sp macro="" textlink="">
      <xdr:nvSpPr>
        <xdr:cNvPr id="213" name="AutoShape 2829">
          <a:extLst>
            <a:ext uri="{FF2B5EF4-FFF2-40B4-BE49-F238E27FC236}">
              <a16:creationId xmlns:a16="http://schemas.microsoft.com/office/drawing/2014/main" id="{00000000-0008-0000-0000-0000D5000000}"/>
            </a:ext>
          </a:extLst>
        </xdr:cNvPr>
        <xdr:cNvSpPr>
          <a:spLocks noChangeArrowheads="1"/>
        </xdr:cNvSpPr>
      </xdr:nvSpPr>
      <xdr:spPr bwMode="auto">
        <a:xfrm>
          <a:off x="5985363" y="21755100"/>
          <a:ext cx="152400" cy="152400"/>
        </a:xfrm>
        <a:prstGeom prst="curvedLeftArrow">
          <a:avLst>
            <a:gd name="adj1" fmla="val 1185"/>
            <a:gd name="adj2" fmla="val 40000"/>
            <a:gd name="adj3" fmla="val 33333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9</xdr:col>
      <xdr:colOff>629383</xdr:colOff>
      <xdr:row>118</xdr:row>
      <xdr:rowOff>43229</xdr:rowOff>
    </xdr:from>
    <xdr:to>
      <xdr:col>10</xdr:col>
      <xdr:colOff>41764</xdr:colOff>
      <xdr:row>119</xdr:row>
      <xdr:rowOff>7327</xdr:rowOff>
    </xdr:to>
    <xdr:sp macro="" textlink="">
      <xdr:nvSpPr>
        <xdr:cNvPr id="214" name="AutoShape 2830">
          <a:extLst>
            <a:ext uri="{FF2B5EF4-FFF2-40B4-BE49-F238E27FC236}">
              <a16:creationId xmlns:a16="http://schemas.microsoft.com/office/drawing/2014/main" id="{00000000-0008-0000-0000-0000D6000000}"/>
            </a:ext>
          </a:extLst>
        </xdr:cNvPr>
        <xdr:cNvSpPr>
          <a:spLocks noChangeArrowheads="1"/>
        </xdr:cNvSpPr>
      </xdr:nvSpPr>
      <xdr:spPr bwMode="auto">
        <a:xfrm>
          <a:off x="6000018" y="22163210"/>
          <a:ext cx="152400" cy="161925"/>
        </a:xfrm>
        <a:prstGeom prst="curvedLeftArrow">
          <a:avLst>
            <a:gd name="adj1" fmla="val 1259"/>
            <a:gd name="adj2" fmla="val 42500"/>
            <a:gd name="adj3" fmla="val 33333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</xdr:col>
      <xdr:colOff>1030124</xdr:colOff>
      <xdr:row>117</xdr:row>
      <xdr:rowOff>29434</xdr:rowOff>
    </xdr:from>
    <xdr:to>
      <xdr:col>3</xdr:col>
      <xdr:colOff>1030124</xdr:colOff>
      <xdr:row>117</xdr:row>
      <xdr:rowOff>200884</xdr:rowOff>
    </xdr:to>
    <xdr:cxnSp macro="">
      <xdr:nvCxnSpPr>
        <xdr:cNvPr id="217" name="3776 Düz Bağlayıcı">
          <a:extLst>
            <a:ext uri="{FF2B5EF4-FFF2-40B4-BE49-F238E27FC236}">
              <a16:creationId xmlns:a16="http://schemas.microsoft.com/office/drawing/2014/main" id="{00000000-0008-0000-0000-0000D9000000}"/>
            </a:ext>
          </a:extLst>
        </xdr:cNvPr>
        <xdr:cNvCxnSpPr>
          <a:cxnSpLocks noChangeShapeType="1"/>
        </xdr:cNvCxnSpPr>
      </xdr:nvCxnSpPr>
      <xdr:spPr bwMode="auto">
        <a:xfrm rot="5400000">
          <a:off x="2588142" y="21990002"/>
          <a:ext cx="1714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9</xdr:col>
      <xdr:colOff>433551</xdr:colOff>
      <xdr:row>115</xdr:row>
      <xdr:rowOff>32845</xdr:rowOff>
    </xdr:from>
    <xdr:to>
      <xdr:col>10</xdr:col>
      <xdr:colOff>90651</xdr:colOff>
      <xdr:row>115</xdr:row>
      <xdr:rowOff>175720</xdr:rowOff>
    </xdr:to>
    <xdr:sp macro="" textlink="">
      <xdr:nvSpPr>
        <xdr:cNvPr id="218" name="AutoShape 2835">
          <a:extLst>
            <a:ext uri="{FF2B5EF4-FFF2-40B4-BE49-F238E27FC236}">
              <a16:creationId xmlns:a16="http://schemas.microsoft.com/office/drawing/2014/main" id="{00000000-0008-0000-0000-0000DA000000}"/>
            </a:ext>
          </a:extLst>
        </xdr:cNvPr>
        <xdr:cNvSpPr>
          <a:spLocks noChangeArrowheads="1"/>
        </xdr:cNvSpPr>
      </xdr:nvSpPr>
      <xdr:spPr bwMode="auto">
        <a:xfrm>
          <a:off x="5800396" y="21618466"/>
          <a:ext cx="399393" cy="142875"/>
        </a:xfrm>
        <a:prstGeom prst="curvedRightArrow">
          <a:avLst>
            <a:gd name="adj1" fmla="val 1185"/>
            <a:gd name="adj2" fmla="val 40000"/>
            <a:gd name="adj3" fmla="val 44444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9</xdr:col>
      <xdr:colOff>426982</xdr:colOff>
      <xdr:row>117</xdr:row>
      <xdr:rowOff>32845</xdr:rowOff>
    </xdr:from>
    <xdr:to>
      <xdr:col>10</xdr:col>
      <xdr:colOff>84082</xdr:colOff>
      <xdr:row>117</xdr:row>
      <xdr:rowOff>175720</xdr:rowOff>
    </xdr:to>
    <xdr:sp macro="" textlink="">
      <xdr:nvSpPr>
        <xdr:cNvPr id="221" name="AutoShape 2835">
          <a:extLst>
            <a:ext uri="{FF2B5EF4-FFF2-40B4-BE49-F238E27FC236}">
              <a16:creationId xmlns:a16="http://schemas.microsoft.com/office/drawing/2014/main" id="{00000000-0008-0000-0000-0000DD000000}"/>
            </a:ext>
          </a:extLst>
        </xdr:cNvPr>
        <xdr:cNvSpPr>
          <a:spLocks noChangeArrowheads="1"/>
        </xdr:cNvSpPr>
      </xdr:nvSpPr>
      <xdr:spPr bwMode="auto">
        <a:xfrm>
          <a:off x="5793827" y="22012604"/>
          <a:ext cx="399393" cy="142875"/>
        </a:xfrm>
        <a:prstGeom prst="curvedRightArrow">
          <a:avLst>
            <a:gd name="adj1" fmla="val 1185"/>
            <a:gd name="adj2" fmla="val 40000"/>
            <a:gd name="adj3" fmla="val 44444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10</xdr:col>
      <xdr:colOff>88050</xdr:colOff>
      <xdr:row>174</xdr:row>
      <xdr:rowOff>30773</xdr:rowOff>
    </xdr:from>
    <xdr:to>
      <xdr:col>10</xdr:col>
      <xdr:colOff>240020</xdr:colOff>
      <xdr:row>174</xdr:row>
      <xdr:rowOff>183173</xdr:rowOff>
    </xdr:to>
    <xdr:sp macro="" textlink="">
      <xdr:nvSpPr>
        <xdr:cNvPr id="206" name="AutoShape 2829">
          <a:extLst>
            <a:ext uri="{FF2B5EF4-FFF2-40B4-BE49-F238E27FC236}">
              <a16:creationId xmlns:a16="http://schemas.microsoft.com/office/drawing/2014/main" id="{00000000-0008-0000-0000-0000CE000000}"/>
            </a:ext>
          </a:extLst>
        </xdr:cNvPr>
        <xdr:cNvSpPr>
          <a:spLocks noChangeArrowheads="1"/>
        </xdr:cNvSpPr>
      </xdr:nvSpPr>
      <xdr:spPr bwMode="auto">
        <a:xfrm>
          <a:off x="7371874" y="32875214"/>
          <a:ext cx="151970" cy="152400"/>
        </a:xfrm>
        <a:prstGeom prst="curvedLeftArrow">
          <a:avLst>
            <a:gd name="adj1" fmla="val 1185"/>
            <a:gd name="adj2" fmla="val 40000"/>
            <a:gd name="adj3" fmla="val 33333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9</xdr:col>
      <xdr:colOff>433551</xdr:colOff>
      <xdr:row>173</xdr:row>
      <xdr:rowOff>32845</xdr:rowOff>
    </xdr:from>
    <xdr:to>
      <xdr:col>10</xdr:col>
      <xdr:colOff>90651</xdr:colOff>
      <xdr:row>173</xdr:row>
      <xdr:rowOff>175720</xdr:rowOff>
    </xdr:to>
    <xdr:sp macro="" textlink="">
      <xdr:nvSpPr>
        <xdr:cNvPr id="209" name="AutoShape 2835">
          <a:extLst>
            <a:ext uri="{FF2B5EF4-FFF2-40B4-BE49-F238E27FC236}">
              <a16:creationId xmlns:a16="http://schemas.microsoft.com/office/drawing/2014/main" id="{00000000-0008-0000-0000-0000D1000000}"/>
            </a:ext>
          </a:extLst>
        </xdr:cNvPr>
        <xdr:cNvSpPr>
          <a:spLocks noChangeArrowheads="1"/>
        </xdr:cNvSpPr>
      </xdr:nvSpPr>
      <xdr:spPr bwMode="auto">
        <a:xfrm>
          <a:off x="5804186" y="21559345"/>
          <a:ext cx="397119" cy="142875"/>
        </a:xfrm>
        <a:prstGeom prst="curvedRightArrow">
          <a:avLst>
            <a:gd name="adj1" fmla="val 1185"/>
            <a:gd name="adj2" fmla="val 40000"/>
            <a:gd name="adj3" fmla="val 44444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9</xdr:col>
      <xdr:colOff>549088</xdr:colOff>
      <xdr:row>181</xdr:row>
      <xdr:rowOff>33617</xdr:rowOff>
    </xdr:from>
    <xdr:to>
      <xdr:col>10</xdr:col>
      <xdr:colOff>206188</xdr:colOff>
      <xdr:row>181</xdr:row>
      <xdr:rowOff>176492</xdr:rowOff>
    </xdr:to>
    <xdr:sp macro="" textlink="">
      <xdr:nvSpPr>
        <xdr:cNvPr id="211" name="AutoShape 2835">
          <a:extLst>
            <a:ext uri="{FF2B5EF4-FFF2-40B4-BE49-F238E27FC236}">
              <a16:creationId xmlns:a16="http://schemas.microsoft.com/office/drawing/2014/main" id="{00000000-0008-0000-0000-0000D3000000}"/>
            </a:ext>
          </a:extLst>
        </xdr:cNvPr>
        <xdr:cNvSpPr>
          <a:spLocks noChangeArrowheads="1"/>
        </xdr:cNvSpPr>
      </xdr:nvSpPr>
      <xdr:spPr bwMode="auto">
        <a:xfrm>
          <a:off x="5927912" y="34693411"/>
          <a:ext cx="396688" cy="142875"/>
        </a:xfrm>
        <a:prstGeom prst="curvedRightArrow">
          <a:avLst>
            <a:gd name="adj1" fmla="val 1185"/>
            <a:gd name="adj2" fmla="val 40000"/>
            <a:gd name="adj3" fmla="val 44444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</xdr:col>
      <xdr:colOff>1099684</xdr:colOff>
      <xdr:row>181</xdr:row>
      <xdr:rowOff>23232</xdr:rowOff>
    </xdr:from>
    <xdr:to>
      <xdr:col>3</xdr:col>
      <xdr:colOff>1099684</xdr:colOff>
      <xdr:row>181</xdr:row>
      <xdr:rowOff>193001</xdr:rowOff>
    </xdr:to>
    <xdr:cxnSp macro="">
      <xdr:nvCxnSpPr>
        <xdr:cNvPr id="238" name="3776 Düz Bağlayıcı">
          <a:extLst>
            <a:ext uri="{FF2B5EF4-FFF2-40B4-BE49-F238E27FC236}">
              <a16:creationId xmlns:a16="http://schemas.microsoft.com/office/drawing/2014/main" id="{00000000-0008-0000-0000-0000EE000000}"/>
            </a:ext>
          </a:extLst>
        </xdr:cNvPr>
        <xdr:cNvCxnSpPr>
          <a:cxnSpLocks noChangeShapeType="1"/>
        </xdr:cNvCxnSpPr>
      </xdr:nvCxnSpPr>
      <xdr:spPr bwMode="auto">
        <a:xfrm rot="5400000">
          <a:off x="3300799" y="34112367"/>
          <a:ext cx="169769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3</xdr:col>
      <xdr:colOff>960782</xdr:colOff>
      <xdr:row>116</xdr:row>
      <xdr:rowOff>115957</xdr:rowOff>
    </xdr:from>
    <xdr:to>
      <xdr:col>4</xdr:col>
      <xdr:colOff>41413</xdr:colOff>
      <xdr:row>116</xdr:row>
      <xdr:rowOff>115957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CxnSpPr/>
      </xdr:nvCxnSpPr>
      <xdr:spPr bwMode="auto">
        <a:xfrm>
          <a:off x="2600739" y="21874370"/>
          <a:ext cx="323022" cy="0"/>
        </a:xfrm>
        <a:prstGeom prst="straightConnector1">
          <a:avLst/>
        </a:pr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triangle"/>
        </a:ln>
        <a:effectLst/>
      </xdr:spPr>
    </xdr:cxnSp>
    <xdr:clientData/>
  </xdr:twoCellAnchor>
  <xdr:twoCellAnchor>
    <xdr:from>
      <xdr:col>3</xdr:col>
      <xdr:colOff>952499</xdr:colOff>
      <xdr:row>118</xdr:row>
      <xdr:rowOff>107674</xdr:rowOff>
    </xdr:from>
    <xdr:to>
      <xdr:col>4</xdr:col>
      <xdr:colOff>33130</xdr:colOff>
      <xdr:row>118</xdr:row>
      <xdr:rowOff>107674</xdr:rowOff>
    </xdr:to>
    <xdr:cxnSp macro="">
      <xdr:nvCxnSpPr>
        <xdr:cNvPr id="240" name="Straight Arrow Connector 239">
          <a:extLst>
            <a:ext uri="{FF2B5EF4-FFF2-40B4-BE49-F238E27FC236}">
              <a16:creationId xmlns:a16="http://schemas.microsoft.com/office/drawing/2014/main" id="{00000000-0008-0000-0000-0000F0000000}"/>
            </a:ext>
          </a:extLst>
        </xdr:cNvPr>
        <xdr:cNvCxnSpPr/>
      </xdr:nvCxnSpPr>
      <xdr:spPr bwMode="auto">
        <a:xfrm>
          <a:off x="2592456" y="22263652"/>
          <a:ext cx="323022" cy="0"/>
        </a:xfrm>
        <a:prstGeom prst="straightConnector1">
          <a:avLst/>
        </a:pr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triangle"/>
        </a:ln>
        <a:effectLst/>
      </xdr:spPr>
    </xdr:cxnSp>
    <xdr:clientData/>
  </xdr:twoCellAnchor>
  <xdr:twoCellAnchor>
    <xdr:from>
      <xdr:col>3</xdr:col>
      <xdr:colOff>960783</xdr:colOff>
      <xdr:row>120</xdr:row>
      <xdr:rowOff>107674</xdr:rowOff>
    </xdr:from>
    <xdr:to>
      <xdr:col>4</xdr:col>
      <xdr:colOff>57979</xdr:colOff>
      <xdr:row>120</xdr:row>
      <xdr:rowOff>107675</xdr:rowOff>
    </xdr:to>
    <xdr:cxnSp macro="">
      <xdr:nvCxnSpPr>
        <xdr:cNvPr id="241" name="Straight Arrow Connector 240">
          <a:extLst>
            <a:ext uri="{FF2B5EF4-FFF2-40B4-BE49-F238E27FC236}">
              <a16:creationId xmlns:a16="http://schemas.microsoft.com/office/drawing/2014/main" id="{00000000-0008-0000-0000-0000F1000000}"/>
            </a:ext>
          </a:extLst>
        </xdr:cNvPr>
        <xdr:cNvCxnSpPr/>
      </xdr:nvCxnSpPr>
      <xdr:spPr bwMode="auto">
        <a:xfrm flipH="1" flipV="1">
          <a:off x="2600740" y="22661217"/>
          <a:ext cx="339587" cy="1"/>
        </a:xfrm>
        <a:prstGeom prst="straightConnector1">
          <a:avLst/>
        </a:pr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triangle"/>
        </a:ln>
        <a:effectLst/>
      </xdr:spPr>
    </xdr:cxnSp>
    <xdr:clientData/>
  </xdr:twoCellAnchor>
  <xdr:twoCellAnchor>
    <xdr:from>
      <xdr:col>3</xdr:col>
      <xdr:colOff>969064</xdr:colOff>
      <xdr:row>121</xdr:row>
      <xdr:rowOff>107674</xdr:rowOff>
    </xdr:from>
    <xdr:to>
      <xdr:col>4</xdr:col>
      <xdr:colOff>66260</xdr:colOff>
      <xdr:row>121</xdr:row>
      <xdr:rowOff>107675</xdr:rowOff>
    </xdr:to>
    <xdr:cxnSp macro="">
      <xdr:nvCxnSpPr>
        <xdr:cNvPr id="242" name="Straight Arrow Connector 241">
          <a:extLst>
            <a:ext uri="{FF2B5EF4-FFF2-40B4-BE49-F238E27FC236}">
              <a16:creationId xmlns:a16="http://schemas.microsoft.com/office/drawing/2014/main" id="{00000000-0008-0000-0000-0000F2000000}"/>
            </a:ext>
          </a:extLst>
        </xdr:cNvPr>
        <xdr:cNvCxnSpPr/>
      </xdr:nvCxnSpPr>
      <xdr:spPr bwMode="auto">
        <a:xfrm flipH="1" flipV="1">
          <a:off x="2609021" y="22860000"/>
          <a:ext cx="339587" cy="1"/>
        </a:xfrm>
        <a:prstGeom prst="straightConnector1">
          <a:avLst/>
        </a:pr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triangle"/>
        </a:ln>
        <a:effectLst/>
      </xdr:spPr>
    </xdr:cxnSp>
    <xdr:clientData/>
  </xdr:twoCellAnchor>
  <xdr:twoCellAnchor>
    <xdr:from>
      <xdr:col>3</xdr:col>
      <xdr:colOff>1010478</xdr:colOff>
      <xdr:row>113</xdr:row>
      <xdr:rowOff>16566</xdr:rowOff>
    </xdr:from>
    <xdr:to>
      <xdr:col>3</xdr:col>
      <xdr:colOff>1010478</xdr:colOff>
      <xdr:row>114</xdr:row>
      <xdr:rowOff>5798</xdr:rowOff>
    </xdr:to>
    <xdr:sp macro="" textlink="">
      <xdr:nvSpPr>
        <xdr:cNvPr id="243" name="Line 2881">
          <a:extLst>
            <a:ext uri="{FF2B5EF4-FFF2-40B4-BE49-F238E27FC236}">
              <a16:creationId xmlns:a16="http://schemas.microsoft.com/office/drawing/2014/main" id="{00000000-0008-0000-0000-0000F3000000}"/>
            </a:ext>
          </a:extLst>
        </xdr:cNvPr>
        <xdr:cNvSpPr>
          <a:spLocks noChangeShapeType="1"/>
        </xdr:cNvSpPr>
      </xdr:nvSpPr>
      <xdr:spPr bwMode="auto">
        <a:xfrm>
          <a:off x="2650435" y="21178631"/>
          <a:ext cx="0" cy="18801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xdr:twoCellAnchor>
    <xdr:from>
      <xdr:col>3</xdr:col>
      <xdr:colOff>1010477</xdr:colOff>
      <xdr:row>114</xdr:row>
      <xdr:rowOff>8283</xdr:rowOff>
    </xdr:from>
    <xdr:to>
      <xdr:col>3</xdr:col>
      <xdr:colOff>1010477</xdr:colOff>
      <xdr:row>114</xdr:row>
      <xdr:rowOff>196298</xdr:rowOff>
    </xdr:to>
    <xdr:sp macro="" textlink="">
      <xdr:nvSpPr>
        <xdr:cNvPr id="244" name="Line 2881">
          <a:extLst>
            <a:ext uri="{FF2B5EF4-FFF2-40B4-BE49-F238E27FC236}">
              <a16:creationId xmlns:a16="http://schemas.microsoft.com/office/drawing/2014/main" id="{00000000-0008-0000-0000-0000F4000000}"/>
            </a:ext>
          </a:extLst>
        </xdr:cNvPr>
        <xdr:cNvSpPr>
          <a:spLocks noChangeShapeType="1"/>
        </xdr:cNvSpPr>
      </xdr:nvSpPr>
      <xdr:spPr bwMode="auto">
        <a:xfrm>
          <a:off x="2650434" y="21369131"/>
          <a:ext cx="0" cy="18801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xdr:twoCellAnchor>
    <xdr:from>
      <xdr:col>3</xdr:col>
      <xdr:colOff>1018760</xdr:colOff>
      <xdr:row>114</xdr:row>
      <xdr:rowOff>190500</xdr:rowOff>
    </xdr:from>
    <xdr:to>
      <xdr:col>3</xdr:col>
      <xdr:colOff>1018760</xdr:colOff>
      <xdr:row>115</xdr:row>
      <xdr:rowOff>179733</xdr:rowOff>
    </xdr:to>
    <xdr:sp macro="" textlink="">
      <xdr:nvSpPr>
        <xdr:cNvPr id="245" name="Line 2881">
          <a:extLst>
            <a:ext uri="{FF2B5EF4-FFF2-40B4-BE49-F238E27FC236}">
              <a16:creationId xmlns:a16="http://schemas.microsoft.com/office/drawing/2014/main" id="{00000000-0008-0000-0000-0000F5000000}"/>
            </a:ext>
          </a:extLst>
        </xdr:cNvPr>
        <xdr:cNvSpPr>
          <a:spLocks noChangeShapeType="1"/>
        </xdr:cNvSpPr>
      </xdr:nvSpPr>
      <xdr:spPr bwMode="auto">
        <a:xfrm>
          <a:off x="2658717" y="21551348"/>
          <a:ext cx="0" cy="18801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xdr:twoCellAnchor>
    <xdr:from>
      <xdr:col>3</xdr:col>
      <xdr:colOff>952500</xdr:colOff>
      <xdr:row>174</xdr:row>
      <xdr:rowOff>114300</xdr:rowOff>
    </xdr:from>
    <xdr:to>
      <xdr:col>4</xdr:col>
      <xdr:colOff>33131</xdr:colOff>
      <xdr:row>174</xdr:row>
      <xdr:rowOff>114300</xdr:rowOff>
    </xdr:to>
    <xdr:cxnSp macro="">
      <xdr:nvCxnSpPr>
        <xdr:cNvPr id="247" name="Straight Arrow Connector 246">
          <a:extLst>
            <a:ext uri="{FF2B5EF4-FFF2-40B4-BE49-F238E27FC236}">
              <a16:creationId xmlns:a16="http://schemas.microsoft.com/office/drawing/2014/main" id="{00000000-0008-0000-0000-0000F7000000}"/>
            </a:ext>
          </a:extLst>
        </xdr:cNvPr>
        <xdr:cNvCxnSpPr/>
      </xdr:nvCxnSpPr>
      <xdr:spPr bwMode="auto">
        <a:xfrm>
          <a:off x="2590800" y="33442275"/>
          <a:ext cx="318881" cy="0"/>
        </a:xfrm>
        <a:prstGeom prst="straightConnector1">
          <a:avLst/>
        </a:pr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triangle"/>
        </a:ln>
        <a:effectLst/>
      </xdr:spPr>
    </xdr:cxnSp>
    <xdr:clientData/>
  </xdr:twoCellAnchor>
  <xdr:twoCellAnchor>
    <xdr:from>
      <xdr:col>3</xdr:col>
      <xdr:colOff>952500</xdr:colOff>
      <xdr:row>175</xdr:row>
      <xdr:rowOff>114300</xdr:rowOff>
    </xdr:from>
    <xdr:to>
      <xdr:col>4</xdr:col>
      <xdr:colOff>33131</xdr:colOff>
      <xdr:row>175</xdr:row>
      <xdr:rowOff>114300</xdr:rowOff>
    </xdr:to>
    <xdr:cxnSp macro="">
      <xdr:nvCxnSpPr>
        <xdr:cNvPr id="248" name="Straight Arrow Connector 247">
          <a:extLst>
            <a:ext uri="{FF2B5EF4-FFF2-40B4-BE49-F238E27FC236}">
              <a16:creationId xmlns:a16="http://schemas.microsoft.com/office/drawing/2014/main" id="{00000000-0008-0000-0000-0000F8000000}"/>
            </a:ext>
          </a:extLst>
        </xdr:cNvPr>
        <xdr:cNvCxnSpPr/>
      </xdr:nvCxnSpPr>
      <xdr:spPr bwMode="auto">
        <a:xfrm>
          <a:off x="2590800" y="33642300"/>
          <a:ext cx="318881" cy="0"/>
        </a:xfrm>
        <a:prstGeom prst="straightConnector1">
          <a:avLst/>
        </a:pr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triangle"/>
        </a:ln>
        <a:effectLst/>
      </xdr:spPr>
    </xdr:cxnSp>
    <xdr:clientData/>
  </xdr:twoCellAnchor>
  <xdr:twoCellAnchor>
    <xdr:from>
      <xdr:col>3</xdr:col>
      <xdr:colOff>952500</xdr:colOff>
      <xdr:row>176</xdr:row>
      <xdr:rowOff>104775</xdr:rowOff>
    </xdr:from>
    <xdr:to>
      <xdr:col>4</xdr:col>
      <xdr:colOff>33131</xdr:colOff>
      <xdr:row>176</xdr:row>
      <xdr:rowOff>104775</xdr:rowOff>
    </xdr:to>
    <xdr:cxnSp macro="">
      <xdr:nvCxnSpPr>
        <xdr:cNvPr id="249" name="Straight Arrow Connector 248">
          <a:extLst>
            <a:ext uri="{FF2B5EF4-FFF2-40B4-BE49-F238E27FC236}">
              <a16:creationId xmlns:a16="http://schemas.microsoft.com/office/drawing/2014/main" id="{00000000-0008-0000-0000-0000F9000000}"/>
            </a:ext>
          </a:extLst>
        </xdr:cNvPr>
        <xdr:cNvCxnSpPr/>
      </xdr:nvCxnSpPr>
      <xdr:spPr bwMode="auto">
        <a:xfrm>
          <a:off x="2590800" y="33832800"/>
          <a:ext cx="318881" cy="0"/>
        </a:xfrm>
        <a:prstGeom prst="straightConnector1">
          <a:avLst/>
        </a:pr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triangle"/>
        </a:ln>
        <a:effectLst/>
      </xdr:spPr>
    </xdr:cxnSp>
    <xdr:clientData/>
  </xdr:twoCellAnchor>
  <xdr:twoCellAnchor>
    <xdr:from>
      <xdr:col>3</xdr:col>
      <xdr:colOff>962025</xdr:colOff>
      <xdr:row>177</xdr:row>
      <xdr:rowOff>104775</xdr:rowOff>
    </xdr:from>
    <xdr:to>
      <xdr:col>4</xdr:col>
      <xdr:colOff>42656</xdr:colOff>
      <xdr:row>177</xdr:row>
      <xdr:rowOff>104775</xdr:rowOff>
    </xdr:to>
    <xdr:cxnSp macro="">
      <xdr:nvCxnSpPr>
        <xdr:cNvPr id="250" name="Straight Arrow Connector 249">
          <a:extLst>
            <a:ext uri="{FF2B5EF4-FFF2-40B4-BE49-F238E27FC236}">
              <a16:creationId xmlns:a16="http://schemas.microsoft.com/office/drawing/2014/main" id="{00000000-0008-0000-0000-0000FA000000}"/>
            </a:ext>
          </a:extLst>
        </xdr:cNvPr>
        <xdr:cNvCxnSpPr/>
      </xdr:nvCxnSpPr>
      <xdr:spPr bwMode="auto">
        <a:xfrm>
          <a:off x="2600325" y="34032825"/>
          <a:ext cx="318881" cy="0"/>
        </a:xfrm>
        <a:prstGeom prst="straightConnector1">
          <a:avLst/>
        </a:pr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triangle"/>
        </a:ln>
        <a:effectLst/>
      </xdr:spPr>
    </xdr:cxnSp>
    <xdr:clientData/>
  </xdr:twoCellAnchor>
  <xdr:twoCellAnchor>
    <xdr:from>
      <xdr:col>3</xdr:col>
      <xdr:colOff>942975</xdr:colOff>
      <xdr:row>180</xdr:row>
      <xdr:rowOff>104775</xdr:rowOff>
    </xdr:from>
    <xdr:to>
      <xdr:col>4</xdr:col>
      <xdr:colOff>23606</xdr:colOff>
      <xdr:row>180</xdr:row>
      <xdr:rowOff>104775</xdr:rowOff>
    </xdr:to>
    <xdr:cxnSp macro="">
      <xdr:nvCxnSpPr>
        <xdr:cNvPr id="252" name="Straight Arrow Connector 251">
          <a:extLst>
            <a:ext uri="{FF2B5EF4-FFF2-40B4-BE49-F238E27FC236}">
              <a16:creationId xmlns:a16="http://schemas.microsoft.com/office/drawing/2014/main" id="{00000000-0008-0000-0000-0000FC000000}"/>
            </a:ext>
          </a:extLst>
        </xdr:cNvPr>
        <xdr:cNvCxnSpPr/>
      </xdr:nvCxnSpPr>
      <xdr:spPr bwMode="auto">
        <a:xfrm>
          <a:off x="3228975" y="34556700"/>
          <a:ext cx="318881" cy="0"/>
        </a:xfrm>
        <a:prstGeom prst="straightConnector1">
          <a:avLst/>
        </a:pr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triangle"/>
        </a:ln>
        <a:effectLst/>
      </xdr:spPr>
    </xdr:cxnSp>
    <xdr:clientData/>
  </xdr:twoCellAnchor>
  <xdr:twoCellAnchor>
    <xdr:from>
      <xdr:col>3</xdr:col>
      <xdr:colOff>933450</xdr:colOff>
      <xdr:row>183</xdr:row>
      <xdr:rowOff>114300</xdr:rowOff>
    </xdr:from>
    <xdr:to>
      <xdr:col>4</xdr:col>
      <xdr:colOff>30646</xdr:colOff>
      <xdr:row>183</xdr:row>
      <xdr:rowOff>114301</xdr:rowOff>
    </xdr:to>
    <xdr:cxnSp macro="">
      <xdr:nvCxnSpPr>
        <xdr:cNvPr id="253" name="Straight Arrow Connector 252">
          <a:extLst>
            <a:ext uri="{FF2B5EF4-FFF2-40B4-BE49-F238E27FC236}">
              <a16:creationId xmlns:a16="http://schemas.microsoft.com/office/drawing/2014/main" id="{00000000-0008-0000-0000-0000FD000000}"/>
            </a:ext>
          </a:extLst>
        </xdr:cNvPr>
        <xdr:cNvCxnSpPr/>
      </xdr:nvCxnSpPr>
      <xdr:spPr bwMode="auto">
        <a:xfrm flipH="1" flipV="1">
          <a:off x="3219450" y="34518600"/>
          <a:ext cx="335446" cy="1"/>
        </a:xfrm>
        <a:prstGeom prst="straightConnector1">
          <a:avLst/>
        </a:pr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triangle"/>
        </a:ln>
        <a:effectLst/>
      </xdr:spPr>
    </xdr:cxnSp>
    <xdr:clientData/>
  </xdr:twoCellAnchor>
  <xdr:twoCellAnchor>
    <xdr:from>
      <xdr:col>3</xdr:col>
      <xdr:colOff>962025</xdr:colOff>
      <xdr:row>184</xdr:row>
      <xdr:rowOff>133350</xdr:rowOff>
    </xdr:from>
    <xdr:to>
      <xdr:col>4</xdr:col>
      <xdr:colOff>59221</xdr:colOff>
      <xdr:row>184</xdr:row>
      <xdr:rowOff>133351</xdr:rowOff>
    </xdr:to>
    <xdr:cxnSp macro="">
      <xdr:nvCxnSpPr>
        <xdr:cNvPr id="254" name="Straight Arrow Connector 253">
          <a:extLst>
            <a:ext uri="{FF2B5EF4-FFF2-40B4-BE49-F238E27FC236}">
              <a16:creationId xmlns:a16="http://schemas.microsoft.com/office/drawing/2014/main" id="{00000000-0008-0000-0000-0000FE000000}"/>
            </a:ext>
          </a:extLst>
        </xdr:cNvPr>
        <xdr:cNvCxnSpPr/>
      </xdr:nvCxnSpPr>
      <xdr:spPr bwMode="auto">
        <a:xfrm flipH="1" flipV="1">
          <a:off x="3248025" y="34737675"/>
          <a:ext cx="335446" cy="1"/>
        </a:xfrm>
        <a:prstGeom prst="straightConnector1">
          <a:avLst/>
        </a:pr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triangle"/>
        </a:ln>
        <a:effectLst/>
      </xdr:spPr>
    </xdr:cxnSp>
    <xdr:clientData/>
  </xdr:twoCellAnchor>
  <xdr:twoCellAnchor>
    <xdr:from>
      <xdr:col>9</xdr:col>
      <xdr:colOff>457200</xdr:colOff>
      <xdr:row>226</xdr:row>
      <xdr:rowOff>38100</xdr:rowOff>
    </xdr:from>
    <xdr:to>
      <xdr:col>10</xdr:col>
      <xdr:colOff>114300</xdr:colOff>
      <xdr:row>226</xdr:row>
      <xdr:rowOff>180975</xdr:rowOff>
    </xdr:to>
    <xdr:sp macro="" textlink="">
      <xdr:nvSpPr>
        <xdr:cNvPr id="279" name="AutoShape 2839">
          <a:extLst>
            <a:ext uri="{FF2B5EF4-FFF2-40B4-BE49-F238E27FC236}">
              <a16:creationId xmlns:a16="http://schemas.microsoft.com/office/drawing/2014/main" id="{00000000-0008-0000-0000-000017010000}"/>
            </a:ext>
          </a:extLst>
        </xdr:cNvPr>
        <xdr:cNvSpPr>
          <a:spLocks noChangeArrowheads="1"/>
        </xdr:cNvSpPr>
      </xdr:nvSpPr>
      <xdr:spPr bwMode="auto">
        <a:xfrm>
          <a:off x="7001435" y="32064512"/>
          <a:ext cx="396689" cy="142875"/>
        </a:xfrm>
        <a:prstGeom prst="curvedRightArrow">
          <a:avLst>
            <a:gd name="adj1" fmla="val 1185"/>
            <a:gd name="adj2" fmla="val 40000"/>
            <a:gd name="adj3" fmla="val 44444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9</xdr:col>
      <xdr:colOff>457200</xdr:colOff>
      <xdr:row>227</xdr:row>
      <xdr:rowOff>38100</xdr:rowOff>
    </xdr:from>
    <xdr:to>
      <xdr:col>10</xdr:col>
      <xdr:colOff>114300</xdr:colOff>
      <xdr:row>227</xdr:row>
      <xdr:rowOff>180975</xdr:rowOff>
    </xdr:to>
    <xdr:sp macro="" textlink="">
      <xdr:nvSpPr>
        <xdr:cNvPr id="280" name="AutoShape 2840">
          <a:extLst>
            <a:ext uri="{FF2B5EF4-FFF2-40B4-BE49-F238E27FC236}">
              <a16:creationId xmlns:a16="http://schemas.microsoft.com/office/drawing/2014/main" id="{00000000-0008-0000-0000-000018010000}"/>
            </a:ext>
          </a:extLst>
        </xdr:cNvPr>
        <xdr:cNvSpPr>
          <a:spLocks noChangeArrowheads="1"/>
        </xdr:cNvSpPr>
      </xdr:nvSpPr>
      <xdr:spPr bwMode="auto">
        <a:xfrm>
          <a:off x="7001435" y="32277424"/>
          <a:ext cx="396689" cy="142875"/>
        </a:xfrm>
        <a:prstGeom prst="curvedRightArrow">
          <a:avLst>
            <a:gd name="adj1" fmla="val 1185"/>
            <a:gd name="adj2" fmla="val 40000"/>
            <a:gd name="adj3" fmla="val 44444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9</xdr:col>
      <xdr:colOff>457200</xdr:colOff>
      <xdr:row>228</xdr:row>
      <xdr:rowOff>38100</xdr:rowOff>
    </xdr:from>
    <xdr:to>
      <xdr:col>10</xdr:col>
      <xdr:colOff>114300</xdr:colOff>
      <xdr:row>228</xdr:row>
      <xdr:rowOff>180975</xdr:rowOff>
    </xdr:to>
    <xdr:sp macro="" textlink="">
      <xdr:nvSpPr>
        <xdr:cNvPr id="281" name="AutoShape 2841">
          <a:extLst>
            <a:ext uri="{FF2B5EF4-FFF2-40B4-BE49-F238E27FC236}">
              <a16:creationId xmlns:a16="http://schemas.microsoft.com/office/drawing/2014/main" id="{00000000-0008-0000-0000-000019010000}"/>
            </a:ext>
          </a:extLst>
        </xdr:cNvPr>
        <xdr:cNvSpPr>
          <a:spLocks noChangeArrowheads="1"/>
        </xdr:cNvSpPr>
      </xdr:nvSpPr>
      <xdr:spPr bwMode="auto">
        <a:xfrm>
          <a:off x="7001435" y="32479129"/>
          <a:ext cx="396689" cy="142875"/>
        </a:xfrm>
        <a:prstGeom prst="curvedRightArrow">
          <a:avLst>
            <a:gd name="adj1" fmla="val 1185"/>
            <a:gd name="adj2" fmla="val 40000"/>
            <a:gd name="adj3" fmla="val 44444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10</xdr:col>
      <xdr:colOff>114300</xdr:colOff>
      <xdr:row>233</xdr:row>
      <xdr:rowOff>28575</xdr:rowOff>
    </xdr:from>
    <xdr:to>
      <xdr:col>10</xdr:col>
      <xdr:colOff>266700</xdr:colOff>
      <xdr:row>233</xdr:row>
      <xdr:rowOff>190500</xdr:rowOff>
    </xdr:to>
    <xdr:sp macro="" textlink="">
      <xdr:nvSpPr>
        <xdr:cNvPr id="282" name="AutoShape 2864">
          <a:extLst>
            <a:ext uri="{FF2B5EF4-FFF2-40B4-BE49-F238E27FC236}">
              <a16:creationId xmlns:a16="http://schemas.microsoft.com/office/drawing/2014/main" id="{00000000-0008-0000-0000-00001A010000}"/>
            </a:ext>
          </a:extLst>
        </xdr:cNvPr>
        <xdr:cNvSpPr>
          <a:spLocks noChangeArrowheads="1"/>
        </xdr:cNvSpPr>
      </xdr:nvSpPr>
      <xdr:spPr bwMode="auto">
        <a:xfrm>
          <a:off x="7398124" y="33074722"/>
          <a:ext cx="152400" cy="161925"/>
        </a:xfrm>
        <a:prstGeom prst="curvedLeftArrow">
          <a:avLst>
            <a:gd name="adj1" fmla="val 1259"/>
            <a:gd name="adj2" fmla="val 42500"/>
            <a:gd name="adj3" fmla="val 33333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10</xdr:col>
      <xdr:colOff>114300</xdr:colOff>
      <xdr:row>234</xdr:row>
      <xdr:rowOff>28575</xdr:rowOff>
    </xdr:from>
    <xdr:to>
      <xdr:col>10</xdr:col>
      <xdr:colOff>266700</xdr:colOff>
      <xdr:row>234</xdr:row>
      <xdr:rowOff>190500</xdr:rowOff>
    </xdr:to>
    <xdr:sp macro="" textlink="">
      <xdr:nvSpPr>
        <xdr:cNvPr id="283" name="AutoShape 2866">
          <a:extLst>
            <a:ext uri="{FF2B5EF4-FFF2-40B4-BE49-F238E27FC236}">
              <a16:creationId xmlns:a16="http://schemas.microsoft.com/office/drawing/2014/main" id="{00000000-0008-0000-0000-00001B010000}"/>
            </a:ext>
          </a:extLst>
        </xdr:cNvPr>
        <xdr:cNvSpPr>
          <a:spLocks noChangeArrowheads="1"/>
        </xdr:cNvSpPr>
      </xdr:nvSpPr>
      <xdr:spPr bwMode="auto">
        <a:xfrm>
          <a:off x="7398124" y="33276428"/>
          <a:ext cx="152400" cy="161925"/>
        </a:xfrm>
        <a:prstGeom prst="curvedLeftArrow">
          <a:avLst>
            <a:gd name="adj1" fmla="val 1259"/>
            <a:gd name="adj2" fmla="val 42500"/>
            <a:gd name="adj3" fmla="val 33333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10</xdr:col>
      <xdr:colOff>104775</xdr:colOff>
      <xdr:row>235</xdr:row>
      <xdr:rowOff>28575</xdr:rowOff>
    </xdr:from>
    <xdr:to>
      <xdr:col>10</xdr:col>
      <xdr:colOff>257175</xdr:colOff>
      <xdr:row>235</xdr:row>
      <xdr:rowOff>190500</xdr:rowOff>
    </xdr:to>
    <xdr:sp macro="" textlink="">
      <xdr:nvSpPr>
        <xdr:cNvPr id="284" name="AutoShape 2867">
          <a:extLst>
            <a:ext uri="{FF2B5EF4-FFF2-40B4-BE49-F238E27FC236}">
              <a16:creationId xmlns:a16="http://schemas.microsoft.com/office/drawing/2014/main" id="{00000000-0008-0000-0000-00001C010000}"/>
            </a:ext>
          </a:extLst>
        </xdr:cNvPr>
        <xdr:cNvSpPr>
          <a:spLocks noChangeArrowheads="1"/>
        </xdr:cNvSpPr>
      </xdr:nvSpPr>
      <xdr:spPr bwMode="auto">
        <a:xfrm>
          <a:off x="7388599" y="33478134"/>
          <a:ext cx="152400" cy="161925"/>
        </a:xfrm>
        <a:prstGeom prst="curvedLeftArrow">
          <a:avLst>
            <a:gd name="adj1" fmla="val 1259"/>
            <a:gd name="adj2" fmla="val 42500"/>
            <a:gd name="adj3" fmla="val 33333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</xdr:col>
      <xdr:colOff>1081447</xdr:colOff>
      <xdr:row>226</xdr:row>
      <xdr:rowOff>61857</xdr:rowOff>
    </xdr:from>
    <xdr:to>
      <xdr:col>3</xdr:col>
      <xdr:colOff>1089121</xdr:colOff>
      <xdr:row>229</xdr:row>
      <xdr:rowOff>0</xdr:rowOff>
    </xdr:to>
    <xdr:grpSp>
      <xdr:nvGrpSpPr>
        <xdr:cNvPr id="285" name="4723 Grup">
          <a:extLst>
            <a:ext uri="{FF2B5EF4-FFF2-40B4-BE49-F238E27FC236}">
              <a16:creationId xmlns:a16="http://schemas.microsoft.com/office/drawing/2014/main" id="{00000000-0008-0000-0000-00001D010000}"/>
            </a:ext>
          </a:extLst>
        </xdr:cNvPr>
        <xdr:cNvGrpSpPr>
          <a:grpSpLocks/>
        </xdr:cNvGrpSpPr>
      </xdr:nvGrpSpPr>
      <xdr:grpSpPr bwMode="auto">
        <a:xfrm>
          <a:off x="3378653" y="42487328"/>
          <a:ext cx="7674" cy="554466"/>
          <a:chOff x="-214166" y="32337237"/>
          <a:chExt cx="1936" cy="634088"/>
        </a:xfrm>
      </xdr:grpSpPr>
      <xdr:sp macro="" textlink="">
        <xdr:nvSpPr>
          <xdr:cNvPr id="286" name="Line 2893">
            <a:extLst>
              <a:ext uri="{FF2B5EF4-FFF2-40B4-BE49-F238E27FC236}">
                <a16:creationId xmlns:a16="http://schemas.microsoft.com/office/drawing/2014/main" id="{00000000-0008-0000-0000-00001E010000}"/>
              </a:ext>
            </a:extLst>
          </xdr:cNvPr>
          <xdr:cNvSpPr>
            <a:spLocks noChangeShapeType="1"/>
          </xdr:cNvSpPr>
        </xdr:nvSpPr>
        <xdr:spPr bwMode="auto">
          <a:xfrm>
            <a:off x="-214166" y="32337237"/>
            <a:ext cx="0" cy="172810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 type="triangle" w="med" len="med"/>
          </a:ln>
        </xdr:spPr>
      </xdr:sp>
      <xdr:sp macro="" textlink="">
        <xdr:nvSpPr>
          <xdr:cNvPr id="287" name="Line 2899">
            <a:extLst>
              <a:ext uri="{FF2B5EF4-FFF2-40B4-BE49-F238E27FC236}">
                <a16:creationId xmlns:a16="http://schemas.microsoft.com/office/drawing/2014/main" id="{00000000-0008-0000-0000-00001F010000}"/>
              </a:ext>
            </a:extLst>
          </xdr:cNvPr>
          <xdr:cNvSpPr>
            <a:spLocks noChangeShapeType="1"/>
          </xdr:cNvSpPr>
        </xdr:nvSpPr>
        <xdr:spPr bwMode="auto">
          <a:xfrm>
            <a:off x="-212230" y="32776744"/>
            <a:ext cx="0" cy="194581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 type="triangle" w="med" len="med"/>
          </a:ln>
        </xdr:spPr>
        <xdr:txBody>
          <a:bodyPr/>
          <a:lstStyle/>
          <a:p>
            <a:endParaRPr lang="en-US"/>
          </a:p>
        </xdr:txBody>
      </xdr:sp>
      <xdr:sp macro="" textlink="">
        <xdr:nvSpPr>
          <xdr:cNvPr id="288" name="Line 2900">
            <a:extLst>
              <a:ext uri="{FF2B5EF4-FFF2-40B4-BE49-F238E27FC236}">
                <a16:creationId xmlns:a16="http://schemas.microsoft.com/office/drawing/2014/main" id="{00000000-0008-0000-0000-000020010000}"/>
              </a:ext>
            </a:extLst>
          </xdr:cNvPr>
          <xdr:cNvSpPr>
            <a:spLocks noChangeShapeType="1"/>
          </xdr:cNvSpPr>
        </xdr:nvSpPr>
        <xdr:spPr bwMode="auto">
          <a:xfrm>
            <a:off x="-213253" y="32520807"/>
            <a:ext cx="0" cy="204107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 type="triangle" w="med" len="med"/>
          </a:ln>
        </xdr:spPr>
      </xdr:sp>
    </xdr:grpSp>
    <xdr:clientData/>
  </xdr:twoCellAnchor>
  <xdr:twoCellAnchor>
    <xdr:from>
      <xdr:col>10</xdr:col>
      <xdr:colOff>104775</xdr:colOff>
      <xdr:row>238</xdr:row>
      <xdr:rowOff>28575</xdr:rowOff>
    </xdr:from>
    <xdr:to>
      <xdr:col>10</xdr:col>
      <xdr:colOff>257175</xdr:colOff>
      <xdr:row>238</xdr:row>
      <xdr:rowOff>190500</xdr:rowOff>
    </xdr:to>
    <xdr:sp macro="" textlink="">
      <xdr:nvSpPr>
        <xdr:cNvPr id="289" name="AutoShape 2868">
          <a:extLst>
            <a:ext uri="{FF2B5EF4-FFF2-40B4-BE49-F238E27FC236}">
              <a16:creationId xmlns:a16="http://schemas.microsoft.com/office/drawing/2014/main" id="{00000000-0008-0000-0000-000021010000}"/>
            </a:ext>
          </a:extLst>
        </xdr:cNvPr>
        <xdr:cNvSpPr>
          <a:spLocks noChangeArrowheads="1"/>
        </xdr:cNvSpPr>
      </xdr:nvSpPr>
      <xdr:spPr bwMode="auto">
        <a:xfrm>
          <a:off x="7388599" y="33679840"/>
          <a:ext cx="152400" cy="161925"/>
        </a:xfrm>
        <a:prstGeom prst="curvedLeftArrow">
          <a:avLst>
            <a:gd name="adj1" fmla="val 1259"/>
            <a:gd name="adj2" fmla="val 42500"/>
            <a:gd name="adj3" fmla="val 33333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95250</xdr:colOff>
          <xdr:row>247</xdr:row>
          <xdr:rowOff>38100</xdr:rowOff>
        </xdr:from>
        <xdr:to>
          <xdr:col>7</xdr:col>
          <xdr:colOff>285750</xdr:colOff>
          <xdr:row>250</xdr:row>
          <xdr:rowOff>142875</xdr:rowOff>
        </xdr:to>
        <xdr:sp macro="" textlink="">
          <xdr:nvSpPr>
            <xdr:cNvPr id="337600" name="Object 231104" hidden="1">
              <a:extLst>
                <a:ext uri="{63B3BB69-23CF-44E3-9099-C40C66FF867C}">
                  <a14:compatExt spid="_x0000_s337600"/>
                </a:ext>
                <a:ext uri="{FF2B5EF4-FFF2-40B4-BE49-F238E27FC236}">
                  <a16:creationId xmlns:a16="http://schemas.microsoft.com/office/drawing/2014/main" id="{00000000-0008-0000-0000-0000C02605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251</xdr:row>
          <xdr:rowOff>9525</xdr:rowOff>
        </xdr:from>
        <xdr:to>
          <xdr:col>0</xdr:col>
          <xdr:colOff>438150</xdr:colOff>
          <xdr:row>252</xdr:row>
          <xdr:rowOff>9525</xdr:rowOff>
        </xdr:to>
        <xdr:sp macro="" textlink="">
          <xdr:nvSpPr>
            <xdr:cNvPr id="337601" name="Object 231105" hidden="1">
              <a:extLst>
                <a:ext uri="{63B3BB69-23CF-44E3-9099-C40C66FF867C}">
                  <a14:compatExt spid="_x0000_s337601"/>
                </a:ext>
                <a:ext uri="{FF2B5EF4-FFF2-40B4-BE49-F238E27FC236}">
                  <a16:creationId xmlns:a16="http://schemas.microsoft.com/office/drawing/2014/main" id="{00000000-0008-0000-0000-0000C12605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333375</xdr:colOff>
          <xdr:row>251</xdr:row>
          <xdr:rowOff>0</xdr:rowOff>
        </xdr:from>
        <xdr:to>
          <xdr:col>2</xdr:col>
          <xdr:colOff>304800</xdr:colOff>
          <xdr:row>252</xdr:row>
          <xdr:rowOff>0</xdr:rowOff>
        </xdr:to>
        <xdr:sp macro="" textlink="">
          <xdr:nvSpPr>
            <xdr:cNvPr id="337602" name="Object 231106" hidden="1">
              <a:extLst>
                <a:ext uri="{63B3BB69-23CF-44E3-9099-C40C66FF867C}">
                  <a14:compatExt spid="_x0000_s337602"/>
                </a:ext>
                <a:ext uri="{FF2B5EF4-FFF2-40B4-BE49-F238E27FC236}">
                  <a16:creationId xmlns:a16="http://schemas.microsoft.com/office/drawing/2014/main" id="{00000000-0008-0000-0000-0000C22605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295275</xdr:colOff>
          <xdr:row>255</xdr:row>
          <xdr:rowOff>19050</xdr:rowOff>
        </xdr:from>
        <xdr:to>
          <xdr:col>6</xdr:col>
          <xdr:colOff>104775</xdr:colOff>
          <xdr:row>255</xdr:row>
          <xdr:rowOff>419100</xdr:rowOff>
        </xdr:to>
        <xdr:sp macro="" textlink="">
          <xdr:nvSpPr>
            <xdr:cNvPr id="337603" name="Object 231107" hidden="1">
              <a:extLst>
                <a:ext uri="{63B3BB69-23CF-44E3-9099-C40C66FF867C}">
                  <a14:compatExt spid="_x0000_s337603"/>
                </a:ext>
                <a:ext uri="{FF2B5EF4-FFF2-40B4-BE49-F238E27FC236}">
                  <a16:creationId xmlns:a16="http://schemas.microsoft.com/office/drawing/2014/main" id="{00000000-0008-0000-0000-0000C32605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228600</xdr:colOff>
          <xdr:row>259</xdr:row>
          <xdr:rowOff>171450</xdr:rowOff>
        </xdr:from>
        <xdr:to>
          <xdr:col>6</xdr:col>
          <xdr:colOff>371475</xdr:colOff>
          <xdr:row>261</xdr:row>
          <xdr:rowOff>9525</xdr:rowOff>
        </xdr:to>
        <xdr:sp macro="" textlink="">
          <xdr:nvSpPr>
            <xdr:cNvPr id="337604" name="Object 231108" hidden="1">
              <a:extLst>
                <a:ext uri="{63B3BB69-23CF-44E3-9099-C40C66FF867C}">
                  <a14:compatExt spid="_x0000_s337604"/>
                </a:ext>
                <a:ext uri="{FF2B5EF4-FFF2-40B4-BE49-F238E27FC236}">
                  <a16:creationId xmlns:a16="http://schemas.microsoft.com/office/drawing/2014/main" id="{00000000-0008-0000-0000-0000C42605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twoCellAnchor>
    <xdr:from>
      <xdr:col>3</xdr:col>
      <xdr:colOff>1093391</xdr:colOff>
      <xdr:row>241</xdr:row>
      <xdr:rowOff>9611</xdr:rowOff>
    </xdr:from>
    <xdr:to>
      <xdr:col>3</xdr:col>
      <xdr:colOff>1093391</xdr:colOff>
      <xdr:row>241</xdr:row>
      <xdr:rowOff>181061</xdr:rowOff>
    </xdr:to>
    <xdr:cxnSp macro="">
      <xdr:nvCxnSpPr>
        <xdr:cNvPr id="290" name="3776 Düz Bağlayıcı">
          <a:extLst>
            <a:ext uri="{FF2B5EF4-FFF2-40B4-BE49-F238E27FC236}">
              <a16:creationId xmlns:a16="http://schemas.microsoft.com/office/drawing/2014/main" id="{00000000-0008-0000-0000-000022010000}"/>
            </a:ext>
          </a:extLst>
        </xdr:cNvPr>
        <xdr:cNvCxnSpPr>
          <a:cxnSpLocks noChangeShapeType="1"/>
        </xdr:cNvCxnSpPr>
      </xdr:nvCxnSpPr>
      <xdr:spPr bwMode="auto">
        <a:xfrm rot="5400000">
          <a:off x="3304872" y="34150012"/>
          <a:ext cx="1714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10</xdr:col>
      <xdr:colOff>111264</xdr:colOff>
      <xdr:row>232</xdr:row>
      <xdr:rowOff>44380</xdr:rowOff>
    </xdr:from>
    <xdr:to>
      <xdr:col>10</xdr:col>
      <xdr:colOff>272038</xdr:colOff>
      <xdr:row>232</xdr:row>
      <xdr:rowOff>196780</xdr:rowOff>
    </xdr:to>
    <xdr:sp macro="" textlink="">
      <xdr:nvSpPr>
        <xdr:cNvPr id="291" name="AutoShape 2829">
          <a:extLst>
            <a:ext uri="{FF2B5EF4-FFF2-40B4-BE49-F238E27FC236}">
              <a16:creationId xmlns:a16="http://schemas.microsoft.com/office/drawing/2014/main" id="{00000000-0008-0000-0000-000023010000}"/>
            </a:ext>
          </a:extLst>
        </xdr:cNvPr>
        <xdr:cNvSpPr>
          <a:spLocks noChangeArrowheads="1"/>
        </xdr:cNvSpPr>
      </xdr:nvSpPr>
      <xdr:spPr bwMode="auto">
        <a:xfrm>
          <a:off x="7377478" y="43287880"/>
          <a:ext cx="160774" cy="152400"/>
        </a:xfrm>
        <a:prstGeom prst="curvedLeftArrow">
          <a:avLst>
            <a:gd name="adj1" fmla="val 1185"/>
            <a:gd name="adj2" fmla="val 40000"/>
            <a:gd name="adj3" fmla="val 33333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9</xdr:col>
      <xdr:colOff>433551</xdr:colOff>
      <xdr:row>231</xdr:row>
      <xdr:rowOff>32845</xdr:rowOff>
    </xdr:from>
    <xdr:to>
      <xdr:col>10</xdr:col>
      <xdr:colOff>90651</xdr:colOff>
      <xdr:row>231</xdr:row>
      <xdr:rowOff>175720</xdr:rowOff>
    </xdr:to>
    <xdr:sp macro="" textlink="">
      <xdr:nvSpPr>
        <xdr:cNvPr id="292" name="AutoShape 2835">
          <a:extLst>
            <a:ext uri="{FF2B5EF4-FFF2-40B4-BE49-F238E27FC236}">
              <a16:creationId xmlns:a16="http://schemas.microsoft.com/office/drawing/2014/main" id="{00000000-0008-0000-0000-000024010000}"/>
            </a:ext>
          </a:extLst>
        </xdr:cNvPr>
        <xdr:cNvSpPr>
          <a:spLocks noChangeArrowheads="1"/>
        </xdr:cNvSpPr>
      </xdr:nvSpPr>
      <xdr:spPr bwMode="auto">
        <a:xfrm>
          <a:off x="6977786" y="32675580"/>
          <a:ext cx="396689" cy="142875"/>
        </a:xfrm>
        <a:prstGeom prst="curvedRightArrow">
          <a:avLst>
            <a:gd name="adj1" fmla="val 1185"/>
            <a:gd name="adj2" fmla="val 40000"/>
            <a:gd name="adj3" fmla="val 44444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9</xdr:col>
      <xdr:colOff>549088</xdr:colOff>
      <xdr:row>239</xdr:row>
      <xdr:rowOff>33617</xdr:rowOff>
    </xdr:from>
    <xdr:to>
      <xdr:col>10</xdr:col>
      <xdr:colOff>206188</xdr:colOff>
      <xdr:row>239</xdr:row>
      <xdr:rowOff>176492</xdr:rowOff>
    </xdr:to>
    <xdr:sp macro="" textlink="">
      <xdr:nvSpPr>
        <xdr:cNvPr id="293" name="AutoShape 2835">
          <a:extLst>
            <a:ext uri="{FF2B5EF4-FFF2-40B4-BE49-F238E27FC236}">
              <a16:creationId xmlns:a16="http://schemas.microsoft.com/office/drawing/2014/main" id="{00000000-0008-0000-0000-000025010000}"/>
            </a:ext>
          </a:extLst>
        </xdr:cNvPr>
        <xdr:cNvSpPr>
          <a:spLocks noChangeArrowheads="1"/>
        </xdr:cNvSpPr>
      </xdr:nvSpPr>
      <xdr:spPr bwMode="auto">
        <a:xfrm>
          <a:off x="7093323" y="33886588"/>
          <a:ext cx="396689" cy="142875"/>
        </a:xfrm>
        <a:prstGeom prst="curvedRightArrow">
          <a:avLst>
            <a:gd name="adj1" fmla="val 1185"/>
            <a:gd name="adj2" fmla="val 40000"/>
            <a:gd name="adj3" fmla="val 44444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</xdr:col>
      <xdr:colOff>1099684</xdr:colOff>
      <xdr:row>239</xdr:row>
      <xdr:rowOff>23232</xdr:rowOff>
    </xdr:from>
    <xdr:to>
      <xdr:col>3</xdr:col>
      <xdr:colOff>1099684</xdr:colOff>
      <xdr:row>239</xdr:row>
      <xdr:rowOff>193001</xdr:rowOff>
    </xdr:to>
    <xdr:cxnSp macro="">
      <xdr:nvCxnSpPr>
        <xdr:cNvPr id="294" name="3776 Düz Bağlayıcı">
          <a:extLst>
            <a:ext uri="{FF2B5EF4-FFF2-40B4-BE49-F238E27FC236}">
              <a16:creationId xmlns:a16="http://schemas.microsoft.com/office/drawing/2014/main" id="{00000000-0008-0000-0000-000026010000}"/>
            </a:ext>
          </a:extLst>
        </xdr:cNvPr>
        <xdr:cNvCxnSpPr>
          <a:cxnSpLocks noChangeShapeType="1"/>
        </xdr:cNvCxnSpPr>
      </xdr:nvCxnSpPr>
      <xdr:spPr bwMode="auto">
        <a:xfrm rot="5400000">
          <a:off x="3312005" y="33961088"/>
          <a:ext cx="169769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3</xdr:col>
      <xdr:colOff>952500</xdr:colOff>
      <xdr:row>232</xdr:row>
      <xdr:rowOff>114300</xdr:rowOff>
    </xdr:from>
    <xdr:to>
      <xdr:col>4</xdr:col>
      <xdr:colOff>33131</xdr:colOff>
      <xdr:row>232</xdr:row>
      <xdr:rowOff>114300</xdr:rowOff>
    </xdr:to>
    <xdr:cxnSp macro="">
      <xdr:nvCxnSpPr>
        <xdr:cNvPr id="296" name="Straight Arrow Connector 295">
          <a:extLst>
            <a:ext uri="{FF2B5EF4-FFF2-40B4-BE49-F238E27FC236}">
              <a16:creationId xmlns:a16="http://schemas.microsoft.com/office/drawing/2014/main" id="{00000000-0008-0000-0000-000028010000}"/>
            </a:ext>
          </a:extLst>
        </xdr:cNvPr>
        <xdr:cNvCxnSpPr/>
      </xdr:nvCxnSpPr>
      <xdr:spPr bwMode="auto">
        <a:xfrm>
          <a:off x="3249706" y="32958741"/>
          <a:ext cx="324484" cy="0"/>
        </a:xfrm>
        <a:prstGeom prst="straightConnector1">
          <a:avLst/>
        </a:pr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triangle"/>
        </a:ln>
        <a:effectLst/>
      </xdr:spPr>
    </xdr:cxnSp>
    <xdr:clientData/>
  </xdr:twoCellAnchor>
  <xdr:twoCellAnchor>
    <xdr:from>
      <xdr:col>3</xdr:col>
      <xdr:colOff>952500</xdr:colOff>
      <xdr:row>233</xdr:row>
      <xdr:rowOff>114300</xdr:rowOff>
    </xdr:from>
    <xdr:to>
      <xdr:col>4</xdr:col>
      <xdr:colOff>33131</xdr:colOff>
      <xdr:row>233</xdr:row>
      <xdr:rowOff>114300</xdr:rowOff>
    </xdr:to>
    <xdr:cxnSp macro="">
      <xdr:nvCxnSpPr>
        <xdr:cNvPr id="297" name="Straight Arrow Connector 296">
          <a:extLst>
            <a:ext uri="{FF2B5EF4-FFF2-40B4-BE49-F238E27FC236}">
              <a16:creationId xmlns:a16="http://schemas.microsoft.com/office/drawing/2014/main" id="{00000000-0008-0000-0000-000029010000}"/>
            </a:ext>
          </a:extLst>
        </xdr:cNvPr>
        <xdr:cNvCxnSpPr/>
      </xdr:nvCxnSpPr>
      <xdr:spPr bwMode="auto">
        <a:xfrm>
          <a:off x="3249706" y="33160447"/>
          <a:ext cx="324484" cy="0"/>
        </a:xfrm>
        <a:prstGeom prst="straightConnector1">
          <a:avLst/>
        </a:pr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triangle"/>
        </a:ln>
        <a:effectLst/>
      </xdr:spPr>
    </xdr:cxnSp>
    <xdr:clientData/>
  </xdr:twoCellAnchor>
  <xdr:twoCellAnchor>
    <xdr:from>
      <xdr:col>3</xdr:col>
      <xdr:colOff>952500</xdr:colOff>
      <xdr:row>234</xdr:row>
      <xdr:rowOff>104775</xdr:rowOff>
    </xdr:from>
    <xdr:to>
      <xdr:col>4</xdr:col>
      <xdr:colOff>33131</xdr:colOff>
      <xdr:row>234</xdr:row>
      <xdr:rowOff>104775</xdr:rowOff>
    </xdr:to>
    <xdr:cxnSp macro="">
      <xdr:nvCxnSpPr>
        <xdr:cNvPr id="298" name="Straight Arrow Connector 297">
          <a:extLst>
            <a:ext uri="{FF2B5EF4-FFF2-40B4-BE49-F238E27FC236}">
              <a16:creationId xmlns:a16="http://schemas.microsoft.com/office/drawing/2014/main" id="{00000000-0008-0000-0000-00002A010000}"/>
            </a:ext>
          </a:extLst>
        </xdr:cNvPr>
        <xdr:cNvCxnSpPr/>
      </xdr:nvCxnSpPr>
      <xdr:spPr bwMode="auto">
        <a:xfrm>
          <a:off x="3249706" y="33352628"/>
          <a:ext cx="324484" cy="0"/>
        </a:xfrm>
        <a:prstGeom prst="straightConnector1">
          <a:avLst/>
        </a:pr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triangle"/>
        </a:ln>
        <a:effectLst/>
      </xdr:spPr>
    </xdr:cxnSp>
    <xdr:clientData/>
  </xdr:twoCellAnchor>
  <xdr:twoCellAnchor>
    <xdr:from>
      <xdr:col>3</xdr:col>
      <xdr:colOff>962025</xdr:colOff>
      <xdr:row>235</xdr:row>
      <xdr:rowOff>104775</xdr:rowOff>
    </xdr:from>
    <xdr:to>
      <xdr:col>4</xdr:col>
      <xdr:colOff>42656</xdr:colOff>
      <xdr:row>235</xdr:row>
      <xdr:rowOff>104775</xdr:rowOff>
    </xdr:to>
    <xdr:cxnSp macro="">
      <xdr:nvCxnSpPr>
        <xdr:cNvPr id="299" name="Straight Arrow Connector 298">
          <a:extLst>
            <a:ext uri="{FF2B5EF4-FFF2-40B4-BE49-F238E27FC236}">
              <a16:creationId xmlns:a16="http://schemas.microsoft.com/office/drawing/2014/main" id="{00000000-0008-0000-0000-00002B010000}"/>
            </a:ext>
          </a:extLst>
        </xdr:cNvPr>
        <xdr:cNvCxnSpPr/>
      </xdr:nvCxnSpPr>
      <xdr:spPr bwMode="auto">
        <a:xfrm>
          <a:off x="3259231" y="33554334"/>
          <a:ext cx="324484" cy="0"/>
        </a:xfrm>
        <a:prstGeom prst="straightConnector1">
          <a:avLst/>
        </a:pr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triangle"/>
        </a:ln>
        <a:effectLst/>
      </xdr:spPr>
    </xdr:cxnSp>
    <xdr:clientData/>
  </xdr:twoCellAnchor>
  <xdr:twoCellAnchor>
    <xdr:from>
      <xdr:col>3</xdr:col>
      <xdr:colOff>942975</xdr:colOff>
      <xdr:row>238</xdr:row>
      <xdr:rowOff>104775</xdr:rowOff>
    </xdr:from>
    <xdr:to>
      <xdr:col>4</xdr:col>
      <xdr:colOff>23606</xdr:colOff>
      <xdr:row>238</xdr:row>
      <xdr:rowOff>104775</xdr:rowOff>
    </xdr:to>
    <xdr:cxnSp macro="">
      <xdr:nvCxnSpPr>
        <xdr:cNvPr id="300" name="Straight Arrow Connector 299">
          <a:extLst>
            <a:ext uri="{FF2B5EF4-FFF2-40B4-BE49-F238E27FC236}">
              <a16:creationId xmlns:a16="http://schemas.microsoft.com/office/drawing/2014/main" id="{00000000-0008-0000-0000-00002C010000}"/>
            </a:ext>
          </a:extLst>
        </xdr:cNvPr>
        <xdr:cNvCxnSpPr/>
      </xdr:nvCxnSpPr>
      <xdr:spPr bwMode="auto">
        <a:xfrm>
          <a:off x="3240181" y="33756040"/>
          <a:ext cx="324484" cy="0"/>
        </a:xfrm>
        <a:prstGeom prst="straightConnector1">
          <a:avLst/>
        </a:pr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triangle"/>
        </a:ln>
        <a:effectLst/>
      </xdr:spPr>
    </xdr:cxnSp>
    <xdr:clientData/>
  </xdr:twoCellAnchor>
  <xdr:twoCellAnchor>
    <xdr:from>
      <xdr:col>3</xdr:col>
      <xdr:colOff>933450</xdr:colOff>
      <xdr:row>242</xdr:row>
      <xdr:rowOff>114300</xdr:rowOff>
    </xdr:from>
    <xdr:to>
      <xdr:col>4</xdr:col>
      <xdr:colOff>30646</xdr:colOff>
      <xdr:row>242</xdr:row>
      <xdr:rowOff>114301</xdr:rowOff>
    </xdr:to>
    <xdr:cxnSp macro="">
      <xdr:nvCxnSpPr>
        <xdr:cNvPr id="301" name="Straight Arrow Connector 300">
          <a:extLst>
            <a:ext uri="{FF2B5EF4-FFF2-40B4-BE49-F238E27FC236}">
              <a16:creationId xmlns:a16="http://schemas.microsoft.com/office/drawing/2014/main" id="{00000000-0008-0000-0000-00002D010000}"/>
            </a:ext>
          </a:extLst>
        </xdr:cNvPr>
        <xdr:cNvCxnSpPr/>
      </xdr:nvCxnSpPr>
      <xdr:spPr bwMode="auto">
        <a:xfrm flipH="1" flipV="1">
          <a:off x="3230656" y="34370682"/>
          <a:ext cx="341049" cy="1"/>
        </a:xfrm>
        <a:prstGeom prst="straightConnector1">
          <a:avLst/>
        </a:pr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triangle"/>
        </a:ln>
        <a:effectLst/>
      </xdr:spPr>
    </xdr:cxnSp>
    <xdr:clientData/>
  </xdr:twoCellAnchor>
  <xdr:twoCellAnchor>
    <xdr:from>
      <xdr:col>3</xdr:col>
      <xdr:colOff>962025</xdr:colOff>
      <xdr:row>243</xdr:row>
      <xdr:rowOff>133350</xdr:rowOff>
    </xdr:from>
    <xdr:to>
      <xdr:col>4</xdr:col>
      <xdr:colOff>59221</xdr:colOff>
      <xdr:row>243</xdr:row>
      <xdr:rowOff>133351</xdr:rowOff>
    </xdr:to>
    <xdr:cxnSp macro="">
      <xdr:nvCxnSpPr>
        <xdr:cNvPr id="302" name="Straight Arrow Connector 301">
          <a:extLst>
            <a:ext uri="{FF2B5EF4-FFF2-40B4-BE49-F238E27FC236}">
              <a16:creationId xmlns:a16="http://schemas.microsoft.com/office/drawing/2014/main" id="{00000000-0008-0000-0000-00002E010000}"/>
            </a:ext>
          </a:extLst>
        </xdr:cNvPr>
        <xdr:cNvCxnSpPr/>
      </xdr:nvCxnSpPr>
      <xdr:spPr bwMode="auto">
        <a:xfrm flipH="1" flipV="1">
          <a:off x="3259231" y="34591438"/>
          <a:ext cx="341049" cy="1"/>
        </a:xfrm>
        <a:prstGeom prst="straightConnector1">
          <a:avLst/>
        </a:pr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triangle"/>
        </a:ln>
        <a:effectLst/>
      </xdr:spPr>
    </xdr:cxn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266700</xdr:colOff>
          <xdr:row>202</xdr:row>
          <xdr:rowOff>161925</xdr:rowOff>
        </xdr:from>
        <xdr:to>
          <xdr:col>8</xdr:col>
          <xdr:colOff>371475</xdr:colOff>
          <xdr:row>225</xdr:row>
          <xdr:rowOff>85725</xdr:rowOff>
        </xdr:to>
        <xdr:sp macro="" textlink="">
          <xdr:nvSpPr>
            <xdr:cNvPr id="337605" name="Object 231109" hidden="1">
              <a:extLst>
                <a:ext uri="{63B3BB69-23CF-44E3-9099-C40C66FF867C}">
                  <a14:compatExt spid="_x0000_s337605"/>
                </a:ext>
                <a:ext uri="{FF2B5EF4-FFF2-40B4-BE49-F238E27FC236}">
                  <a16:creationId xmlns:a16="http://schemas.microsoft.com/office/drawing/2014/main" id="{00000000-0008-0000-0000-0000C52605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3</xdr:col>
      <xdr:colOff>1085995</xdr:colOff>
      <xdr:row>231</xdr:row>
      <xdr:rowOff>11206</xdr:rowOff>
    </xdr:from>
    <xdr:to>
      <xdr:col>3</xdr:col>
      <xdr:colOff>1085995</xdr:colOff>
      <xdr:row>231</xdr:row>
      <xdr:rowOff>190939</xdr:rowOff>
    </xdr:to>
    <xdr:sp macro="" textlink="">
      <xdr:nvSpPr>
        <xdr:cNvPr id="304" name="Line 2881">
          <a:extLst>
            <a:ext uri="{FF2B5EF4-FFF2-40B4-BE49-F238E27FC236}">
              <a16:creationId xmlns:a16="http://schemas.microsoft.com/office/drawing/2014/main" id="{00000000-0008-0000-0000-000030010000}"/>
            </a:ext>
          </a:extLst>
        </xdr:cNvPr>
        <xdr:cNvSpPr>
          <a:spLocks noChangeShapeType="1"/>
        </xdr:cNvSpPr>
      </xdr:nvSpPr>
      <xdr:spPr bwMode="auto">
        <a:xfrm>
          <a:off x="3383201" y="43053000"/>
          <a:ext cx="0" cy="179733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xdr:twoCellAnchor>
    <xdr:from>
      <xdr:col>3</xdr:col>
      <xdr:colOff>1086970</xdr:colOff>
      <xdr:row>173</xdr:row>
      <xdr:rowOff>33618</xdr:rowOff>
    </xdr:from>
    <xdr:to>
      <xdr:col>3</xdr:col>
      <xdr:colOff>1086970</xdr:colOff>
      <xdr:row>174</xdr:row>
      <xdr:rowOff>1681</xdr:rowOff>
    </xdr:to>
    <xdr:cxnSp macro="">
      <xdr:nvCxnSpPr>
        <xdr:cNvPr id="305" name="3776 Düz Bağlayıcı">
          <a:extLst>
            <a:ext uri="{FF2B5EF4-FFF2-40B4-BE49-F238E27FC236}">
              <a16:creationId xmlns:a16="http://schemas.microsoft.com/office/drawing/2014/main" id="{00000000-0008-0000-0000-000031010000}"/>
            </a:ext>
          </a:extLst>
        </xdr:cNvPr>
        <xdr:cNvCxnSpPr>
          <a:cxnSpLocks noChangeShapeType="1"/>
        </xdr:cNvCxnSpPr>
      </xdr:nvCxnSpPr>
      <xdr:spPr bwMode="auto">
        <a:xfrm rot="5400000">
          <a:off x="3299291" y="32761238"/>
          <a:ext cx="169769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9</xdr:col>
      <xdr:colOff>457200</xdr:colOff>
      <xdr:row>240</xdr:row>
      <xdr:rowOff>47625</xdr:rowOff>
    </xdr:from>
    <xdr:to>
      <xdr:col>10</xdr:col>
      <xdr:colOff>114300</xdr:colOff>
      <xdr:row>240</xdr:row>
      <xdr:rowOff>190500</xdr:rowOff>
    </xdr:to>
    <xdr:sp macro="" textlink="">
      <xdr:nvSpPr>
        <xdr:cNvPr id="308" name="AutoShape 2852">
          <a:extLst>
            <a:ext uri="{FF2B5EF4-FFF2-40B4-BE49-F238E27FC236}">
              <a16:creationId xmlns:a16="http://schemas.microsoft.com/office/drawing/2014/main" id="{00000000-0008-0000-0000-000034010000}"/>
            </a:ext>
          </a:extLst>
        </xdr:cNvPr>
        <xdr:cNvSpPr>
          <a:spLocks noChangeArrowheads="1"/>
        </xdr:cNvSpPr>
      </xdr:nvSpPr>
      <xdr:spPr bwMode="auto">
        <a:xfrm>
          <a:off x="7001435" y="67574272"/>
          <a:ext cx="396689" cy="142875"/>
        </a:xfrm>
        <a:prstGeom prst="curvedRightArrow">
          <a:avLst>
            <a:gd name="adj1" fmla="val 1185"/>
            <a:gd name="adj2" fmla="val 40000"/>
            <a:gd name="adj3" fmla="val 44444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</xdr:col>
      <xdr:colOff>896470</xdr:colOff>
      <xdr:row>240</xdr:row>
      <xdr:rowOff>112059</xdr:rowOff>
    </xdr:from>
    <xdr:to>
      <xdr:col>3</xdr:col>
      <xdr:colOff>1237519</xdr:colOff>
      <xdr:row>240</xdr:row>
      <xdr:rowOff>112060</xdr:rowOff>
    </xdr:to>
    <xdr:cxnSp macro="">
      <xdr:nvCxnSpPr>
        <xdr:cNvPr id="309" name="Straight Arrow Connector 308">
          <a:extLst>
            <a:ext uri="{FF2B5EF4-FFF2-40B4-BE49-F238E27FC236}">
              <a16:creationId xmlns:a16="http://schemas.microsoft.com/office/drawing/2014/main" id="{00000000-0008-0000-0000-000035010000}"/>
            </a:ext>
          </a:extLst>
        </xdr:cNvPr>
        <xdr:cNvCxnSpPr/>
      </xdr:nvCxnSpPr>
      <xdr:spPr bwMode="auto">
        <a:xfrm flipH="1" flipV="1">
          <a:off x="3193676" y="44565794"/>
          <a:ext cx="341049" cy="1"/>
        </a:xfrm>
        <a:prstGeom prst="straightConnector1">
          <a:avLst/>
        </a:pr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triangle"/>
        </a:ln>
        <a:effectLst/>
      </xdr:spPr>
    </xdr:cxnSp>
    <xdr:clientData/>
  </xdr:twoCellAnchor>
  <xdr:twoCellAnchor>
    <xdr:from>
      <xdr:col>1</xdr:col>
      <xdr:colOff>337858</xdr:colOff>
      <xdr:row>1</xdr:row>
      <xdr:rowOff>82364</xdr:rowOff>
    </xdr:from>
    <xdr:to>
      <xdr:col>1</xdr:col>
      <xdr:colOff>528567</xdr:colOff>
      <xdr:row>2</xdr:row>
      <xdr:rowOff>158048</xdr:rowOff>
    </xdr:to>
    <xdr:sp macro="" textlink="">
      <xdr:nvSpPr>
        <xdr:cNvPr id="310" name="3744 Metin kutusu">
          <a:extLst>
            <a:ext uri="{FF2B5EF4-FFF2-40B4-BE49-F238E27FC236}">
              <a16:creationId xmlns:a16="http://schemas.microsoft.com/office/drawing/2014/main" id="{00000000-0008-0000-0000-000036010000}"/>
            </a:ext>
          </a:extLst>
        </xdr:cNvPr>
        <xdr:cNvSpPr txBox="1"/>
      </xdr:nvSpPr>
      <xdr:spPr>
        <a:xfrm>
          <a:off x="819711" y="272864"/>
          <a:ext cx="190709" cy="254978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l"/>
          <a:r>
            <a:rPr lang="el-GR" sz="1100"/>
            <a:t>δ</a:t>
          </a:r>
          <a:endParaRPr lang="tr-TR" sz="1100"/>
        </a:p>
      </xdr:txBody>
    </xdr:sp>
    <xdr:clientData/>
  </xdr:twoCellAnchor>
  <xdr:twoCellAnchor>
    <xdr:from>
      <xdr:col>4</xdr:col>
      <xdr:colOff>405937</xdr:colOff>
      <xdr:row>212</xdr:row>
      <xdr:rowOff>91309</xdr:rowOff>
    </xdr:from>
    <xdr:to>
      <xdr:col>5</xdr:col>
      <xdr:colOff>62950</xdr:colOff>
      <xdr:row>213</xdr:row>
      <xdr:rowOff>166994</xdr:rowOff>
    </xdr:to>
    <xdr:sp macro="" textlink="">
      <xdr:nvSpPr>
        <xdr:cNvPr id="311" name="3744 Metin kutusu">
          <a:extLst>
            <a:ext uri="{FF2B5EF4-FFF2-40B4-BE49-F238E27FC236}">
              <a16:creationId xmlns:a16="http://schemas.microsoft.com/office/drawing/2014/main" id="{00000000-0008-0000-0000-000037010000}"/>
            </a:ext>
          </a:extLst>
        </xdr:cNvPr>
        <xdr:cNvSpPr txBox="1"/>
      </xdr:nvSpPr>
      <xdr:spPr>
        <a:xfrm>
          <a:off x="3930187" y="39864988"/>
          <a:ext cx="187692" cy="25257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l"/>
          <a:r>
            <a:rPr lang="el-GR" sz="1100"/>
            <a:t>δ</a:t>
          </a:r>
          <a:endParaRPr lang="tr-TR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304800</xdr:colOff>
          <xdr:row>146</xdr:row>
          <xdr:rowOff>85725</xdr:rowOff>
        </xdr:from>
        <xdr:to>
          <xdr:col>9</xdr:col>
          <xdr:colOff>247650</xdr:colOff>
          <xdr:row>167</xdr:row>
          <xdr:rowOff>133350</xdr:rowOff>
        </xdr:to>
        <xdr:sp macro="" textlink="">
          <xdr:nvSpPr>
            <xdr:cNvPr id="337606" name="Object 231110" hidden="1">
              <a:extLst>
                <a:ext uri="{63B3BB69-23CF-44E3-9099-C40C66FF867C}">
                  <a14:compatExt spid="_x0000_s337606"/>
                </a:ext>
                <a:ext uri="{FF2B5EF4-FFF2-40B4-BE49-F238E27FC236}">
                  <a16:creationId xmlns:a16="http://schemas.microsoft.com/office/drawing/2014/main" id="{00000000-0008-0000-0000-0000C62605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133350</xdr:colOff>
          <xdr:row>90</xdr:row>
          <xdr:rowOff>28575</xdr:rowOff>
        </xdr:from>
        <xdr:to>
          <xdr:col>8</xdr:col>
          <xdr:colOff>676275</xdr:colOff>
          <xdr:row>110</xdr:row>
          <xdr:rowOff>85725</xdr:rowOff>
        </xdr:to>
        <xdr:sp macro="" textlink="">
          <xdr:nvSpPr>
            <xdr:cNvPr id="337607" name="Object 231111" hidden="1">
              <a:extLst>
                <a:ext uri="{63B3BB69-23CF-44E3-9099-C40C66FF867C}">
                  <a14:compatExt spid="_x0000_s337607"/>
                </a:ext>
                <a:ext uri="{FF2B5EF4-FFF2-40B4-BE49-F238E27FC236}">
                  <a16:creationId xmlns:a16="http://schemas.microsoft.com/office/drawing/2014/main" id="{00000000-0008-0000-0000-0000C72605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295275</xdr:colOff>
          <xdr:row>265</xdr:row>
          <xdr:rowOff>28575</xdr:rowOff>
        </xdr:from>
        <xdr:to>
          <xdr:col>8</xdr:col>
          <xdr:colOff>523875</xdr:colOff>
          <xdr:row>281</xdr:row>
          <xdr:rowOff>180975</xdr:rowOff>
        </xdr:to>
        <xdr:sp macro="" textlink="">
          <xdr:nvSpPr>
            <xdr:cNvPr id="337608" name="Object 231112" hidden="1">
              <a:extLst>
                <a:ext uri="{63B3BB69-23CF-44E3-9099-C40C66FF867C}">
                  <a14:compatExt spid="_x0000_s337608"/>
                </a:ext>
                <a:ext uri="{FF2B5EF4-FFF2-40B4-BE49-F238E27FC236}">
                  <a16:creationId xmlns:a16="http://schemas.microsoft.com/office/drawing/2014/main" id="{00000000-0008-0000-0000-0000C82605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133350</xdr:colOff>
          <xdr:row>322</xdr:row>
          <xdr:rowOff>95250</xdr:rowOff>
        </xdr:from>
        <xdr:to>
          <xdr:col>9</xdr:col>
          <xdr:colOff>114300</xdr:colOff>
          <xdr:row>333</xdr:row>
          <xdr:rowOff>66675</xdr:rowOff>
        </xdr:to>
        <xdr:sp macro="" textlink="">
          <xdr:nvSpPr>
            <xdr:cNvPr id="337610" name="Object 231114" hidden="1">
              <a:extLst>
                <a:ext uri="{63B3BB69-23CF-44E3-9099-C40C66FF867C}">
                  <a14:compatExt spid="_x0000_s337610"/>
                </a:ext>
                <a:ext uri="{FF2B5EF4-FFF2-40B4-BE49-F238E27FC236}">
                  <a16:creationId xmlns:a16="http://schemas.microsoft.com/office/drawing/2014/main" id="{00000000-0008-0000-0000-0000CA2605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2</xdr:col>
      <xdr:colOff>1064559</xdr:colOff>
      <xdr:row>377</xdr:row>
      <xdr:rowOff>44824</xdr:rowOff>
    </xdr:from>
    <xdr:to>
      <xdr:col>7</xdr:col>
      <xdr:colOff>494343</xdr:colOff>
      <xdr:row>391</xdr:row>
      <xdr:rowOff>92447</xdr:rowOff>
    </xdr:to>
    <xdr:pic>
      <xdr:nvPicPr>
        <xdr:cNvPr id="236" name="Picture 220669">
          <a:extLst>
            <a:ext uri="{FF2B5EF4-FFF2-40B4-BE49-F238E27FC236}">
              <a16:creationId xmlns:a16="http://schemas.microsoft.com/office/drawing/2014/main" id="{00000000-0008-0000-0000-0000E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84294" y="73297677"/>
          <a:ext cx="3542343" cy="255774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885825</xdr:colOff>
          <xdr:row>451</xdr:row>
          <xdr:rowOff>171450</xdr:rowOff>
        </xdr:from>
        <xdr:to>
          <xdr:col>6</xdr:col>
          <xdr:colOff>47625</xdr:colOff>
          <xdr:row>469</xdr:row>
          <xdr:rowOff>47625</xdr:rowOff>
        </xdr:to>
        <xdr:sp macro="" textlink="">
          <xdr:nvSpPr>
            <xdr:cNvPr id="337612" name="Object 231116" hidden="1">
              <a:extLst>
                <a:ext uri="{63B3BB69-23CF-44E3-9099-C40C66FF867C}">
                  <a14:compatExt spid="_x0000_s337612"/>
                </a:ext>
                <a:ext uri="{FF2B5EF4-FFF2-40B4-BE49-F238E27FC236}">
                  <a16:creationId xmlns:a16="http://schemas.microsoft.com/office/drawing/2014/main" id="{00000000-0008-0000-0000-0000CC2605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790575</xdr:colOff>
          <xdr:row>500</xdr:row>
          <xdr:rowOff>114300</xdr:rowOff>
        </xdr:from>
        <xdr:to>
          <xdr:col>9</xdr:col>
          <xdr:colOff>180975</xdr:colOff>
          <xdr:row>519</xdr:row>
          <xdr:rowOff>171450</xdr:rowOff>
        </xdr:to>
        <xdr:sp macro="" textlink="">
          <xdr:nvSpPr>
            <xdr:cNvPr id="337613" name="Object 231117" hidden="1">
              <a:extLst>
                <a:ext uri="{63B3BB69-23CF-44E3-9099-C40C66FF867C}">
                  <a14:compatExt spid="_x0000_s337613"/>
                </a:ext>
                <a:ext uri="{FF2B5EF4-FFF2-40B4-BE49-F238E27FC236}">
                  <a16:creationId xmlns:a16="http://schemas.microsoft.com/office/drawing/2014/main" id="{00000000-0008-0000-0000-0000CD2605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3</xdr:col>
      <xdr:colOff>952500</xdr:colOff>
      <xdr:row>294</xdr:row>
      <xdr:rowOff>22412</xdr:rowOff>
    </xdr:from>
    <xdr:to>
      <xdr:col>3</xdr:col>
      <xdr:colOff>952500</xdr:colOff>
      <xdr:row>294</xdr:row>
      <xdr:rowOff>193862</xdr:rowOff>
    </xdr:to>
    <xdr:cxnSp macro="">
      <xdr:nvCxnSpPr>
        <xdr:cNvPr id="246" name="3776 Düz Bağlayıcı">
          <a:extLst>
            <a:ext uri="{FF2B5EF4-FFF2-40B4-BE49-F238E27FC236}">
              <a16:creationId xmlns:a16="http://schemas.microsoft.com/office/drawing/2014/main" id="{00000000-0008-0000-0000-0000F6000000}"/>
            </a:ext>
          </a:extLst>
        </xdr:cNvPr>
        <xdr:cNvCxnSpPr>
          <a:cxnSpLocks noChangeShapeType="1"/>
        </xdr:cNvCxnSpPr>
      </xdr:nvCxnSpPr>
      <xdr:spPr bwMode="auto">
        <a:xfrm rot="5400000">
          <a:off x="3163981" y="54669578"/>
          <a:ext cx="1714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3</xdr:col>
      <xdr:colOff>974912</xdr:colOff>
      <xdr:row>296</xdr:row>
      <xdr:rowOff>22412</xdr:rowOff>
    </xdr:from>
    <xdr:to>
      <xdr:col>3</xdr:col>
      <xdr:colOff>974912</xdr:colOff>
      <xdr:row>296</xdr:row>
      <xdr:rowOff>193862</xdr:rowOff>
    </xdr:to>
    <xdr:cxnSp macro="">
      <xdr:nvCxnSpPr>
        <xdr:cNvPr id="251" name="3776 Düz Bağlayıcı">
          <a:extLst>
            <a:ext uri="{FF2B5EF4-FFF2-40B4-BE49-F238E27FC236}">
              <a16:creationId xmlns:a16="http://schemas.microsoft.com/office/drawing/2014/main" id="{00000000-0008-0000-0000-0000FB000000}"/>
            </a:ext>
          </a:extLst>
        </xdr:cNvPr>
        <xdr:cNvCxnSpPr>
          <a:cxnSpLocks noChangeShapeType="1"/>
        </xdr:cNvCxnSpPr>
      </xdr:nvCxnSpPr>
      <xdr:spPr bwMode="auto">
        <a:xfrm rot="5400000">
          <a:off x="3186393" y="55072990"/>
          <a:ext cx="1714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3</xdr:col>
      <xdr:colOff>739588</xdr:colOff>
      <xdr:row>293</xdr:row>
      <xdr:rowOff>112059</xdr:rowOff>
    </xdr:from>
    <xdr:to>
      <xdr:col>3</xdr:col>
      <xdr:colOff>1064072</xdr:colOff>
      <xdr:row>293</xdr:row>
      <xdr:rowOff>112059</xdr:rowOff>
    </xdr:to>
    <xdr:cxnSp macro="">
      <xdr:nvCxnSpPr>
        <xdr:cNvPr id="255" name="Straight Arrow Connector 254">
          <a:extLst>
            <a:ext uri="{FF2B5EF4-FFF2-40B4-BE49-F238E27FC236}">
              <a16:creationId xmlns:a16="http://schemas.microsoft.com/office/drawing/2014/main" id="{00000000-0008-0000-0000-0000FF000000}"/>
            </a:ext>
          </a:extLst>
        </xdr:cNvPr>
        <xdr:cNvCxnSpPr/>
      </xdr:nvCxnSpPr>
      <xdr:spPr bwMode="auto">
        <a:xfrm>
          <a:off x="3036794" y="54471794"/>
          <a:ext cx="324484" cy="0"/>
        </a:xfrm>
        <a:prstGeom prst="straightConnector1">
          <a:avLst/>
        </a:pr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triangle"/>
        </a:ln>
        <a:effectLst/>
      </xdr:spPr>
    </xdr:cxnSp>
    <xdr:clientData/>
  </xdr:twoCellAnchor>
  <xdr:twoCellAnchor>
    <xdr:from>
      <xdr:col>3</xdr:col>
      <xdr:colOff>773206</xdr:colOff>
      <xdr:row>295</xdr:row>
      <xdr:rowOff>100853</xdr:rowOff>
    </xdr:from>
    <xdr:to>
      <xdr:col>3</xdr:col>
      <xdr:colOff>1097690</xdr:colOff>
      <xdr:row>295</xdr:row>
      <xdr:rowOff>100853</xdr:rowOff>
    </xdr:to>
    <xdr:cxnSp macro="">
      <xdr:nvCxnSpPr>
        <xdr:cNvPr id="256" name="Straight Arrow Connector 255">
          <a:extLst>
            <a:ext uri="{FF2B5EF4-FFF2-40B4-BE49-F238E27FC236}">
              <a16:creationId xmlns:a16="http://schemas.microsoft.com/office/drawing/2014/main" id="{00000000-0008-0000-0000-000000010000}"/>
            </a:ext>
          </a:extLst>
        </xdr:cNvPr>
        <xdr:cNvCxnSpPr/>
      </xdr:nvCxnSpPr>
      <xdr:spPr bwMode="auto">
        <a:xfrm>
          <a:off x="3070412" y="54864000"/>
          <a:ext cx="324484" cy="0"/>
        </a:xfrm>
        <a:prstGeom prst="straightConnector1">
          <a:avLst/>
        </a:pr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triangle"/>
        </a:ln>
        <a:effectLst/>
      </xdr:spPr>
    </xdr:cxnSp>
    <xdr:clientData/>
  </xdr:twoCellAnchor>
  <xdr:twoCellAnchor>
    <xdr:from>
      <xdr:col>3</xdr:col>
      <xdr:colOff>762000</xdr:colOff>
      <xdr:row>300</xdr:row>
      <xdr:rowOff>123264</xdr:rowOff>
    </xdr:from>
    <xdr:to>
      <xdr:col>3</xdr:col>
      <xdr:colOff>1103049</xdr:colOff>
      <xdr:row>300</xdr:row>
      <xdr:rowOff>123265</xdr:rowOff>
    </xdr:to>
    <xdr:cxnSp macro="">
      <xdr:nvCxnSpPr>
        <xdr:cNvPr id="257" name="Straight Arrow Connector 256">
          <a:extLst>
            <a:ext uri="{FF2B5EF4-FFF2-40B4-BE49-F238E27FC236}">
              <a16:creationId xmlns:a16="http://schemas.microsoft.com/office/drawing/2014/main" id="{00000000-0008-0000-0000-000001010000}"/>
            </a:ext>
          </a:extLst>
        </xdr:cNvPr>
        <xdr:cNvCxnSpPr/>
      </xdr:nvCxnSpPr>
      <xdr:spPr bwMode="auto">
        <a:xfrm flipH="1" flipV="1">
          <a:off x="3059206" y="55491529"/>
          <a:ext cx="341049" cy="1"/>
        </a:xfrm>
        <a:prstGeom prst="straightConnector1">
          <a:avLst/>
        </a:pr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triangle"/>
        </a:ln>
        <a:effectLst/>
      </xdr:spPr>
    </xdr:cxnSp>
    <xdr:clientData/>
  </xdr:twoCellAnchor>
  <xdr:twoCellAnchor>
    <xdr:from>
      <xdr:col>3</xdr:col>
      <xdr:colOff>773206</xdr:colOff>
      <xdr:row>301</xdr:row>
      <xdr:rowOff>112059</xdr:rowOff>
    </xdr:from>
    <xdr:to>
      <xdr:col>3</xdr:col>
      <xdr:colOff>1114255</xdr:colOff>
      <xdr:row>301</xdr:row>
      <xdr:rowOff>112060</xdr:rowOff>
    </xdr:to>
    <xdr:cxnSp macro="">
      <xdr:nvCxnSpPr>
        <xdr:cNvPr id="258" name="Straight Arrow Connector 257">
          <a:extLst>
            <a:ext uri="{FF2B5EF4-FFF2-40B4-BE49-F238E27FC236}">
              <a16:creationId xmlns:a16="http://schemas.microsoft.com/office/drawing/2014/main" id="{00000000-0008-0000-0000-000002010000}"/>
            </a:ext>
          </a:extLst>
        </xdr:cNvPr>
        <xdr:cNvCxnSpPr/>
      </xdr:nvCxnSpPr>
      <xdr:spPr bwMode="auto">
        <a:xfrm flipH="1" flipV="1">
          <a:off x="3070412" y="55682030"/>
          <a:ext cx="341049" cy="1"/>
        </a:xfrm>
        <a:prstGeom prst="straightConnector1">
          <a:avLst/>
        </a:pr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triangle"/>
        </a:ln>
        <a:effectLst/>
      </xdr:spPr>
    </xdr:cxnSp>
    <xdr:clientData/>
  </xdr:twoCellAnchor>
  <xdr:twoCellAnchor>
    <xdr:from>
      <xdr:col>10</xdr:col>
      <xdr:colOff>145677</xdr:colOff>
      <xdr:row>293</xdr:row>
      <xdr:rowOff>33618</xdr:rowOff>
    </xdr:from>
    <xdr:to>
      <xdr:col>10</xdr:col>
      <xdr:colOff>298077</xdr:colOff>
      <xdr:row>293</xdr:row>
      <xdr:rowOff>186018</xdr:rowOff>
    </xdr:to>
    <xdr:sp macro="" textlink="">
      <xdr:nvSpPr>
        <xdr:cNvPr id="259" name="AutoShape 2874">
          <a:extLst>
            <a:ext uri="{FF2B5EF4-FFF2-40B4-BE49-F238E27FC236}">
              <a16:creationId xmlns:a16="http://schemas.microsoft.com/office/drawing/2014/main" id="{00000000-0008-0000-0000-000003010000}"/>
            </a:ext>
          </a:extLst>
        </xdr:cNvPr>
        <xdr:cNvSpPr>
          <a:spLocks noChangeArrowheads="1"/>
        </xdr:cNvSpPr>
      </xdr:nvSpPr>
      <xdr:spPr bwMode="auto">
        <a:xfrm>
          <a:off x="7429501" y="54393353"/>
          <a:ext cx="152400" cy="152400"/>
        </a:xfrm>
        <a:prstGeom prst="curvedLeftArrow">
          <a:avLst>
            <a:gd name="adj1" fmla="val 1259"/>
            <a:gd name="adj2" fmla="val 42500"/>
            <a:gd name="adj3" fmla="val 33333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9</xdr:col>
      <xdr:colOff>515471</xdr:colOff>
      <xdr:row>294</xdr:row>
      <xdr:rowOff>56030</xdr:rowOff>
    </xdr:from>
    <xdr:to>
      <xdr:col>10</xdr:col>
      <xdr:colOff>172571</xdr:colOff>
      <xdr:row>294</xdr:row>
      <xdr:rowOff>198905</xdr:rowOff>
    </xdr:to>
    <xdr:sp macro="" textlink="">
      <xdr:nvSpPr>
        <xdr:cNvPr id="260" name="AutoShape 2852">
          <a:extLst>
            <a:ext uri="{FF2B5EF4-FFF2-40B4-BE49-F238E27FC236}">
              <a16:creationId xmlns:a16="http://schemas.microsoft.com/office/drawing/2014/main" id="{00000000-0008-0000-0000-000004010000}"/>
            </a:ext>
          </a:extLst>
        </xdr:cNvPr>
        <xdr:cNvSpPr>
          <a:spLocks noChangeArrowheads="1"/>
        </xdr:cNvSpPr>
      </xdr:nvSpPr>
      <xdr:spPr bwMode="auto">
        <a:xfrm>
          <a:off x="7059706" y="54617471"/>
          <a:ext cx="396689" cy="142875"/>
        </a:xfrm>
        <a:prstGeom prst="curvedRightArrow">
          <a:avLst>
            <a:gd name="adj1" fmla="val 1185"/>
            <a:gd name="adj2" fmla="val 40000"/>
            <a:gd name="adj3" fmla="val 44444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9</xdr:col>
      <xdr:colOff>571500</xdr:colOff>
      <xdr:row>296</xdr:row>
      <xdr:rowOff>44823</xdr:rowOff>
    </xdr:from>
    <xdr:to>
      <xdr:col>10</xdr:col>
      <xdr:colOff>228600</xdr:colOff>
      <xdr:row>296</xdr:row>
      <xdr:rowOff>187698</xdr:rowOff>
    </xdr:to>
    <xdr:sp macro="" textlink="">
      <xdr:nvSpPr>
        <xdr:cNvPr id="261" name="AutoShape 2852">
          <a:extLst>
            <a:ext uri="{FF2B5EF4-FFF2-40B4-BE49-F238E27FC236}">
              <a16:creationId xmlns:a16="http://schemas.microsoft.com/office/drawing/2014/main" id="{00000000-0008-0000-0000-000005010000}"/>
            </a:ext>
          </a:extLst>
        </xdr:cNvPr>
        <xdr:cNvSpPr>
          <a:spLocks noChangeArrowheads="1"/>
        </xdr:cNvSpPr>
      </xdr:nvSpPr>
      <xdr:spPr bwMode="auto">
        <a:xfrm>
          <a:off x="7115735" y="55009676"/>
          <a:ext cx="396689" cy="142875"/>
        </a:xfrm>
        <a:prstGeom prst="curvedRightArrow">
          <a:avLst>
            <a:gd name="adj1" fmla="val 1185"/>
            <a:gd name="adj2" fmla="val 40000"/>
            <a:gd name="adj3" fmla="val 44444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10</xdr:col>
      <xdr:colOff>142875</xdr:colOff>
      <xdr:row>297</xdr:row>
      <xdr:rowOff>28575</xdr:rowOff>
    </xdr:from>
    <xdr:to>
      <xdr:col>10</xdr:col>
      <xdr:colOff>295275</xdr:colOff>
      <xdr:row>297</xdr:row>
      <xdr:rowOff>190500</xdr:rowOff>
    </xdr:to>
    <xdr:sp macro="" textlink="">
      <xdr:nvSpPr>
        <xdr:cNvPr id="237" name="AutoShape 2873">
          <a:extLst>
            <a:ext uri="{FF2B5EF4-FFF2-40B4-BE49-F238E27FC236}">
              <a16:creationId xmlns:a16="http://schemas.microsoft.com/office/drawing/2014/main" id="{00000000-0008-0000-0000-0000ED000000}"/>
            </a:ext>
          </a:extLst>
        </xdr:cNvPr>
        <xdr:cNvSpPr>
          <a:spLocks noChangeArrowheads="1"/>
        </xdr:cNvSpPr>
      </xdr:nvSpPr>
      <xdr:spPr bwMode="auto">
        <a:xfrm>
          <a:off x="7426699" y="54791722"/>
          <a:ext cx="152400" cy="161925"/>
        </a:xfrm>
        <a:prstGeom prst="curvedLeftArrow">
          <a:avLst>
            <a:gd name="adj1" fmla="val 1259"/>
            <a:gd name="adj2" fmla="val 42500"/>
            <a:gd name="adj3" fmla="val 33333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</xdr:col>
      <xdr:colOff>974912</xdr:colOff>
      <xdr:row>298</xdr:row>
      <xdr:rowOff>22412</xdr:rowOff>
    </xdr:from>
    <xdr:to>
      <xdr:col>3</xdr:col>
      <xdr:colOff>974912</xdr:colOff>
      <xdr:row>298</xdr:row>
      <xdr:rowOff>193862</xdr:rowOff>
    </xdr:to>
    <xdr:cxnSp macro="">
      <xdr:nvCxnSpPr>
        <xdr:cNvPr id="239" name="3776 Düz Bağlayıcı">
          <a:extLst>
            <a:ext uri="{FF2B5EF4-FFF2-40B4-BE49-F238E27FC236}">
              <a16:creationId xmlns:a16="http://schemas.microsoft.com/office/drawing/2014/main" id="{00000000-0008-0000-0000-0000EF000000}"/>
            </a:ext>
          </a:extLst>
        </xdr:cNvPr>
        <xdr:cNvCxnSpPr>
          <a:cxnSpLocks noChangeShapeType="1"/>
        </xdr:cNvCxnSpPr>
      </xdr:nvCxnSpPr>
      <xdr:spPr bwMode="auto">
        <a:xfrm rot="5400000">
          <a:off x="3186393" y="55072990"/>
          <a:ext cx="1714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3</xdr:col>
      <xdr:colOff>773206</xdr:colOff>
      <xdr:row>297</xdr:row>
      <xdr:rowOff>100853</xdr:rowOff>
    </xdr:from>
    <xdr:to>
      <xdr:col>3</xdr:col>
      <xdr:colOff>1097690</xdr:colOff>
      <xdr:row>297</xdr:row>
      <xdr:rowOff>100853</xdr:rowOff>
    </xdr:to>
    <xdr:cxnSp macro="">
      <xdr:nvCxnSpPr>
        <xdr:cNvPr id="262" name="Straight Arrow Connector 261">
          <a:extLst>
            <a:ext uri="{FF2B5EF4-FFF2-40B4-BE49-F238E27FC236}">
              <a16:creationId xmlns:a16="http://schemas.microsoft.com/office/drawing/2014/main" id="{00000000-0008-0000-0000-000006010000}"/>
            </a:ext>
          </a:extLst>
        </xdr:cNvPr>
        <xdr:cNvCxnSpPr/>
      </xdr:nvCxnSpPr>
      <xdr:spPr bwMode="auto">
        <a:xfrm>
          <a:off x="3070412" y="54864000"/>
          <a:ext cx="324484" cy="0"/>
        </a:xfrm>
        <a:prstGeom prst="straightConnector1">
          <a:avLst/>
        </a:pr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triangle"/>
        </a:ln>
        <a:effectLst/>
      </xdr:spPr>
    </xdr:cxnSp>
    <xdr:clientData/>
  </xdr:twoCellAnchor>
  <xdr:twoCellAnchor>
    <xdr:from>
      <xdr:col>9</xdr:col>
      <xdr:colOff>571500</xdr:colOff>
      <xdr:row>298</xdr:row>
      <xdr:rowOff>44823</xdr:rowOff>
    </xdr:from>
    <xdr:to>
      <xdr:col>10</xdr:col>
      <xdr:colOff>228600</xdr:colOff>
      <xdr:row>298</xdr:row>
      <xdr:rowOff>187698</xdr:rowOff>
    </xdr:to>
    <xdr:sp macro="" textlink="">
      <xdr:nvSpPr>
        <xdr:cNvPr id="263" name="AutoShape 2852">
          <a:extLst>
            <a:ext uri="{FF2B5EF4-FFF2-40B4-BE49-F238E27FC236}">
              <a16:creationId xmlns:a16="http://schemas.microsoft.com/office/drawing/2014/main" id="{00000000-0008-0000-0000-000007010000}"/>
            </a:ext>
          </a:extLst>
        </xdr:cNvPr>
        <xdr:cNvSpPr>
          <a:spLocks noChangeArrowheads="1"/>
        </xdr:cNvSpPr>
      </xdr:nvSpPr>
      <xdr:spPr bwMode="auto">
        <a:xfrm>
          <a:off x="7115735" y="55009676"/>
          <a:ext cx="396689" cy="142875"/>
        </a:xfrm>
        <a:prstGeom prst="curvedRightArrow">
          <a:avLst>
            <a:gd name="adj1" fmla="val 1185"/>
            <a:gd name="adj2" fmla="val 40000"/>
            <a:gd name="adj3" fmla="val 44444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10</xdr:col>
      <xdr:colOff>104775</xdr:colOff>
      <xdr:row>344</xdr:row>
      <xdr:rowOff>9525</xdr:rowOff>
    </xdr:from>
    <xdr:to>
      <xdr:col>10</xdr:col>
      <xdr:colOff>257175</xdr:colOff>
      <xdr:row>345</xdr:row>
      <xdr:rowOff>19050</xdr:rowOff>
    </xdr:to>
    <xdr:sp macro="" textlink="">
      <xdr:nvSpPr>
        <xdr:cNvPr id="266" name="AutoShape 2876">
          <a:extLst>
            <a:ext uri="{FF2B5EF4-FFF2-40B4-BE49-F238E27FC236}">
              <a16:creationId xmlns:a16="http://schemas.microsoft.com/office/drawing/2014/main" id="{00000000-0008-0000-0000-00000A010000}"/>
            </a:ext>
          </a:extLst>
        </xdr:cNvPr>
        <xdr:cNvSpPr>
          <a:spLocks noChangeArrowheads="1"/>
        </xdr:cNvSpPr>
      </xdr:nvSpPr>
      <xdr:spPr bwMode="auto">
        <a:xfrm>
          <a:off x="7388599" y="66381966"/>
          <a:ext cx="152400" cy="200025"/>
        </a:xfrm>
        <a:prstGeom prst="curvedLeftArrow">
          <a:avLst>
            <a:gd name="adj1" fmla="val 1556"/>
            <a:gd name="adj2" fmla="val 52500"/>
            <a:gd name="adj3" fmla="val 33333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</xdr:col>
      <xdr:colOff>672353</xdr:colOff>
      <xdr:row>344</xdr:row>
      <xdr:rowOff>100852</xdr:rowOff>
    </xdr:from>
    <xdr:to>
      <xdr:col>3</xdr:col>
      <xdr:colOff>996837</xdr:colOff>
      <xdr:row>344</xdr:row>
      <xdr:rowOff>100852</xdr:rowOff>
    </xdr:to>
    <xdr:cxnSp macro="">
      <xdr:nvCxnSpPr>
        <xdr:cNvPr id="278" name="Straight Arrow Connector 277">
          <a:extLst>
            <a:ext uri="{FF2B5EF4-FFF2-40B4-BE49-F238E27FC236}">
              <a16:creationId xmlns:a16="http://schemas.microsoft.com/office/drawing/2014/main" id="{00000000-0008-0000-0000-000016010000}"/>
            </a:ext>
          </a:extLst>
        </xdr:cNvPr>
        <xdr:cNvCxnSpPr/>
      </xdr:nvCxnSpPr>
      <xdr:spPr bwMode="auto">
        <a:xfrm>
          <a:off x="2969559" y="65856970"/>
          <a:ext cx="324484" cy="0"/>
        </a:xfrm>
        <a:prstGeom prst="straightConnector1">
          <a:avLst/>
        </a:pr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triangle"/>
        </a:ln>
        <a:effectLst/>
      </xdr:spPr>
    </xdr:cxnSp>
    <xdr:clientData/>
  </xdr:twoCellAnchor>
  <xdr:twoCellAnchor>
    <xdr:from>
      <xdr:col>3</xdr:col>
      <xdr:colOff>672353</xdr:colOff>
      <xdr:row>346</xdr:row>
      <xdr:rowOff>89647</xdr:rowOff>
    </xdr:from>
    <xdr:to>
      <xdr:col>3</xdr:col>
      <xdr:colOff>996837</xdr:colOff>
      <xdr:row>346</xdr:row>
      <xdr:rowOff>89647</xdr:rowOff>
    </xdr:to>
    <xdr:cxnSp macro="">
      <xdr:nvCxnSpPr>
        <xdr:cNvPr id="295" name="Straight Arrow Connector 294">
          <a:extLst>
            <a:ext uri="{FF2B5EF4-FFF2-40B4-BE49-F238E27FC236}">
              <a16:creationId xmlns:a16="http://schemas.microsoft.com/office/drawing/2014/main" id="{00000000-0008-0000-0000-000027010000}"/>
            </a:ext>
          </a:extLst>
        </xdr:cNvPr>
        <xdr:cNvCxnSpPr/>
      </xdr:nvCxnSpPr>
      <xdr:spPr bwMode="auto">
        <a:xfrm>
          <a:off x="2969559" y="66249176"/>
          <a:ext cx="324484" cy="0"/>
        </a:xfrm>
        <a:prstGeom prst="straightConnector1">
          <a:avLst/>
        </a:pr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triangle"/>
        </a:ln>
        <a:effectLst/>
      </xdr:spPr>
    </xdr:cxnSp>
    <xdr:clientData/>
  </xdr:twoCellAnchor>
  <xdr:twoCellAnchor>
    <xdr:from>
      <xdr:col>3</xdr:col>
      <xdr:colOff>638735</xdr:colOff>
      <xdr:row>348</xdr:row>
      <xdr:rowOff>100853</xdr:rowOff>
    </xdr:from>
    <xdr:to>
      <xdr:col>3</xdr:col>
      <xdr:colOff>963219</xdr:colOff>
      <xdr:row>348</xdr:row>
      <xdr:rowOff>100853</xdr:rowOff>
    </xdr:to>
    <xdr:cxnSp macro="">
      <xdr:nvCxnSpPr>
        <xdr:cNvPr id="303" name="Straight Arrow Connector 302">
          <a:extLst>
            <a:ext uri="{FF2B5EF4-FFF2-40B4-BE49-F238E27FC236}">
              <a16:creationId xmlns:a16="http://schemas.microsoft.com/office/drawing/2014/main" id="{00000000-0008-0000-0000-00002F010000}"/>
            </a:ext>
          </a:extLst>
        </xdr:cNvPr>
        <xdr:cNvCxnSpPr/>
      </xdr:nvCxnSpPr>
      <xdr:spPr bwMode="auto">
        <a:xfrm>
          <a:off x="2935941" y="66663794"/>
          <a:ext cx="324484" cy="0"/>
        </a:xfrm>
        <a:prstGeom prst="straightConnector1">
          <a:avLst/>
        </a:pr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triangle"/>
        </a:ln>
        <a:effectLst/>
      </xdr:spPr>
    </xdr:cxnSp>
    <xdr:clientData/>
  </xdr:twoCellAnchor>
  <xdr:twoCellAnchor>
    <xdr:from>
      <xdr:col>3</xdr:col>
      <xdr:colOff>840441</xdr:colOff>
      <xdr:row>345</xdr:row>
      <xdr:rowOff>22411</xdr:rowOff>
    </xdr:from>
    <xdr:to>
      <xdr:col>3</xdr:col>
      <xdr:colOff>840441</xdr:colOff>
      <xdr:row>346</xdr:row>
      <xdr:rowOff>31937</xdr:rowOff>
    </xdr:to>
    <xdr:sp macro="" textlink="">
      <xdr:nvSpPr>
        <xdr:cNvPr id="306" name="Line 2926">
          <a:extLst>
            <a:ext uri="{FF2B5EF4-FFF2-40B4-BE49-F238E27FC236}">
              <a16:creationId xmlns:a16="http://schemas.microsoft.com/office/drawing/2014/main" id="{00000000-0008-0000-0000-000032010000}"/>
            </a:ext>
          </a:extLst>
        </xdr:cNvPr>
        <xdr:cNvSpPr>
          <a:spLocks noChangeShapeType="1"/>
        </xdr:cNvSpPr>
      </xdr:nvSpPr>
      <xdr:spPr bwMode="auto">
        <a:xfrm>
          <a:off x="3137647" y="65980235"/>
          <a:ext cx="0" cy="211231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xdr:twoCellAnchor>
    <xdr:from>
      <xdr:col>3</xdr:col>
      <xdr:colOff>818029</xdr:colOff>
      <xdr:row>346</xdr:row>
      <xdr:rowOff>190500</xdr:rowOff>
    </xdr:from>
    <xdr:to>
      <xdr:col>3</xdr:col>
      <xdr:colOff>818029</xdr:colOff>
      <xdr:row>347</xdr:row>
      <xdr:rowOff>200025</xdr:rowOff>
    </xdr:to>
    <xdr:sp macro="" textlink="">
      <xdr:nvSpPr>
        <xdr:cNvPr id="307" name="Line 2926">
          <a:extLst>
            <a:ext uri="{FF2B5EF4-FFF2-40B4-BE49-F238E27FC236}">
              <a16:creationId xmlns:a16="http://schemas.microsoft.com/office/drawing/2014/main" id="{00000000-0008-0000-0000-000033010000}"/>
            </a:ext>
          </a:extLst>
        </xdr:cNvPr>
        <xdr:cNvSpPr>
          <a:spLocks noChangeShapeType="1"/>
        </xdr:cNvSpPr>
      </xdr:nvSpPr>
      <xdr:spPr bwMode="auto">
        <a:xfrm>
          <a:off x="3115235" y="66350029"/>
          <a:ext cx="0" cy="211231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xdr:twoCellAnchor>
    <xdr:from>
      <xdr:col>3</xdr:col>
      <xdr:colOff>829235</xdr:colOff>
      <xdr:row>349</xdr:row>
      <xdr:rowOff>0</xdr:rowOff>
    </xdr:from>
    <xdr:to>
      <xdr:col>3</xdr:col>
      <xdr:colOff>829235</xdr:colOff>
      <xdr:row>350</xdr:row>
      <xdr:rowOff>9525</xdr:rowOff>
    </xdr:to>
    <xdr:sp macro="" textlink="">
      <xdr:nvSpPr>
        <xdr:cNvPr id="312" name="Line 2926">
          <a:extLst>
            <a:ext uri="{FF2B5EF4-FFF2-40B4-BE49-F238E27FC236}">
              <a16:creationId xmlns:a16="http://schemas.microsoft.com/office/drawing/2014/main" id="{00000000-0008-0000-0000-000038010000}"/>
            </a:ext>
          </a:extLst>
        </xdr:cNvPr>
        <xdr:cNvSpPr>
          <a:spLocks noChangeShapeType="1"/>
        </xdr:cNvSpPr>
      </xdr:nvSpPr>
      <xdr:spPr bwMode="auto">
        <a:xfrm>
          <a:off x="3126441" y="66764647"/>
          <a:ext cx="0" cy="211231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xdr:twoCellAnchor>
    <xdr:from>
      <xdr:col>3</xdr:col>
      <xdr:colOff>627530</xdr:colOff>
      <xdr:row>350</xdr:row>
      <xdr:rowOff>100853</xdr:rowOff>
    </xdr:from>
    <xdr:to>
      <xdr:col>3</xdr:col>
      <xdr:colOff>952014</xdr:colOff>
      <xdr:row>350</xdr:row>
      <xdr:rowOff>100853</xdr:rowOff>
    </xdr:to>
    <xdr:cxnSp macro="">
      <xdr:nvCxnSpPr>
        <xdr:cNvPr id="313" name="Straight Arrow Connector 312">
          <a:extLst>
            <a:ext uri="{FF2B5EF4-FFF2-40B4-BE49-F238E27FC236}">
              <a16:creationId xmlns:a16="http://schemas.microsoft.com/office/drawing/2014/main" id="{00000000-0008-0000-0000-000039010000}"/>
            </a:ext>
          </a:extLst>
        </xdr:cNvPr>
        <xdr:cNvCxnSpPr/>
      </xdr:nvCxnSpPr>
      <xdr:spPr bwMode="auto">
        <a:xfrm>
          <a:off x="2924736" y="67067206"/>
          <a:ext cx="324484" cy="0"/>
        </a:xfrm>
        <a:prstGeom prst="straightConnector1">
          <a:avLst/>
        </a:pr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triangle"/>
        </a:ln>
        <a:effectLst/>
      </xdr:spPr>
    </xdr:cxnSp>
    <xdr:clientData/>
  </xdr:twoCellAnchor>
  <xdr:twoCellAnchor>
    <xdr:from>
      <xdr:col>3</xdr:col>
      <xdr:colOff>616324</xdr:colOff>
      <xdr:row>351</xdr:row>
      <xdr:rowOff>134471</xdr:rowOff>
    </xdr:from>
    <xdr:to>
      <xdr:col>3</xdr:col>
      <xdr:colOff>957373</xdr:colOff>
      <xdr:row>351</xdr:row>
      <xdr:rowOff>134472</xdr:rowOff>
    </xdr:to>
    <xdr:cxnSp macro="">
      <xdr:nvCxnSpPr>
        <xdr:cNvPr id="314" name="Straight Arrow Connector 313">
          <a:extLst>
            <a:ext uri="{FF2B5EF4-FFF2-40B4-BE49-F238E27FC236}">
              <a16:creationId xmlns:a16="http://schemas.microsoft.com/office/drawing/2014/main" id="{00000000-0008-0000-0000-00003A010000}"/>
            </a:ext>
          </a:extLst>
        </xdr:cNvPr>
        <xdr:cNvCxnSpPr/>
      </xdr:nvCxnSpPr>
      <xdr:spPr bwMode="auto">
        <a:xfrm flipH="1" flipV="1">
          <a:off x="2913530" y="67302530"/>
          <a:ext cx="341049" cy="1"/>
        </a:xfrm>
        <a:prstGeom prst="straightConnector1">
          <a:avLst/>
        </a:pr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triangle"/>
        </a:ln>
        <a:effectLst/>
      </xdr:spPr>
    </xdr:cxnSp>
    <xdr:clientData/>
  </xdr:twoCellAnchor>
  <xdr:twoCellAnchor>
    <xdr:from>
      <xdr:col>3</xdr:col>
      <xdr:colOff>638736</xdr:colOff>
      <xdr:row>353</xdr:row>
      <xdr:rowOff>112059</xdr:rowOff>
    </xdr:from>
    <xdr:to>
      <xdr:col>3</xdr:col>
      <xdr:colOff>979785</xdr:colOff>
      <xdr:row>353</xdr:row>
      <xdr:rowOff>112060</xdr:rowOff>
    </xdr:to>
    <xdr:cxnSp macro="">
      <xdr:nvCxnSpPr>
        <xdr:cNvPr id="315" name="Straight Arrow Connector 314">
          <a:extLst>
            <a:ext uri="{FF2B5EF4-FFF2-40B4-BE49-F238E27FC236}">
              <a16:creationId xmlns:a16="http://schemas.microsoft.com/office/drawing/2014/main" id="{00000000-0008-0000-0000-00003B010000}"/>
            </a:ext>
          </a:extLst>
        </xdr:cNvPr>
        <xdr:cNvCxnSpPr/>
      </xdr:nvCxnSpPr>
      <xdr:spPr bwMode="auto">
        <a:xfrm flipH="1" flipV="1">
          <a:off x="2935942" y="67683530"/>
          <a:ext cx="341049" cy="1"/>
        </a:xfrm>
        <a:prstGeom prst="straightConnector1">
          <a:avLst/>
        </a:pr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triangle"/>
        </a:ln>
        <a:effectLst/>
      </xdr:spPr>
    </xdr:cxnSp>
    <xdr:clientData/>
  </xdr:twoCellAnchor>
  <xdr:twoCellAnchor>
    <xdr:from>
      <xdr:col>3</xdr:col>
      <xdr:colOff>638736</xdr:colOff>
      <xdr:row>354</xdr:row>
      <xdr:rowOff>123265</xdr:rowOff>
    </xdr:from>
    <xdr:to>
      <xdr:col>3</xdr:col>
      <xdr:colOff>979785</xdr:colOff>
      <xdr:row>354</xdr:row>
      <xdr:rowOff>123266</xdr:rowOff>
    </xdr:to>
    <xdr:cxnSp macro="">
      <xdr:nvCxnSpPr>
        <xdr:cNvPr id="316" name="Straight Arrow Connector 315">
          <a:extLst>
            <a:ext uri="{FF2B5EF4-FFF2-40B4-BE49-F238E27FC236}">
              <a16:creationId xmlns:a16="http://schemas.microsoft.com/office/drawing/2014/main" id="{00000000-0008-0000-0000-00003C010000}"/>
            </a:ext>
          </a:extLst>
        </xdr:cNvPr>
        <xdr:cNvCxnSpPr/>
      </xdr:nvCxnSpPr>
      <xdr:spPr bwMode="auto">
        <a:xfrm flipH="1" flipV="1">
          <a:off x="2935942" y="67896441"/>
          <a:ext cx="341049" cy="1"/>
        </a:xfrm>
        <a:prstGeom prst="straightConnector1">
          <a:avLst/>
        </a:pr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triangle"/>
        </a:ln>
        <a:effectLst/>
      </xdr:spPr>
    </xdr:cxnSp>
    <xdr:clientData/>
  </xdr:twoCellAnchor>
  <xdr:twoCellAnchor>
    <xdr:from>
      <xdr:col>9</xdr:col>
      <xdr:colOff>515471</xdr:colOff>
      <xdr:row>345</xdr:row>
      <xdr:rowOff>33618</xdr:rowOff>
    </xdr:from>
    <xdr:to>
      <xdr:col>10</xdr:col>
      <xdr:colOff>172571</xdr:colOff>
      <xdr:row>345</xdr:row>
      <xdr:rowOff>176493</xdr:rowOff>
    </xdr:to>
    <xdr:sp macro="" textlink="">
      <xdr:nvSpPr>
        <xdr:cNvPr id="321" name="AutoShape 2852">
          <a:extLst>
            <a:ext uri="{FF2B5EF4-FFF2-40B4-BE49-F238E27FC236}">
              <a16:creationId xmlns:a16="http://schemas.microsoft.com/office/drawing/2014/main" id="{00000000-0008-0000-0000-000041010000}"/>
            </a:ext>
          </a:extLst>
        </xdr:cNvPr>
        <xdr:cNvSpPr>
          <a:spLocks noChangeArrowheads="1"/>
        </xdr:cNvSpPr>
      </xdr:nvSpPr>
      <xdr:spPr bwMode="auto">
        <a:xfrm>
          <a:off x="7059706" y="65991442"/>
          <a:ext cx="396689" cy="142875"/>
        </a:xfrm>
        <a:prstGeom prst="curvedRightArrow">
          <a:avLst>
            <a:gd name="adj1" fmla="val 1185"/>
            <a:gd name="adj2" fmla="val 40000"/>
            <a:gd name="adj3" fmla="val 44444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9</xdr:col>
      <xdr:colOff>526677</xdr:colOff>
      <xdr:row>347</xdr:row>
      <xdr:rowOff>33618</xdr:rowOff>
    </xdr:from>
    <xdr:to>
      <xdr:col>10</xdr:col>
      <xdr:colOff>183777</xdr:colOff>
      <xdr:row>347</xdr:row>
      <xdr:rowOff>176493</xdr:rowOff>
    </xdr:to>
    <xdr:sp macro="" textlink="">
      <xdr:nvSpPr>
        <xdr:cNvPr id="322" name="AutoShape 2852">
          <a:extLst>
            <a:ext uri="{FF2B5EF4-FFF2-40B4-BE49-F238E27FC236}">
              <a16:creationId xmlns:a16="http://schemas.microsoft.com/office/drawing/2014/main" id="{00000000-0008-0000-0000-000042010000}"/>
            </a:ext>
          </a:extLst>
        </xdr:cNvPr>
        <xdr:cNvSpPr>
          <a:spLocks noChangeArrowheads="1"/>
        </xdr:cNvSpPr>
      </xdr:nvSpPr>
      <xdr:spPr bwMode="auto">
        <a:xfrm>
          <a:off x="7070912" y="66394853"/>
          <a:ext cx="396689" cy="142875"/>
        </a:xfrm>
        <a:prstGeom prst="curvedRightArrow">
          <a:avLst>
            <a:gd name="adj1" fmla="val 1185"/>
            <a:gd name="adj2" fmla="val 40000"/>
            <a:gd name="adj3" fmla="val 44444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9</xdr:col>
      <xdr:colOff>515472</xdr:colOff>
      <xdr:row>349</xdr:row>
      <xdr:rowOff>33618</xdr:rowOff>
    </xdr:from>
    <xdr:to>
      <xdr:col>10</xdr:col>
      <xdr:colOff>172572</xdr:colOff>
      <xdr:row>349</xdr:row>
      <xdr:rowOff>176493</xdr:rowOff>
    </xdr:to>
    <xdr:sp macro="" textlink="">
      <xdr:nvSpPr>
        <xdr:cNvPr id="323" name="AutoShape 2852">
          <a:extLst>
            <a:ext uri="{FF2B5EF4-FFF2-40B4-BE49-F238E27FC236}">
              <a16:creationId xmlns:a16="http://schemas.microsoft.com/office/drawing/2014/main" id="{00000000-0008-0000-0000-000043010000}"/>
            </a:ext>
          </a:extLst>
        </xdr:cNvPr>
        <xdr:cNvSpPr>
          <a:spLocks noChangeArrowheads="1"/>
        </xdr:cNvSpPr>
      </xdr:nvSpPr>
      <xdr:spPr bwMode="auto">
        <a:xfrm>
          <a:off x="7059707" y="66798265"/>
          <a:ext cx="396689" cy="142875"/>
        </a:xfrm>
        <a:prstGeom prst="curvedRightArrow">
          <a:avLst>
            <a:gd name="adj1" fmla="val 1185"/>
            <a:gd name="adj2" fmla="val 40000"/>
            <a:gd name="adj3" fmla="val 44444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123825</xdr:colOff>
      <xdr:row>118</xdr:row>
      <xdr:rowOff>38100</xdr:rowOff>
    </xdr:from>
    <xdr:to>
      <xdr:col>10</xdr:col>
      <xdr:colOff>276225</xdr:colOff>
      <xdr:row>118</xdr:row>
      <xdr:rowOff>190500</xdr:rowOff>
    </xdr:to>
    <xdr:sp macro="" textlink="">
      <xdr:nvSpPr>
        <xdr:cNvPr id="2" name="AutoShape 2829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>
          <a:spLocks noChangeArrowheads="1"/>
        </xdr:cNvSpPr>
      </xdr:nvSpPr>
      <xdr:spPr bwMode="auto">
        <a:xfrm>
          <a:off x="6229350" y="22069425"/>
          <a:ext cx="152400" cy="152400"/>
        </a:xfrm>
        <a:prstGeom prst="curvedLeftArrow">
          <a:avLst>
            <a:gd name="adj1" fmla="val 1185"/>
            <a:gd name="adj2" fmla="val 40000"/>
            <a:gd name="adj3" fmla="val 33333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10</xdr:col>
      <xdr:colOff>123825</xdr:colOff>
      <xdr:row>119</xdr:row>
      <xdr:rowOff>28575</xdr:rowOff>
    </xdr:from>
    <xdr:to>
      <xdr:col>10</xdr:col>
      <xdr:colOff>276225</xdr:colOff>
      <xdr:row>119</xdr:row>
      <xdr:rowOff>190500</xdr:rowOff>
    </xdr:to>
    <xdr:sp macro="" textlink="">
      <xdr:nvSpPr>
        <xdr:cNvPr id="3" name="AutoShape 2830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>
          <a:spLocks noChangeArrowheads="1"/>
        </xdr:cNvSpPr>
      </xdr:nvSpPr>
      <xdr:spPr bwMode="auto">
        <a:xfrm>
          <a:off x="6229350" y="22259925"/>
          <a:ext cx="152400" cy="161925"/>
        </a:xfrm>
        <a:prstGeom prst="curvedLeftArrow">
          <a:avLst>
            <a:gd name="adj1" fmla="val 1259"/>
            <a:gd name="adj2" fmla="val 42500"/>
            <a:gd name="adj3" fmla="val 33333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9</xdr:col>
      <xdr:colOff>466725</xdr:colOff>
      <xdr:row>117</xdr:row>
      <xdr:rowOff>19050</xdr:rowOff>
    </xdr:from>
    <xdr:to>
      <xdr:col>10</xdr:col>
      <xdr:colOff>123825</xdr:colOff>
      <xdr:row>118</xdr:row>
      <xdr:rowOff>0</xdr:rowOff>
    </xdr:to>
    <xdr:sp macro="" textlink="">
      <xdr:nvSpPr>
        <xdr:cNvPr id="4" name="AutoShape 2832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SpPr>
          <a:spLocks noChangeArrowheads="1"/>
        </xdr:cNvSpPr>
      </xdr:nvSpPr>
      <xdr:spPr bwMode="auto">
        <a:xfrm>
          <a:off x="5829300" y="21888450"/>
          <a:ext cx="400050" cy="142875"/>
        </a:xfrm>
        <a:prstGeom prst="curvedRightArrow">
          <a:avLst>
            <a:gd name="adj1" fmla="val 1185"/>
            <a:gd name="adj2" fmla="val 40000"/>
            <a:gd name="adj3" fmla="val 44444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9</xdr:col>
      <xdr:colOff>466725</xdr:colOff>
      <xdr:row>116</xdr:row>
      <xdr:rowOff>38100</xdr:rowOff>
    </xdr:from>
    <xdr:to>
      <xdr:col>10</xdr:col>
      <xdr:colOff>123825</xdr:colOff>
      <xdr:row>116</xdr:row>
      <xdr:rowOff>180975</xdr:rowOff>
    </xdr:to>
    <xdr:sp macro="" textlink="">
      <xdr:nvSpPr>
        <xdr:cNvPr id="5" name="AutoShape 2833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SpPr>
          <a:spLocks noChangeArrowheads="1"/>
        </xdr:cNvSpPr>
      </xdr:nvSpPr>
      <xdr:spPr bwMode="auto">
        <a:xfrm>
          <a:off x="5829300" y="21707475"/>
          <a:ext cx="400050" cy="142875"/>
        </a:xfrm>
        <a:prstGeom prst="curvedRightArrow">
          <a:avLst>
            <a:gd name="adj1" fmla="val 1185"/>
            <a:gd name="adj2" fmla="val 40000"/>
            <a:gd name="adj3" fmla="val 44444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9</xdr:col>
      <xdr:colOff>466725</xdr:colOff>
      <xdr:row>115</xdr:row>
      <xdr:rowOff>38100</xdr:rowOff>
    </xdr:from>
    <xdr:to>
      <xdr:col>10</xdr:col>
      <xdr:colOff>123825</xdr:colOff>
      <xdr:row>115</xdr:row>
      <xdr:rowOff>180975</xdr:rowOff>
    </xdr:to>
    <xdr:sp macro="" textlink="">
      <xdr:nvSpPr>
        <xdr:cNvPr id="6" name="AutoShape 2834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SpPr>
          <a:spLocks noChangeArrowheads="1"/>
        </xdr:cNvSpPr>
      </xdr:nvSpPr>
      <xdr:spPr bwMode="auto">
        <a:xfrm>
          <a:off x="5829300" y="21507450"/>
          <a:ext cx="400050" cy="142875"/>
        </a:xfrm>
        <a:prstGeom prst="curvedRightArrow">
          <a:avLst>
            <a:gd name="adj1" fmla="val 1185"/>
            <a:gd name="adj2" fmla="val 40000"/>
            <a:gd name="adj3" fmla="val 44444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9</xdr:col>
      <xdr:colOff>457200</xdr:colOff>
      <xdr:row>114</xdr:row>
      <xdr:rowOff>28575</xdr:rowOff>
    </xdr:from>
    <xdr:to>
      <xdr:col>10</xdr:col>
      <xdr:colOff>114300</xdr:colOff>
      <xdr:row>114</xdr:row>
      <xdr:rowOff>171450</xdr:rowOff>
    </xdr:to>
    <xdr:sp macro="" textlink="">
      <xdr:nvSpPr>
        <xdr:cNvPr id="7" name="AutoShape 2835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SpPr>
          <a:spLocks noChangeArrowheads="1"/>
        </xdr:cNvSpPr>
      </xdr:nvSpPr>
      <xdr:spPr bwMode="auto">
        <a:xfrm>
          <a:off x="5819775" y="21297900"/>
          <a:ext cx="400050" cy="142875"/>
        </a:xfrm>
        <a:prstGeom prst="curvedRightArrow">
          <a:avLst>
            <a:gd name="adj1" fmla="val 1185"/>
            <a:gd name="adj2" fmla="val 40000"/>
            <a:gd name="adj3" fmla="val 44444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9</xdr:col>
      <xdr:colOff>457200</xdr:colOff>
      <xdr:row>113</xdr:row>
      <xdr:rowOff>47625</xdr:rowOff>
    </xdr:from>
    <xdr:to>
      <xdr:col>10</xdr:col>
      <xdr:colOff>114300</xdr:colOff>
      <xdr:row>113</xdr:row>
      <xdr:rowOff>190500</xdr:rowOff>
    </xdr:to>
    <xdr:sp macro="" textlink="">
      <xdr:nvSpPr>
        <xdr:cNvPr id="8" name="AutoShape 2836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SpPr>
          <a:spLocks noChangeArrowheads="1"/>
        </xdr:cNvSpPr>
      </xdr:nvSpPr>
      <xdr:spPr bwMode="auto">
        <a:xfrm>
          <a:off x="5819775" y="21116925"/>
          <a:ext cx="400050" cy="142875"/>
        </a:xfrm>
        <a:prstGeom prst="curvedRightArrow">
          <a:avLst>
            <a:gd name="adj1" fmla="val 1185"/>
            <a:gd name="adj2" fmla="val 40000"/>
            <a:gd name="adj3" fmla="val 44444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9</xdr:col>
      <xdr:colOff>457200</xdr:colOff>
      <xdr:row>112</xdr:row>
      <xdr:rowOff>47625</xdr:rowOff>
    </xdr:from>
    <xdr:to>
      <xdr:col>10</xdr:col>
      <xdr:colOff>114300</xdr:colOff>
      <xdr:row>112</xdr:row>
      <xdr:rowOff>190500</xdr:rowOff>
    </xdr:to>
    <xdr:sp macro="" textlink="">
      <xdr:nvSpPr>
        <xdr:cNvPr id="9" name="AutoShape 2837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SpPr>
          <a:spLocks noChangeArrowheads="1"/>
        </xdr:cNvSpPr>
      </xdr:nvSpPr>
      <xdr:spPr bwMode="auto">
        <a:xfrm>
          <a:off x="5819775" y="20907375"/>
          <a:ext cx="400050" cy="142875"/>
        </a:xfrm>
        <a:prstGeom prst="curvedRightArrow">
          <a:avLst>
            <a:gd name="adj1" fmla="val 1185"/>
            <a:gd name="adj2" fmla="val 40000"/>
            <a:gd name="adj3" fmla="val 44444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9</xdr:col>
      <xdr:colOff>457200</xdr:colOff>
      <xdr:row>170</xdr:row>
      <xdr:rowOff>38100</xdr:rowOff>
    </xdr:from>
    <xdr:to>
      <xdr:col>10</xdr:col>
      <xdr:colOff>114300</xdr:colOff>
      <xdr:row>170</xdr:row>
      <xdr:rowOff>180975</xdr:rowOff>
    </xdr:to>
    <xdr:sp macro="" textlink="">
      <xdr:nvSpPr>
        <xdr:cNvPr id="10" name="AutoShape 283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SpPr>
          <a:spLocks noChangeArrowheads="1"/>
        </xdr:cNvSpPr>
      </xdr:nvSpPr>
      <xdr:spPr bwMode="auto">
        <a:xfrm>
          <a:off x="5819775" y="32594550"/>
          <a:ext cx="400050" cy="142875"/>
        </a:xfrm>
        <a:prstGeom prst="curvedRightArrow">
          <a:avLst>
            <a:gd name="adj1" fmla="val 1185"/>
            <a:gd name="adj2" fmla="val 40000"/>
            <a:gd name="adj3" fmla="val 44444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9</xdr:col>
      <xdr:colOff>457200</xdr:colOff>
      <xdr:row>171</xdr:row>
      <xdr:rowOff>38100</xdr:rowOff>
    </xdr:from>
    <xdr:to>
      <xdr:col>10</xdr:col>
      <xdr:colOff>114300</xdr:colOff>
      <xdr:row>171</xdr:row>
      <xdr:rowOff>180975</xdr:rowOff>
    </xdr:to>
    <xdr:sp macro="" textlink="">
      <xdr:nvSpPr>
        <xdr:cNvPr id="11" name="AutoShape 284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SpPr>
          <a:spLocks noChangeArrowheads="1"/>
        </xdr:cNvSpPr>
      </xdr:nvSpPr>
      <xdr:spPr bwMode="auto">
        <a:xfrm>
          <a:off x="5819775" y="32804100"/>
          <a:ext cx="400050" cy="142875"/>
        </a:xfrm>
        <a:prstGeom prst="curvedRightArrow">
          <a:avLst>
            <a:gd name="adj1" fmla="val 1185"/>
            <a:gd name="adj2" fmla="val 40000"/>
            <a:gd name="adj3" fmla="val 44444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9</xdr:col>
      <xdr:colOff>457200</xdr:colOff>
      <xdr:row>172</xdr:row>
      <xdr:rowOff>38100</xdr:rowOff>
    </xdr:from>
    <xdr:to>
      <xdr:col>10</xdr:col>
      <xdr:colOff>114300</xdr:colOff>
      <xdr:row>172</xdr:row>
      <xdr:rowOff>180975</xdr:rowOff>
    </xdr:to>
    <xdr:sp macro="" textlink="">
      <xdr:nvSpPr>
        <xdr:cNvPr id="12" name="AutoShape 284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SpPr>
          <a:spLocks noChangeArrowheads="1"/>
        </xdr:cNvSpPr>
      </xdr:nvSpPr>
      <xdr:spPr bwMode="auto">
        <a:xfrm>
          <a:off x="5819775" y="33004125"/>
          <a:ext cx="400050" cy="142875"/>
        </a:xfrm>
        <a:prstGeom prst="curvedRightArrow">
          <a:avLst>
            <a:gd name="adj1" fmla="val 1185"/>
            <a:gd name="adj2" fmla="val 40000"/>
            <a:gd name="adj3" fmla="val 44444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9</xdr:col>
      <xdr:colOff>457200</xdr:colOff>
      <xdr:row>173</xdr:row>
      <xdr:rowOff>38100</xdr:rowOff>
    </xdr:from>
    <xdr:to>
      <xdr:col>10</xdr:col>
      <xdr:colOff>114300</xdr:colOff>
      <xdr:row>173</xdr:row>
      <xdr:rowOff>180975</xdr:rowOff>
    </xdr:to>
    <xdr:sp macro="" textlink="">
      <xdr:nvSpPr>
        <xdr:cNvPr id="13" name="AutoShape 2842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SpPr>
          <a:spLocks noChangeArrowheads="1"/>
        </xdr:cNvSpPr>
      </xdr:nvSpPr>
      <xdr:spPr bwMode="auto">
        <a:xfrm>
          <a:off x="5819775" y="33204150"/>
          <a:ext cx="400050" cy="142875"/>
        </a:xfrm>
        <a:prstGeom prst="curvedRightArrow">
          <a:avLst>
            <a:gd name="adj1" fmla="val 1185"/>
            <a:gd name="adj2" fmla="val 40000"/>
            <a:gd name="adj3" fmla="val 44444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9</xdr:col>
      <xdr:colOff>457200</xdr:colOff>
      <xdr:row>174</xdr:row>
      <xdr:rowOff>38100</xdr:rowOff>
    </xdr:from>
    <xdr:to>
      <xdr:col>10</xdr:col>
      <xdr:colOff>114300</xdr:colOff>
      <xdr:row>174</xdr:row>
      <xdr:rowOff>180975</xdr:rowOff>
    </xdr:to>
    <xdr:sp macro="" textlink="">
      <xdr:nvSpPr>
        <xdr:cNvPr id="14" name="AutoShape 2843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SpPr>
          <a:spLocks noChangeArrowheads="1"/>
        </xdr:cNvSpPr>
      </xdr:nvSpPr>
      <xdr:spPr bwMode="auto">
        <a:xfrm>
          <a:off x="5819775" y="33404175"/>
          <a:ext cx="400050" cy="142875"/>
        </a:xfrm>
        <a:prstGeom prst="curvedRightArrow">
          <a:avLst>
            <a:gd name="adj1" fmla="val 1185"/>
            <a:gd name="adj2" fmla="val 40000"/>
            <a:gd name="adj3" fmla="val 44444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9</xdr:col>
      <xdr:colOff>466725</xdr:colOff>
      <xdr:row>227</xdr:row>
      <xdr:rowOff>38100</xdr:rowOff>
    </xdr:from>
    <xdr:to>
      <xdr:col>10</xdr:col>
      <xdr:colOff>123825</xdr:colOff>
      <xdr:row>227</xdr:row>
      <xdr:rowOff>180975</xdr:rowOff>
    </xdr:to>
    <xdr:sp macro="" textlink="">
      <xdr:nvSpPr>
        <xdr:cNvPr id="15" name="AutoShape 2846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SpPr>
          <a:spLocks noChangeArrowheads="1"/>
        </xdr:cNvSpPr>
      </xdr:nvSpPr>
      <xdr:spPr bwMode="auto">
        <a:xfrm>
          <a:off x="5829300" y="44491275"/>
          <a:ext cx="400050" cy="142875"/>
        </a:xfrm>
        <a:prstGeom prst="curvedRightArrow">
          <a:avLst>
            <a:gd name="adj1" fmla="val 1185"/>
            <a:gd name="adj2" fmla="val 40000"/>
            <a:gd name="adj3" fmla="val 44444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9</xdr:col>
      <xdr:colOff>466725</xdr:colOff>
      <xdr:row>228</xdr:row>
      <xdr:rowOff>38100</xdr:rowOff>
    </xdr:from>
    <xdr:to>
      <xdr:col>10</xdr:col>
      <xdr:colOff>123825</xdr:colOff>
      <xdr:row>228</xdr:row>
      <xdr:rowOff>180975</xdr:rowOff>
    </xdr:to>
    <xdr:sp macro="" textlink="">
      <xdr:nvSpPr>
        <xdr:cNvPr id="16" name="AutoShape 2847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SpPr>
          <a:spLocks noChangeArrowheads="1"/>
        </xdr:cNvSpPr>
      </xdr:nvSpPr>
      <xdr:spPr bwMode="auto">
        <a:xfrm>
          <a:off x="5829300" y="44691300"/>
          <a:ext cx="400050" cy="142875"/>
        </a:xfrm>
        <a:prstGeom prst="curvedRightArrow">
          <a:avLst>
            <a:gd name="adj1" fmla="val 1185"/>
            <a:gd name="adj2" fmla="val 40000"/>
            <a:gd name="adj3" fmla="val 44444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9</xdr:col>
      <xdr:colOff>466725</xdr:colOff>
      <xdr:row>229</xdr:row>
      <xdr:rowOff>38100</xdr:rowOff>
    </xdr:from>
    <xdr:to>
      <xdr:col>10</xdr:col>
      <xdr:colOff>123825</xdr:colOff>
      <xdr:row>229</xdr:row>
      <xdr:rowOff>180975</xdr:rowOff>
    </xdr:to>
    <xdr:sp macro="" textlink="">
      <xdr:nvSpPr>
        <xdr:cNvPr id="17" name="AutoShape 2848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SpPr>
          <a:spLocks noChangeArrowheads="1"/>
        </xdr:cNvSpPr>
      </xdr:nvSpPr>
      <xdr:spPr bwMode="auto">
        <a:xfrm>
          <a:off x="5829300" y="44891325"/>
          <a:ext cx="400050" cy="142875"/>
        </a:xfrm>
        <a:prstGeom prst="curvedRightArrow">
          <a:avLst>
            <a:gd name="adj1" fmla="val 1185"/>
            <a:gd name="adj2" fmla="val 40000"/>
            <a:gd name="adj3" fmla="val 44444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9</xdr:col>
      <xdr:colOff>466725</xdr:colOff>
      <xdr:row>230</xdr:row>
      <xdr:rowOff>38100</xdr:rowOff>
    </xdr:from>
    <xdr:to>
      <xdr:col>10</xdr:col>
      <xdr:colOff>123825</xdr:colOff>
      <xdr:row>230</xdr:row>
      <xdr:rowOff>180975</xdr:rowOff>
    </xdr:to>
    <xdr:sp macro="" textlink="">
      <xdr:nvSpPr>
        <xdr:cNvPr id="18" name="AutoShape 2849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SpPr>
          <a:spLocks noChangeArrowheads="1"/>
        </xdr:cNvSpPr>
      </xdr:nvSpPr>
      <xdr:spPr bwMode="auto">
        <a:xfrm>
          <a:off x="5829300" y="45091350"/>
          <a:ext cx="400050" cy="142875"/>
        </a:xfrm>
        <a:prstGeom prst="curvedRightArrow">
          <a:avLst>
            <a:gd name="adj1" fmla="val 1185"/>
            <a:gd name="adj2" fmla="val 40000"/>
            <a:gd name="adj3" fmla="val 44444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9</xdr:col>
      <xdr:colOff>466725</xdr:colOff>
      <xdr:row>231</xdr:row>
      <xdr:rowOff>28575</xdr:rowOff>
    </xdr:from>
    <xdr:to>
      <xdr:col>10</xdr:col>
      <xdr:colOff>123825</xdr:colOff>
      <xdr:row>231</xdr:row>
      <xdr:rowOff>171450</xdr:rowOff>
    </xdr:to>
    <xdr:sp macro="" textlink="">
      <xdr:nvSpPr>
        <xdr:cNvPr id="19" name="AutoShape 2850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SpPr>
          <a:spLocks noChangeArrowheads="1"/>
        </xdr:cNvSpPr>
      </xdr:nvSpPr>
      <xdr:spPr bwMode="auto">
        <a:xfrm>
          <a:off x="5829300" y="45281850"/>
          <a:ext cx="400050" cy="142875"/>
        </a:xfrm>
        <a:prstGeom prst="curvedRightArrow">
          <a:avLst>
            <a:gd name="adj1" fmla="val 1185"/>
            <a:gd name="adj2" fmla="val 40000"/>
            <a:gd name="adj3" fmla="val 44444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9</xdr:col>
      <xdr:colOff>466725</xdr:colOff>
      <xdr:row>232</xdr:row>
      <xdr:rowOff>38100</xdr:rowOff>
    </xdr:from>
    <xdr:to>
      <xdr:col>10</xdr:col>
      <xdr:colOff>123825</xdr:colOff>
      <xdr:row>232</xdr:row>
      <xdr:rowOff>180975</xdr:rowOff>
    </xdr:to>
    <xdr:sp macro="" textlink="">
      <xdr:nvSpPr>
        <xdr:cNvPr id="20" name="AutoShape 2851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SpPr>
          <a:spLocks noChangeArrowheads="1"/>
        </xdr:cNvSpPr>
      </xdr:nvSpPr>
      <xdr:spPr bwMode="auto">
        <a:xfrm>
          <a:off x="5829300" y="45491400"/>
          <a:ext cx="400050" cy="142875"/>
        </a:xfrm>
        <a:prstGeom prst="curvedRightArrow">
          <a:avLst>
            <a:gd name="adj1" fmla="val 1185"/>
            <a:gd name="adj2" fmla="val 40000"/>
            <a:gd name="adj3" fmla="val 44444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9</xdr:col>
      <xdr:colOff>466725</xdr:colOff>
      <xdr:row>233</xdr:row>
      <xdr:rowOff>38100</xdr:rowOff>
    </xdr:from>
    <xdr:to>
      <xdr:col>10</xdr:col>
      <xdr:colOff>123825</xdr:colOff>
      <xdr:row>233</xdr:row>
      <xdr:rowOff>180975</xdr:rowOff>
    </xdr:to>
    <xdr:sp macro="" textlink="">
      <xdr:nvSpPr>
        <xdr:cNvPr id="21" name="AutoShape 2852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SpPr>
          <a:spLocks noChangeArrowheads="1"/>
        </xdr:cNvSpPr>
      </xdr:nvSpPr>
      <xdr:spPr bwMode="auto">
        <a:xfrm>
          <a:off x="5829300" y="45691425"/>
          <a:ext cx="400050" cy="142875"/>
        </a:xfrm>
        <a:prstGeom prst="curvedRightArrow">
          <a:avLst>
            <a:gd name="adj1" fmla="val 1185"/>
            <a:gd name="adj2" fmla="val 40000"/>
            <a:gd name="adj3" fmla="val 44444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9</xdr:col>
      <xdr:colOff>457200</xdr:colOff>
      <xdr:row>226</xdr:row>
      <xdr:rowOff>57150</xdr:rowOff>
    </xdr:from>
    <xdr:to>
      <xdr:col>10</xdr:col>
      <xdr:colOff>114300</xdr:colOff>
      <xdr:row>226</xdr:row>
      <xdr:rowOff>200025</xdr:rowOff>
    </xdr:to>
    <xdr:sp macro="" textlink="">
      <xdr:nvSpPr>
        <xdr:cNvPr id="22" name="AutoShape 2853">
          <a:extLst>
            <a:ext uri="{FF2B5EF4-FFF2-40B4-BE49-F238E27FC236}">
              <a16:creationId xmlns:a16="http://schemas.microsoft.com/office/drawing/2014/main" id="{00000000-0008-0000-0100-000016000000}"/>
            </a:ext>
          </a:extLst>
        </xdr:cNvPr>
        <xdr:cNvSpPr>
          <a:spLocks noChangeArrowheads="1"/>
        </xdr:cNvSpPr>
      </xdr:nvSpPr>
      <xdr:spPr bwMode="auto">
        <a:xfrm>
          <a:off x="5819775" y="44300775"/>
          <a:ext cx="400050" cy="142875"/>
        </a:xfrm>
        <a:prstGeom prst="curvedRightArrow">
          <a:avLst>
            <a:gd name="adj1" fmla="val 1185"/>
            <a:gd name="adj2" fmla="val 40000"/>
            <a:gd name="adj3" fmla="val 44599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9</xdr:col>
      <xdr:colOff>447675</xdr:colOff>
      <xdr:row>274</xdr:row>
      <xdr:rowOff>38100</xdr:rowOff>
    </xdr:from>
    <xdr:to>
      <xdr:col>10</xdr:col>
      <xdr:colOff>104775</xdr:colOff>
      <xdr:row>274</xdr:row>
      <xdr:rowOff>180975</xdr:rowOff>
    </xdr:to>
    <xdr:sp macro="" textlink="">
      <xdr:nvSpPr>
        <xdr:cNvPr id="23" name="AutoShape 2856">
          <a:extLst>
            <a:ext uri="{FF2B5EF4-FFF2-40B4-BE49-F238E27FC236}">
              <a16:creationId xmlns:a16="http://schemas.microsoft.com/office/drawing/2014/main" id="{00000000-0008-0000-0100-000017000000}"/>
            </a:ext>
          </a:extLst>
        </xdr:cNvPr>
        <xdr:cNvSpPr>
          <a:spLocks noChangeArrowheads="1"/>
        </xdr:cNvSpPr>
      </xdr:nvSpPr>
      <xdr:spPr bwMode="auto">
        <a:xfrm>
          <a:off x="5810250" y="56092725"/>
          <a:ext cx="400050" cy="142875"/>
        </a:xfrm>
        <a:prstGeom prst="curvedRightArrow">
          <a:avLst>
            <a:gd name="adj1" fmla="val 1185"/>
            <a:gd name="adj2" fmla="val 40000"/>
            <a:gd name="adj3" fmla="val 44444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9</xdr:col>
      <xdr:colOff>447675</xdr:colOff>
      <xdr:row>275</xdr:row>
      <xdr:rowOff>38100</xdr:rowOff>
    </xdr:from>
    <xdr:to>
      <xdr:col>10</xdr:col>
      <xdr:colOff>104775</xdr:colOff>
      <xdr:row>275</xdr:row>
      <xdr:rowOff>180975</xdr:rowOff>
    </xdr:to>
    <xdr:sp macro="" textlink="">
      <xdr:nvSpPr>
        <xdr:cNvPr id="24" name="AutoShape 2857">
          <a:extLst>
            <a:ext uri="{FF2B5EF4-FFF2-40B4-BE49-F238E27FC236}">
              <a16:creationId xmlns:a16="http://schemas.microsoft.com/office/drawing/2014/main" id="{00000000-0008-0000-0100-000018000000}"/>
            </a:ext>
          </a:extLst>
        </xdr:cNvPr>
        <xdr:cNvSpPr>
          <a:spLocks noChangeArrowheads="1"/>
        </xdr:cNvSpPr>
      </xdr:nvSpPr>
      <xdr:spPr bwMode="auto">
        <a:xfrm>
          <a:off x="5810250" y="56292750"/>
          <a:ext cx="400050" cy="142875"/>
        </a:xfrm>
        <a:prstGeom prst="curvedRightArrow">
          <a:avLst>
            <a:gd name="adj1" fmla="val 1185"/>
            <a:gd name="adj2" fmla="val 40000"/>
            <a:gd name="adj3" fmla="val 44444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9</xdr:col>
      <xdr:colOff>457200</xdr:colOff>
      <xdr:row>276</xdr:row>
      <xdr:rowOff>28575</xdr:rowOff>
    </xdr:from>
    <xdr:to>
      <xdr:col>10</xdr:col>
      <xdr:colOff>114300</xdr:colOff>
      <xdr:row>276</xdr:row>
      <xdr:rowOff>171450</xdr:rowOff>
    </xdr:to>
    <xdr:sp macro="" textlink="">
      <xdr:nvSpPr>
        <xdr:cNvPr id="25" name="AutoShape 2858">
          <a:extLst>
            <a:ext uri="{FF2B5EF4-FFF2-40B4-BE49-F238E27FC236}">
              <a16:creationId xmlns:a16="http://schemas.microsoft.com/office/drawing/2014/main" id="{00000000-0008-0000-0100-000019000000}"/>
            </a:ext>
          </a:extLst>
        </xdr:cNvPr>
        <xdr:cNvSpPr>
          <a:spLocks noChangeArrowheads="1"/>
        </xdr:cNvSpPr>
      </xdr:nvSpPr>
      <xdr:spPr bwMode="auto">
        <a:xfrm>
          <a:off x="5819775" y="56483250"/>
          <a:ext cx="400050" cy="142875"/>
        </a:xfrm>
        <a:prstGeom prst="curvedRightArrow">
          <a:avLst>
            <a:gd name="adj1" fmla="val 1185"/>
            <a:gd name="adj2" fmla="val 40000"/>
            <a:gd name="adj3" fmla="val 44444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9</xdr:col>
      <xdr:colOff>457200</xdr:colOff>
      <xdr:row>277</xdr:row>
      <xdr:rowOff>38100</xdr:rowOff>
    </xdr:from>
    <xdr:to>
      <xdr:col>10</xdr:col>
      <xdr:colOff>114300</xdr:colOff>
      <xdr:row>277</xdr:row>
      <xdr:rowOff>180975</xdr:rowOff>
    </xdr:to>
    <xdr:sp macro="" textlink="">
      <xdr:nvSpPr>
        <xdr:cNvPr id="26" name="AutoShape 2859">
          <a:extLst>
            <a:ext uri="{FF2B5EF4-FFF2-40B4-BE49-F238E27FC236}">
              <a16:creationId xmlns:a16="http://schemas.microsoft.com/office/drawing/2014/main" id="{00000000-0008-0000-0100-00001A000000}"/>
            </a:ext>
          </a:extLst>
        </xdr:cNvPr>
        <xdr:cNvSpPr>
          <a:spLocks noChangeArrowheads="1"/>
        </xdr:cNvSpPr>
      </xdr:nvSpPr>
      <xdr:spPr bwMode="auto">
        <a:xfrm>
          <a:off x="5819775" y="56692800"/>
          <a:ext cx="400050" cy="142875"/>
        </a:xfrm>
        <a:prstGeom prst="curvedRightArrow">
          <a:avLst>
            <a:gd name="adj1" fmla="val 1185"/>
            <a:gd name="adj2" fmla="val 40000"/>
            <a:gd name="adj3" fmla="val 44444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9</xdr:col>
      <xdr:colOff>447675</xdr:colOff>
      <xdr:row>278</xdr:row>
      <xdr:rowOff>38100</xdr:rowOff>
    </xdr:from>
    <xdr:to>
      <xdr:col>10</xdr:col>
      <xdr:colOff>104775</xdr:colOff>
      <xdr:row>278</xdr:row>
      <xdr:rowOff>180975</xdr:rowOff>
    </xdr:to>
    <xdr:sp macro="" textlink="">
      <xdr:nvSpPr>
        <xdr:cNvPr id="27" name="AutoShape 2860">
          <a:extLst>
            <a:ext uri="{FF2B5EF4-FFF2-40B4-BE49-F238E27FC236}">
              <a16:creationId xmlns:a16="http://schemas.microsoft.com/office/drawing/2014/main" id="{00000000-0008-0000-0100-00001B000000}"/>
            </a:ext>
          </a:extLst>
        </xdr:cNvPr>
        <xdr:cNvSpPr>
          <a:spLocks noChangeArrowheads="1"/>
        </xdr:cNvSpPr>
      </xdr:nvSpPr>
      <xdr:spPr bwMode="auto">
        <a:xfrm>
          <a:off x="5810250" y="56892825"/>
          <a:ext cx="400050" cy="142875"/>
        </a:xfrm>
        <a:prstGeom prst="curvedRightArrow">
          <a:avLst>
            <a:gd name="adj1" fmla="val 1185"/>
            <a:gd name="adj2" fmla="val 40000"/>
            <a:gd name="adj3" fmla="val 44444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9</xdr:col>
      <xdr:colOff>457200</xdr:colOff>
      <xdr:row>279</xdr:row>
      <xdr:rowOff>28575</xdr:rowOff>
    </xdr:from>
    <xdr:to>
      <xdr:col>10</xdr:col>
      <xdr:colOff>114300</xdr:colOff>
      <xdr:row>279</xdr:row>
      <xdr:rowOff>171450</xdr:rowOff>
    </xdr:to>
    <xdr:sp macro="" textlink="">
      <xdr:nvSpPr>
        <xdr:cNvPr id="28" name="AutoShape 2861">
          <a:extLst>
            <a:ext uri="{FF2B5EF4-FFF2-40B4-BE49-F238E27FC236}">
              <a16:creationId xmlns:a16="http://schemas.microsoft.com/office/drawing/2014/main" id="{00000000-0008-0000-0100-00001C000000}"/>
            </a:ext>
          </a:extLst>
        </xdr:cNvPr>
        <xdr:cNvSpPr>
          <a:spLocks noChangeArrowheads="1"/>
        </xdr:cNvSpPr>
      </xdr:nvSpPr>
      <xdr:spPr bwMode="auto">
        <a:xfrm>
          <a:off x="5819775" y="57083325"/>
          <a:ext cx="400050" cy="142875"/>
        </a:xfrm>
        <a:prstGeom prst="curvedRightArrow">
          <a:avLst>
            <a:gd name="adj1" fmla="val 1185"/>
            <a:gd name="adj2" fmla="val 40000"/>
            <a:gd name="adj3" fmla="val 44444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10</xdr:col>
      <xdr:colOff>114300</xdr:colOff>
      <xdr:row>176</xdr:row>
      <xdr:rowOff>28575</xdr:rowOff>
    </xdr:from>
    <xdr:to>
      <xdr:col>10</xdr:col>
      <xdr:colOff>266700</xdr:colOff>
      <xdr:row>176</xdr:row>
      <xdr:rowOff>190500</xdr:rowOff>
    </xdr:to>
    <xdr:sp macro="" textlink="">
      <xdr:nvSpPr>
        <xdr:cNvPr id="29" name="AutoShape 2864">
          <a:extLst>
            <a:ext uri="{FF2B5EF4-FFF2-40B4-BE49-F238E27FC236}">
              <a16:creationId xmlns:a16="http://schemas.microsoft.com/office/drawing/2014/main" id="{00000000-0008-0000-0100-00001D000000}"/>
            </a:ext>
          </a:extLst>
        </xdr:cNvPr>
        <xdr:cNvSpPr>
          <a:spLocks noChangeArrowheads="1"/>
        </xdr:cNvSpPr>
      </xdr:nvSpPr>
      <xdr:spPr bwMode="auto">
        <a:xfrm>
          <a:off x="6219825" y="33794700"/>
          <a:ext cx="152400" cy="161925"/>
        </a:xfrm>
        <a:prstGeom prst="curvedLeftArrow">
          <a:avLst>
            <a:gd name="adj1" fmla="val 1259"/>
            <a:gd name="adj2" fmla="val 42500"/>
            <a:gd name="adj3" fmla="val 33333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10</xdr:col>
      <xdr:colOff>114300</xdr:colOff>
      <xdr:row>177</xdr:row>
      <xdr:rowOff>28575</xdr:rowOff>
    </xdr:from>
    <xdr:to>
      <xdr:col>10</xdr:col>
      <xdr:colOff>266700</xdr:colOff>
      <xdr:row>177</xdr:row>
      <xdr:rowOff>190500</xdr:rowOff>
    </xdr:to>
    <xdr:sp macro="" textlink="">
      <xdr:nvSpPr>
        <xdr:cNvPr id="30" name="AutoShape 2866">
          <a:extLst>
            <a:ext uri="{FF2B5EF4-FFF2-40B4-BE49-F238E27FC236}">
              <a16:creationId xmlns:a16="http://schemas.microsoft.com/office/drawing/2014/main" id="{00000000-0008-0000-0100-00001E000000}"/>
            </a:ext>
          </a:extLst>
        </xdr:cNvPr>
        <xdr:cNvSpPr>
          <a:spLocks noChangeArrowheads="1"/>
        </xdr:cNvSpPr>
      </xdr:nvSpPr>
      <xdr:spPr bwMode="auto">
        <a:xfrm>
          <a:off x="6219825" y="33994725"/>
          <a:ext cx="152400" cy="161925"/>
        </a:xfrm>
        <a:prstGeom prst="curvedLeftArrow">
          <a:avLst>
            <a:gd name="adj1" fmla="val 1259"/>
            <a:gd name="adj2" fmla="val 42500"/>
            <a:gd name="adj3" fmla="val 33333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10</xdr:col>
      <xdr:colOff>104775</xdr:colOff>
      <xdr:row>178</xdr:row>
      <xdr:rowOff>28575</xdr:rowOff>
    </xdr:from>
    <xdr:to>
      <xdr:col>10</xdr:col>
      <xdr:colOff>257175</xdr:colOff>
      <xdr:row>178</xdr:row>
      <xdr:rowOff>190500</xdr:rowOff>
    </xdr:to>
    <xdr:sp macro="" textlink="">
      <xdr:nvSpPr>
        <xdr:cNvPr id="31" name="AutoShape 2867">
          <a:extLst>
            <a:ext uri="{FF2B5EF4-FFF2-40B4-BE49-F238E27FC236}">
              <a16:creationId xmlns:a16="http://schemas.microsoft.com/office/drawing/2014/main" id="{00000000-0008-0000-0100-00001F000000}"/>
            </a:ext>
          </a:extLst>
        </xdr:cNvPr>
        <xdr:cNvSpPr>
          <a:spLocks noChangeArrowheads="1"/>
        </xdr:cNvSpPr>
      </xdr:nvSpPr>
      <xdr:spPr bwMode="auto">
        <a:xfrm>
          <a:off x="6210300" y="34194750"/>
          <a:ext cx="152400" cy="161925"/>
        </a:xfrm>
        <a:prstGeom prst="curvedLeftArrow">
          <a:avLst>
            <a:gd name="adj1" fmla="val 1259"/>
            <a:gd name="adj2" fmla="val 42500"/>
            <a:gd name="adj3" fmla="val 33333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10</xdr:col>
      <xdr:colOff>142875</xdr:colOff>
      <xdr:row>235</xdr:row>
      <xdr:rowOff>28575</xdr:rowOff>
    </xdr:from>
    <xdr:to>
      <xdr:col>10</xdr:col>
      <xdr:colOff>295275</xdr:colOff>
      <xdr:row>236</xdr:row>
      <xdr:rowOff>9525</xdr:rowOff>
    </xdr:to>
    <xdr:sp macro="" textlink="">
      <xdr:nvSpPr>
        <xdr:cNvPr id="32" name="AutoShape 2872">
          <a:extLst>
            <a:ext uri="{FF2B5EF4-FFF2-40B4-BE49-F238E27FC236}">
              <a16:creationId xmlns:a16="http://schemas.microsoft.com/office/drawing/2014/main" id="{00000000-0008-0000-0100-000020000000}"/>
            </a:ext>
          </a:extLst>
        </xdr:cNvPr>
        <xdr:cNvSpPr>
          <a:spLocks noChangeArrowheads="1"/>
        </xdr:cNvSpPr>
      </xdr:nvSpPr>
      <xdr:spPr bwMode="auto">
        <a:xfrm>
          <a:off x="6248400" y="46072425"/>
          <a:ext cx="152400" cy="180975"/>
        </a:xfrm>
        <a:prstGeom prst="curvedLeftArrow">
          <a:avLst>
            <a:gd name="adj1" fmla="val 1407"/>
            <a:gd name="adj2" fmla="val 47500"/>
            <a:gd name="adj3" fmla="val 33333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10</xdr:col>
      <xdr:colOff>142875</xdr:colOff>
      <xdr:row>236</xdr:row>
      <xdr:rowOff>28575</xdr:rowOff>
    </xdr:from>
    <xdr:to>
      <xdr:col>10</xdr:col>
      <xdr:colOff>295275</xdr:colOff>
      <xdr:row>236</xdr:row>
      <xdr:rowOff>190500</xdr:rowOff>
    </xdr:to>
    <xdr:sp macro="" textlink="">
      <xdr:nvSpPr>
        <xdr:cNvPr id="33" name="AutoShape 2873">
          <a:extLst>
            <a:ext uri="{FF2B5EF4-FFF2-40B4-BE49-F238E27FC236}">
              <a16:creationId xmlns:a16="http://schemas.microsoft.com/office/drawing/2014/main" id="{00000000-0008-0000-0100-000021000000}"/>
            </a:ext>
          </a:extLst>
        </xdr:cNvPr>
        <xdr:cNvSpPr>
          <a:spLocks noChangeArrowheads="1"/>
        </xdr:cNvSpPr>
      </xdr:nvSpPr>
      <xdr:spPr bwMode="auto">
        <a:xfrm>
          <a:off x="6248400" y="46272450"/>
          <a:ext cx="152400" cy="161925"/>
        </a:xfrm>
        <a:prstGeom prst="curvedLeftArrow">
          <a:avLst>
            <a:gd name="adj1" fmla="val 1259"/>
            <a:gd name="adj2" fmla="val 42500"/>
            <a:gd name="adj3" fmla="val 33333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10</xdr:col>
      <xdr:colOff>142875</xdr:colOff>
      <xdr:row>234</xdr:row>
      <xdr:rowOff>38100</xdr:rowOff>
    </xdr:from>
    <xdr:to>
      <xdr:col>10</xdr:col>
      <xdr:colOff>295275</xdr:colOff>
      <xdr:row>235</xdr:row>
      <xdr:rowOff>0</xdr:rowOff>
    </xdr:to>
    <xdr:sp macro="" textlink="">
      <xdr:nvSpPr>
        <xdr:cNvPr id="34" name="AutoShape 2874">
          <a:extLst>
            <a:ext uri="{FF2B5EF4-FFF2-40B4-BE49-F238E27FC236}">
              <a16:creationId xmlns:a16="http://schemas.microsoft.com/office/drawing/2014/main" id="{00000000-0008-0000-0100-000022000000}"/>
            </a:ext>
          </a:extLst>
        </xdr:cNvPr>
        <xdr:cNvSpPr>
          <a:spLocks noChangeArrowheads="1"/>
        </xdr:cNvSpPr>
      </xdr:nvSpPr>
      <xdr:spPr bwMode="auto">
        <a:xfrm>
          <a:off x="6248400" y="45891450"/>
          <a:ext cx="152400" cy="152400"/>
        </a:xfrm>
        <a:prstGeom prst="curvedLeftArrow">
          <a:avLst>
            <a:gd name="adj1" fmla="val 1259"/>
            <a:gd name="adj2" fmla="val 42500"/>
            <a:gd name="adj3" fmla="val 33333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10</xdr:col>
      <xdr:colOff>123825</xdr:colOff>
      <xdr:row>282</xdr:row>
      <xdr:rowOff>19050</xdr:rowOff>
    </xdr:from>
    <xdr:to>
      <xdr:col>10</xdr:col>
      <xdr:colOff>276225</xdr:colOff>
      <xdr:row>283</xdr:row>
      <xdr:rowOff>19050</xdr:rowOff>
    </xdr:to>
    <xdr:sp macro="" textlink="">
      <xdr:nvSpPr>
        <xdr:cNvPr id="35" name="AutoShape 2876">
          <a:extLst>
            <a:ext uri="{FF2B5EF4-FFF2-40B4-BE49-F238E27FC236}">
              <a16:creationId xmlns:a16="http://schemas.microsoft.com/office/drawing/2014/main" id="{00000000-0008-0000-0100-000023000000}"/>
            </a:ext>
          </a:extLst>
        </xdr:cNvPr>
        <xdr:cNvSpPr>
          <a:spLocks noChangeArrowheads="1"/>
        </xdr:cNvSpPr>
      </xdr:nvSpPr>
      <xdr:spPr bwMode="auto">
        <a:xfrm>
          <a:off x="6229350" y="57664350"/>
          <a:ext cx="152400" cy="200025"/>
        </a:xfrm>
        <a:prstGeom prst="curvedLeftArrow">
          <a:avLst>
            <a:gd name="adj1" fmla="val 1556"/>
            <a:gd name="adj2" fmla="val 52500"/>
            <a:gd name="adj3" fmla="val 33333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10</xdr:col>
      <xdr:colOff>123825</xdr:colOff>
      <xdr:row>283</xdr:row>
      <xdr:rowOff>28575</xdr:rowOff>
    </xdr:from>
    <xdr:to>
      <xdr:col>10</xdr:col>
      <xdr:colOff>276225</xdr:colOff>
      <xdr:row>283</xdr:row>
      <xdr:rowOff>190500</xdr:rowOff>
    </xdr:to>
    <xdr:sp macro="" textlink="">
      <xdr:nvSpPr>
        <xdr:cNvPr id="36" name="AutoShape 2877">
          <a:extLst>
            <a:ext uri="{FF2B5EF4-FFF2-40B4-BE49-F238E27FC236}">
              <a16:creationId xmlns:a16="http://schemas.microsoft.com/office/drawing/2014/main" id="{00000000-0008-0000-0100-000024000000}"/>
            </a:ext>
          </a:extLst>
        </xdr:cNvPr>
        <xdr:cNvSpPr>
          <a:spLocks noChangeArrowheads="1"/>
        </xdr:cNvSpPr>
      </xdr:nvSpPr>
      <xdr:spPr bwMode="auto">
        <a:xfrm>
          <a:off x="6229350" y="57873900"/>
          <a:ext cx="152400" cy="161925"/>
        </a:xfrm>
        <a:prstGeom prst="curvedLeftArrow">
          <a:avLst>
            <a:gd name="adj1" fmla="val 1259"/>
            <a:gd name="adj2" fmla="val 42500"/>
            <a:gd name="adj3" fmla="val 33333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10</xdr:col>
      <xdr:colOff>123825</xdr:colOff>
      <xdr:row>285</xdr:row>
      <xdr:rowOff>28575</xdr:rowOff>
    </xdr:from>
    <xdr:to>
      <xdr:col>10</xdr:col>
      <xdr:colOff>276225</xdr:colOff>
      <xdr:row>285</xdr:row>
      <xdr:rowOff>190500</xdr:rowOff>
    </xdr:to>
    <xdr:sp macro="" textlink="">
      <xdr:nvSpPr>
        <xdr:cNvPr id="37" name="AutoShape 2878">
          <a:extLst>
            <a:ext uri="{FF2B5EF4-FFF2-40B4-BE49-F238E27FC236}">
              <a16:creationId xmlns:a16="http://schemas.microsoft.com/office/drawing/2014/main" id="{00000000-0008-0000-0100-000025000000}"/>
            </a:ext>
          </a:extLst>
        </xdr:cNvPr>
        <xdr:cNvSpPr>
          <a:spLocks noChangeArrowheads="1"/>
        </xdr:cNvSpPr>
      </xdr:nvSpPr>
      <xdr:spPr bwMode="auto">
        <a:xfrm>
          <a:off x="6229350" y="58273950"/>
          <a:ext cx="152400" cy="161925"/>
        </a:xfrm>
        <a:prstGeom prst="curvedLeftArrow">
          <a:avLst>
            <a:gd name="adj1" fmla="val 1259"/>
            <a:gd name="adj2" fmla="val 42500"/>
            <a:gd name="adj3" fmla="val 33333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</xdr:col>
      <xdr:colOff>527798</xdr:colOff>
      <xdr:row>112</xdr:row>
      <xdr:rowOff>30256</xdr:rowOff>
    </xdr:from>
    <xdr:to>
      <xdr:col>3</xdr:col>
      <xdr:colOff>527798</xdr:colOff>
      <xdr:row>113</xdr:row>
      <xdr:rowOff>11206</xdr:rowOff>
    </xdr:to>
    <xdr:sp macro="" textlink="">
      <xdr:nvSpPr>
        <xdr:cNvPr id="38" name="Line 2881">
          <a:extLst>
            <a:ext uri="{FF2B5EF4-FFF2-40B4-BE49-F238E27FC236}">
              <a16:creationId xmlns:a16="http://schemas.microsoft.com/office/drawing/2014/main" id="{00000000-0008-0000-0100-000026000000}"/>
            </a:ext>
          </a:extLst>
        </xdr:cNvPr>
        <xdr:cNvSpPr>
          <a:spLocks noChangeShapeType="1"/>
        </xdr:cNvSpPr>
      </xdr:nvSpPr>
      <xdr:spPr bwMode="auto">
        <a:xfrm>
          <a:off x="2166098" y="20890006"/>
          <a:ext cx="0" cy="1905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xdr:twoCellAnchor>
    <xdr:from>
      <xdr:col>3</xdr:col>
      <xdr:colOff>284899</xdr:colOff>
      <xdr:row>113</xdr:row>
      <xdr:rowOff>57305</xdr:rowOff>
    </xdr:from>
    <xdr:to>
      <xdr:col>3</xdr:col>
      <xdr:colOff>730604</xdr:colOff>
      <xdr:row>119</xdr:row>
      <xdr:rowOff>152555</xdr:rowOff>
    </xdr:to>
    <xdr:grpSp>
      <xdr:nvGrpSpPr>
        <xdr:cNvPr id="39" name="4722 Grup">
          <a:extLst>
            <a:ext uri="{FF2B5EF4-FFF2-40B4-BE49-F238E27FC236}">
              <a16:creationId xmlns:a16="http://schemas.microsoft.com/office/drawing/2014/main" id="{00000000-0008-0000-0100-000027000000}"/>
            </a:ext>
          </a:extLst>
        </xdr:cNvPr>
        <xdr:cNvGrpSpPr>
          <a:grpSpLocks/>
        </xdr:cNvGrpSpPr>
      </xdr:nvGrpSpPr>
      <xdr:grpSpPr bwMode="auto">
        <a:xfrm>
          <a:off x="1932164" y="21023511"/>
          <a:ext cx="445705" cy="1260662"/>
          <a:chOff x="3789589" y="23328086"/>
          <a:chExt cx="247650" cy="1279071"/>
        </a:xfrm>
      </xdr:grpSpPr>
      <xdr:sp macro="" textlink="">
        <xdr:nvSpPr>
          <xdr:cNvPr id="40" name="Line 2885">
            <a:extLst>
              <a:ext uri="{FF2B5EF4-FFF2-40B4-BE49-F238E27FC236}">
                <a16:creationId xmlns:a16="http://schemas.microsoft.com/office/drawing/2014/main" id="{00000000-0008-0000-0100-000028000000}"/>
              </a:ext>
            </a:extLst>
          </xdr:cNvPr>
          <xdr:cNvSpPr>
            <a:spLocks noChangeShapeType="1"/>
          </xdr:cNvSpPr>
        </xdr:nvSpPr>
        <xdr:spPr bwMode="auto">
          <a:xfrm>
            <a:off x="3932464" y="23328086"/>
            <a:ext cx="0" cy="171450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 type="triangle" w="med" len="med"/>
          </a:ln>
        </xdr:spPr>
      </xdr:sp>
      <xdr:sp macro="" textlink="">
        <xdr:nvSpPr>
          <xdr:cNvPr id="41" name="Line 2886">
            <a:extLst>
              <a:ext uri="{FF2B5EF4-FFF2-40B4-BE49-F238E27FC236}">
                <a16:creationId xmlns:a16="http://schemas.microsoft.com/office/drawing/2014/main" id="{00000000-0008-0000-0100-000029000000}"/>
              </a:ext>
            </a:extLst>
          </xdr:cNvPr>
          <xdr:cNvSpPr>
            <a:spLocks noChangeShapeType="1"/>
          </xdr:cNvSpPr>
        </xdr:nvSpPr>
        <xdr:spPr bwMode="auto">
          <a:xfrm>
            <a:off x="3932464" y="23522668"/>
            <a:ext cx="0" cy="194582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 type="triangle" w="med" len="med"/>
          </a:ln>
        </xdr:spPr>
      </xdr:sp>
      <xdr:sp macro="" textlink="">
        <xdr:nvSpPr>
          <xdr:cNvPr id="42" name="Line 2887">
            <a:extLst>
              <a:ext uri="{FF2B5EF4-FFF2-40B4-BE49-F238E27FC236}">
                <a16:creationId xmlns:a16="http://schemas.microsoft.com/office/drawing/2014/main" id="{00000000-0008-0000-0100-00002A000000}"/>
              </a:ext>
            </a:extLst>
          </xdr:cNvPr>
          <xdr:cNvSpPr>
            <a:spLocks noChangeShapeType="1"/>
          </xdr:cNvSpPr>
        </xdr:nvSpPr>
        <xdr:spPr bwMode="auto">
          <a:xfrm>
            <a:off x="3932464" y="23726775"/>
            <a:ext cx="0" cy="194582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 type="triangle" w="med" len="med"/>
          </a:ln>
        </xdr:spPr>
      </xdr:sp>
      <xdr:sp macro="" textlink="">
        <xdr:nvSpPr>
          <xdr:cNvPr id="43" name="Line 2888">
            <a:extLst>
              <a:ext uri="{FF2B5EF4-FFF2-40B4-BE49-F238E27FC236}">
                <a16:creationId xmlns:a16="http://schemas.microsoft.com/office/drawing/2014/main" id="{00000000-0008-0000-0100-00002B000000}"/>
              </a:ext>
            </a:extLst>
          </xdr:cNvPr>
          <xdr:cNvSpPr>
            <a:spLocks noChangeShapeType="1"/>
          </xdr:cNvSpPr>
        </xdr:nvSpPr>
        <xdr:spPr bwMode="auto">
          <a:xfrm>
            <a:off x="3932464" y="23930882"/>
            <a:ext cx="0" cy="194582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 type="triangle" w="med" len="med"/>
          </a:ln>
        </xdr:spPr>
      </xdr:sp>
      <xdr:sp macro="" textlink="">
        <xdr:nvSpPr>
          <xdr:cNvPr id="44" name="Line 2889">
            <a:extLst>
              <a:ext uri="{FF2B5EF4-FFF2-40B4-BE49-F238E27FC236}">
                <a16:creationId xmlns:a16="http://schemas.microsoft.com/office/drawing/2014/main" id="{00000000-0008-0000-0100-00002C000000}"/>
              </a:ext>
            </a:extLst>
          </xdr:cNvPr>
          <xdr:cNvSpPr>
            <a:spLocks noChangeShapeType="1"/>
          </xdr:cNvSpPr>
        </xdr:nvSpPr>
        <xdr:spPr bwMode="auto">
          <a:xfrm>
            <a:off x="3932464" y="24134989"/>
            <a:ext cx="0" cy="153761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 type="triangle" w="med" len="med"/>
          </a:ln>
        </xdr:spPr>
      </xdr:sp>
      <xdr:sp macro="" textlink="">
        <xdr:nvSpPr>
          <xdr:cNvPr id="45" name="Line 2890">
            <a:extLst>
              <a:ext uri="{FF2B5EF4-FFF2-40B4-BE49-F238E27FC236}">
                <a16:creationId xmlns:a16="http://schemas.microsoft.com/office/drawing/2014/main" id="{00000000-0008-0000-0100-00002D000000}"/>
              </a:ext>
            </a:extLst>
          </xdr:cNvPr>
          <xdr:cNvSpPr>
            <a:spLocks noChangeShapeType="1"/>
          </xdr:cNvSpPr>
        </xdr:nvSpPr>
        <xdr:spPr bwMode="auto">
          <a:xfrm>
            <a:off x="3799114" y="24393525"/>
            <a:ext cx="238125" cy="0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 type="triangle" w="med" len="med"/>
          </a:ln>
        </xdr:spPr>
      </xdr:sp>
      <xdr:sp macro="" textlink="">
        <xdr:nvSpPr>
          <xdr:cNvPr id="46" name="Line 2891">
            <a:extLst>
              <a:ext uri="{FF2B5EF4-FFF2-40B4-BE49-F238E27FC236}">
                <a16:creationId xmlns:a16="http://schemas.microsoft.com/office/drawing/2014/main" id="{00000000-0008-0000-0100-00002E000000}"/>
              </a:ext>
            </a:extLst>
          </xdr:cNvPr>
          <xdr:cNvSpPr>
            <a:spLocks noChangeShapeType="1"/>
          </xdr:cNvSpPr>
        </xdr:nvSpPr>
        <xdr:spPr bwMode="auto">
          <a:xfrm>
            <a:off x="3789589" y="24607157"/>
            <a:ext cx="247650" cy="0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 type="triangle" w="med" len="med"/>
          </a:ln>
        </xdr:spPr>
      </xdr:sp>
    </xdr:grpSp>
    <xdr:clientData/>
  </xdr:twoCellAnchor>
  <xdr:twoCellAnchor>
    <xdr:from>
      <xdr:col>3</xdr:col>
      <xdr:colOff>427725</xdr:colOff>
      <xdr:row>170</xdr:row>
      <xdr:rowOff>52274</xdr:rowOff>
    </xdr:from>
    <xdr:to>
      <xdr:col>4</xdr:col>
      <xdr:colOff>118593</xdr:colOff>
      <xdr:row>178</xdr:row>
      <xdr:rowOff>87970</xdr:rowOff>
    </xdr:to>
    <xdr:grpSp>
      <xdr:nvGrpSpPr>
        <xdr:cNvPr id="47" name="4723 Grup">
          <a:extLst>
            <a:ext uri="{FF2B5EF4-FFF2-40B4-BE49-F238E27FC236}">
              <a16:creationId xmlns:a16="http://schemas.microsoft.com/office/drawing/2014/main" id="{00000000-0008-0000-0100-00002F000000}"/>
            </a:ext>
          </a:extLst>
        </xdr:cNvPr>
        <xdr:cNvGrpSpPr>
          <a:grpSpLocks/>
        </xdr:cNvGrpSpPr>
      </xdr:nvGrpSpPr>
      <xdr:grpSpPr bwMode="auto">
        <a:xfrm>
          <a:off x="2074990" y="32437274"/>
          <a:ext cx="419250" cy="1660549"/>
          <a:chOff x="-274367" y="32337237"/>
          <a:chExt cx="232728" cy="2037799"/>
        </a:xfrm>
      </xdr:grpSpPr>
      <xdr:sp macro="" textlink="">
        <xdr:nvSpPr>
          <xdr:cNvPr id="48" name="Line 2893">
            <a:extLst>
              <a:ext uri="{FF2B5EF4-FFF2-40B4-BE49-F238E27FC236}">
                <a16:creationId xmlns:a16="http://schemas.microsoft.com/office/drawing/2014/main" id="{00000000-0008-0000-0100-000030000000}"/>
              </a:ext>
            </a:extLst>
          </xdr:cNvPr>
          <xdr:cNvSpPr>
            <a:spLocks noChangeShapeType="1"/>
          </xdr:cNvSpPr>
        </xdr:nvSpPr>
        <xdr:spPr bwMode="auto">
          <a:xfrm>
            <a:off x="-214166" y="32337237"/>
            <a:ext cx="0" cy="172810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 type="triangle" w="med" len="med"/>
          </a:ln>
        </xdr:spPr>
      </xdr:sp>
      <xdr:sp macro="" textlink="">
        <xdr:nvSpPr>
          <xdr:cNvPr id="49" name="Line 2896">
            <a:extLst>
              <a:ext uri="{FF2B5EF4-FFF2-40B4-BE49-F238E27FC236}">
                <a16:creationId xmlns:a16="http://schemas.microsoft.com/office/drawing/2014/main" id="{00000000-0008-0000-0100-000031000000}"/>
              </a:ext>
            </a:extLst>
          </xdr:cNvPr>
          <xdr:cNvSpPr>
            <a:spLocks noChangeShapeType="1"/>
          </xdr:cNvSpPr>
        </xdr:nvSpPr>
        <xdr:spPr bwMode="auto">
          <a:xfrm>
            <a:off x="-213253" y="33288303"/>
            <a:ext cx="0" cy="194581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 type="triangle" w="med" len="med"/>
          </a:ln>
        </xdr:spPr>
      </xdr:sp>
      <xdr:sp macro="" textlink="">
        <xdr:nvSpPr>
          <xdr:cNvPr id="50" name="Line 2897">
            <a:extLst>
              <a:ext uri="{FF2B5EF4-FFF2-40B4-BE49-F238E27FC236}">
                <a16:creationId xmlns:a16="http://schemas.microsoft.com/office/drawing/2014/main" id="{00000000-0008-0000-0100-000032000000}"/>
              </a:ext>
            </a:extLst>
          </xdr:cNvPr>
          <xdr:cNvSpPr>
            <a:spLocks noChangeShapeType="1"/>
          </xdr:cNvSpPr>
        </xdr:nvSpPr>
        <xdr:spPr bwMode="auto">
          <a:xfrm>
            <a:off x="-213253" y="33084196"/>
            <a:ext cx="0" cy="204108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 type="triangle" w="med" len="med"/>
          </a:ln>
        </xdr:spPr>
      </xdr:sp>
      <xdr:sp macro="" textlink="">
        <xdr:nvSpPr>
          <xdr:cNvPr id="51" name="Line 2898">
            <a:extLst>
              <a:ext uri="{FF2B5EF4-FFF2-40B4-BE49-F238E27FC236}">
                <a16:creationId xmlns:a16="http://schemas.microsoft.com/office/drawing/2014/main" id="{00000000-0008-0000-0100-000033000000}"/>
              </a:ext>
            </a:extLst>
          </xdr:cNvPr>
          <xdr:cNvSpPr>
            <a:spLocks noChangeShapeType="1"/>
          </xdr:cNvSpPr>
        </xdr:nvSpPr>
        <xdr:spPr bwMode="auto">
          <a:xfrm>
            <a:off x="-213253" y="32870564"/>
            <a:ext cx="0" cy="213632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 type="triangle" w="med" len="med"/>
          </a:ln>
        </xdr:spPr>
      </xdr:sp>
      <xdr:sp macro="" textlink="">
        <xdr:nvSpPr>
          <xdr:cNvPr id="52" name="Line 2899">
            <a:extLst>
              <a:ext uri="{FF2B5EF4-FFF2-40B4-BE49-F238E27FC236}">
                <a16:creationId xmlns:a16="http://schemas.microsoft.com/office/drawing/2014/main" id="{00000000-0008-0000-0100-000034000000}"/>
              </a:ext>
            </a:extLst>
          </xdr:cNvPr>
          <xdr:cNvSpPr>
            <a:spLocks noChangeShapeType="1"/>
          </xdr:cNvSpPr>
        </xdr:nvSpPr>
        <xdr:spPr bwMode="auto">
          <a:xfrm>
            <a:off x="-213253" y="32675981"/>
            <a:ext cx="0" cy="194581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 type="triangle" w="med" len="med"/>
          </a:ln>
        </xdr:spPr>
      </xdr:sp>
      <xdr:sp macro="" textlink="">
        <xdr:nvSpPr>
          <xdr:cNvPr id="53" name="Line 2900">
            <a:extLst>
              <a:ext uri="{FF2B5EF4-FFF2-40B4-BE49-F238E27FC236}">
                <a16:creationId xmlns:a16="http://schemas.microsoft.com/office/drawing/2014/main" id="{00000000-0008-0000-0100-000035000000}"/>
              </a:ext>
            </a:extLst>
          </xdr:cNvPr>
          <xdr:cNvSpPr>
            <a:spLocks noChangeShapeType="1"/>
          </xdr:cNvSpPr>
        </xdr:nvSpPr>
        <xdr:spPr bwMode="auto">
          <a:xfrm>
            <a:off x="-213253" y="32471874"/>
            <a:ext cx="0" cy="204107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 type="triangle" w="med" len="med"/>
          </a:ln>
        </xdr:spPr>
      </xdr:sp>
      <xdr:sp macro="" textlink="">
        <xdr:nvSpPr>
          <xdr:cNvPr id="54" name="Line 2904">
            <a:extLst>
              <a:ext uri="{FF2B5EF4-FFF2-40B4-BE49-F238E27FC236}">
                <a16:creationId xmlns:a16="http://schemas.microsoft.com/office/drawing/2014/main" id="{00000000-0008-0000-0100-000036000000}"/>
              </a:ext>
            </a:extLst>
          </xdr:cNvPr>
          <xdr:cNvSpPr>
            <a:spLocks noChangeShapeType="1"/>
          </xdr:cNvSpPr>
        </xdr:nvSpPr>
        <xdr:spPr bwMode="auto">
          <a:xfrm>
            <a:off x="-273377" y="33626437"/>
            <a:ext cx="219075" cy="0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 type="triangle" w="med" len="med"/>
          </a:ln>
        </xdr:spPr>
      </xdr:sp>
      <xdr:sp macro="" textlink="">
        <xdr:nvSpPr>
          <xdr:cNvPr id="55" name="Line 2905">
            <a:extLst>
              <a:ext uri="{FF2B5EF4-FFF2-40B4-BE49-F238E27FC236}">
                <a16:creationId xmlns:a16="http://schemas.microsoft.com/office/drawing/2014/main" id="{00000000-0008-0000-0100-000037000000}"/>
              </a:ext>
            </a:extLst>
          </xdr:cNvPr>
          <xdr:cNvSpPr>
            <a:spLocks noChangeShapeType="1"/>
          </xdr:cNvSpPr>
        </xdr:nvSpPr>
        <xdr:spPr bwMode="auto">
          <a:xfrm>
            <a:off x="-269375" y="33956413"/>
            <a:ext cx="219075" cy="0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 type="triangle" w="med" len="med"/>
          </a:ln>
        </xdr:spPr>
      </xdr:sp>
      <xdr:sp macro="" textlink="">
        <xdr:nvSpPr>
          <xdr:cNvPr id="56" name="Line 2906">
            <a:extLst>
              <a:ext uri="{FF2B5EF4-FFF2-40B4-BE49-F238E27FC236}">
                <a16:creationId xmlns:a16="http://schemas.microsoft.com/office/drawing/2014/main" id="{00000000-0008-0000-0100-000038000000}"/>
              </a:ext>
            </a:extLst>
          </xdr:cNvPr>
          <xdr:cNvSpPr>
            <a:spLocks noChangeShapeType="1"/>
          </xdr:cNvSpPr>
        </xdr:nvSpPr>
        <xdr:spPr bwMode="auto">
          <a:xfrm>
            <a:off x="-274367" y="34167921"/>
            <a:ext cx="228600" cy="0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 type="triangle" w="med" len="med"/>
          </a:ln>
        </xdr:spPr>
      </xdr:sp>
      <xdr:sp macro="" textlink="">
        <xdr:nvSpPr>
          <xdr:cNvPr id="57" name="Line 2907">
            <a:extLst>
              <a:ext uri="{FF2B5EF4-FFF2-40B4-BE49-F238E27FC236}">
                <a16:creationId xmlns:a16="http://schemas.microsoft.com/office/drawing/2014/main" id="{00000000-0008-0000-0100-000039000000}"/>
              </a:ext>
            </a:extLst>
          </xdr:cNvPr>
          <xdr:cNvSpPr>
            <a:spLocks noChangeShapeType="1"/>
          </xdr:cNvSpPr>
        </xdr:nvSpPr>
        <xdr:spPr bwMode="auto">
          <a:xfrm>
            <a:off x="-270239" y="34375036"/>
            <a:ext cx="228600" cy="0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 type="triangle" w="med" len="med"/>
          </a:ln>
        </xdr:spPr>
      </xdr:sp>
    </xdr:grpSp>
    <xdr:clientData/>
  </xdr:twoCellAnchor>
  <xdr:twoCellAnchor>
    <xdr:from>
      <xdr:col>3</xdr:col>
      <xdr:colOff>381000</xdr:colOff>
      <xdr:row>226</xdr:row>
      <xdr:rowOff>9525</xdr:rowOff>
    </xdr:from>
    <xdr:to>
      <xdr:col>4</xdr:col>
      <xdr:colOff>57150</xdr:colOff>
      <xdr:row>236</xdr:row>
      <xdr:rowOff>104775</xdr:rowOff>
    </xdr:to>
    <xdr:grpSp>
      <xdr:nvGrpSpPr>
        <xdr:cNvPr id="58" name="4724 Grup">
          <a:extLst>
            <a:ext uri="{FF2B5EF4-FFF2-40B4-BE49-F238E27FC236}">
              <a16:creationId xmlns:a16="http://schemas.microsoft.com/office/drawing/2014/main" id="{00000000-0008-0000-0100-00003A000000}"/>
            </a:ext>
          </a:extLst>
        </xdr:cNvPr>
        <xdr:cNvGrpSpPr>
          <a:grpSpLocks/>
        </xdr:cNvGrpSpPr>
      </xdr:nvGrpSpPr>
      <xdr:grpSpPr bwMode="auto">
        <a:xfrm>
          <a:off x="2028265" y="43723672"/>
          <a:ext cx="404532" cy="2112309"/>
          <a:chOff x="3808639" y="41946739"/>
          <a:chExt cx="200025" cy="2132240"/>
        </a:xfrm>
      </xdr:grpSpPr>
      <xdr:sp macro="" textlink="">
        <xdr:nvSpPr>
          <xdr:cNvPr id="59" name="Line 2909">
            <a:extLst>
              <a:ext uri="{FF2B5EF4-FFF2-40B4-BE49-F238E27FC236}">
                <a16:creationId xmlns:a16="http://schemas.microsoft.com/office/drawing/2014/main" id="{00000000-0008-0000-0100-00003B000000}"/>
              </a:ext>
            </a:extLst>
          </xdr:cNvPr>
          <xdr:cNvSpPr>
            <a:spLocks noChangeShapeType="1"/>
          </xdr:cNvSpPr>
        </xdr:nvSpPr>
        <xdr:spPr bwMode="auto">
          <a:xfrm>
            <a:off x="3932464" y="43375489"/>
            <a:ext cx="0" cy="194582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 type="triangle" w="med" len="med"/>
          </a:ln>
        </xdr:spPr>
      </xdr:sp>
      <xdr:sp macro="" textlink="">
        <xdr:nvSpPr>
          <xdr:cNvPr id="60" name="Line 2910">
            <a:extLst>
              <a:ext uri="{FF2B5EF4-FFF2-40B4-BE49-F238E27FC236}">
                <a16:creationId xmlns:a16="http://schemas.microsoft.com/office/drawing/2014/main" id="{00000000-0008-0000-0100-00003C000000}"/>
              </a:ext>
            </a:extLst>
          </xdr:cNvPr>
          <xdr:cNvSpPr>
            <a:spLocks noChangeShapeType="1"/>
          </xdr:cNvSpPr>
        </xdr:nvSpPr>
        <xdr:spPr bwMode="auto">
          <a:xfrm>
            <a:off x="3932464" y="41946739"/>
            <a:ext cx="0" cy="194582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 type="triangle" w="med" len="med"/>
          </a:ln>
        </xdr:spPr>
      </xdr:sp>
      <xdr:sp macro="" textlink="">
        <xdr:nvSpPr>
          <xdr:cNvPr id="61" name="Line 2911">
            <a:extLst>
              <a:ext uri="{FF2B5EF4-FFF2-40B4-BE49-F238E27FC236}">
                <a16:creationId xmlns:a16="http://schemas.microsoft.com/office/drawing/2014/main" id="{00000000-0008-0000-0100-00003D000000}"/>
              </a:ext>
            </a:extLst>
          </xdr:cNvPr>
          <xdr:cNvSpPr>
            <a:spLocks noChangeShapeType="1"/>
          </xdr:cNvSpPr>
        </xdr:nvSpPr>
        <xdr:spPr bwMode="auto">
          <a:xfrm>
            <a:off x="3932464" y="42141321"/>
            <a:ext cx="0" cy="204108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 type="triangle" w="med" len="med"/>
          </a:ln>
        </xdr:spPr>
      </xdr:sp>
      <xdr:sp macro="" textlink="">
        <xdr:nvSpPr>
          <xdr:cNvPr id="62" name="Line 2912">
            <a:extLst>
              <a:ext uri="{FF2B5EF4-FFF2-40B4-BE49-F238E27FC236}">
                <a16:creationId xmlns:a16="http://schemas.microsoft.com/office/drawing/2014/main" id="{00000000-0008-0000-0100-00003E000000}"/>
              </a:ext>
            </a:extLst>
          </xdr:cNvPr>
          <xdr:cNvSpPr>
            <a:spLocks noChangeShapeType="1"/>
          </xdr:cNvSpPr>
        </xdr:nvSpPr>
        <xdr:spPr bwMode="auto">
          <a:xfrm>
            <a:off x="3932464" y="42345429"/>
            <a:ext cx="0" cy="204107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 type="triangle" w="med" len="med"/>
          </a:ln>
        </xdr:spPr>
      </xdr:sp>
      <xdr:sp macro="" textlink="">
        <xdr:nvSpPr>
          <xdr:cNvPr id="63" name="Line 2913">
            <a:extLst>
              <a:ext uri="{FF2B5EF4-FFF2-40B4-BE49-F238E27FC236}">
                <a16:creationId xmlns:a16="http://schemas.microsoft.com/office/drawing/2014/main" id="{00000000-0008-0000-0100-00003F000000}"/>
              </a:ext>
            </a:extLst>
          </xdr:cNvPr>
          <xdr:cNvSpPr>
            <a:spLocks noChangeShapeType="1"/>
          </xdr:cNvSpPr>
        </xdr:nvSpPr>
        <xdr:spPr bwMode="auto">
          <a:xfrm>
            <a:off x="3932464" y="42549536"/>
            <a:ext cx="0" cy="204107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 type="triangle" w="med" len="med"/>
          </a:ln>
        </xdr:spPr>
      </xdr:sp>
      <xdr:sp macro="" textlink="">
        <xdr:nvSpPr>
          <xdr:cNvPr id="64" name="Line 2914">
            <a:extLst>
              <a:ext uri="{FF2B5EF4-FFF2-40B4-BE49-F238E27FC236}">
                <a16:creationId xmlns:a16="http://schemas.microsoft.com/office/drawing/2014/main" id="{00000000-0008-0000-0100-000040000000}"/>
              </a:ext>
            </a:extLst>
          </xdr:cNvPr>
          <xdr:cNvSpPr>
            <a:spLocks noChangeShapeType="1"/>
          </xdr:cNvSpPr>
        </xdr:nvSpPr>
        <xdr:spPr bwMode="auto">
          <a:xfrm>
            <a:off x="3932464" y="42753643"/>
            <a:ext cx="0" cy="204107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 type="triangle" w="med" len="med"/>
          </a:ln>
        </xdr:spPr>
      </xdr:sp>
      <xdr:sp macro="" textlink="">
        <xdr:nvSpPr>
          <xdr:cNvPr id="65" name="Line 2915">
            <a:extLst>
              <a:ext uri="{FF2B5EF4-FFF2-40B4-BE49-F238E27FC236}">
                <a16:creationId xmlns:a16="http://schemas.microsoft.com/office/drawing/2014/main" id="{00000000-0008-0000-0100-000041000000}"/>
              </a:ext>
            </a:extLst>
          </xdr:cNvPr>
          <xdr:cNvSpPr>
            <a:spLocks noChangeShapeType="1"/>
          </xdr:cNvSpPr>
        </xdr:nvSpPr>
        <xdr:spPr bwMode="auto">
          <a:xfrm>
            <a:off x="3932464" y="42957750"/>
            <a:ext cx="0" cy="204107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 type="triangle" w="med" len="med"/>
          </a:ln>
        </xdr:spPr>
      </xdr:sp>
      <xdr:sp macro="" textlink="">
        <xdr:nvSpPr>
          <xdr:cNvPr id="66" name="Line 2916">
            <a:extLst>
              <a:ext uri="{FF2B5EF4-FFF2-40B4-BE49-F238E27FC236}">
                <a16:creationId xmlns:a16="http://schemas.microsoft.com/office/drawing/2014/main" id="{00000000-0008-0000-0100-000042000000}"/>
              </a:ext>
            </a:extLst>
          </xdr:cNvPr>
          <xdr:cNvSpPr>
            <a:spLocks noChangeShapeType="1"/>
          </xdr:cNvSpPr>
        </xdr:nvSpPr>
        <xdr:spPr bwMode="auto">
          <a:xfrm>
            <a:off x="3932464" y="43161857"/>
            <a:ext cx="0" cy="204107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 type="triangle" w="med" len="med"/>
          </a:ln>
        </xdr:spPr>
      </xdr:sp>
      <xdr:sp macro="" textlink="">
        <xdr:nvSpPr>
          <xdr:cNvPr id="67" name="Line 2917">
            <a:extLst>
              <a:ext uri="{FF2B5EF4-FFF2-40B4-BE49-F238E27FC236}">
                <a16:creationId xmlns:a16="http://schemas.microsoft.com/office/drawing/2014/main" id="{00000000-0008-0000-0100-000043000000}"/>
              </a:ext>
            </a:extLst>
          </xdr:cNvPr>
          <xdr:cNvSpPr>
            <a:spLocks noChangeShapeType="1"/>
          </xdr:cNvSpPr>
        </xdr:nvSpPr>
        <xdr:spPr bwMode="auto">
          <a:xfrm flipV="1">
            <a:off x="3999139" y="43579596"/>
            <a:ext cx="0" cy="180975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 type="triangle" w="med" len="med"/>
          </a:ln>
        </xdr:spPr>
      </xdr:sp>
      <xdr:sp macro="" textlink="">
        <xdr:nvSpPr>
          <xdr:cNvPr id="68" name="Line 2918">
            <a:extLst>
              <a:ext uri="{FF2B5EF4-FFF2-40B4-BE49-F238E27FC236}">
                <a16:creationId xmlns:a16="http://schemas.microsoft.com/office/drawing/2014/main" id="{00000000-0008-0000-0100-000044000000}"/>
              </a:ext>
            </a:extLst>
          </xdr:cNvPr>
          <xdr:cNvSpPr>
            <a:spLocks noChangeShapeType="1"/>
          </xdr:cNvSpPr>
        </xdr:nvSpPr>
        <xdr:spPr bwMode="auto">
          <a:xfrm>
            <a:off x="3808639" y="43865346"/>
            <a:ext cx="200025" cy="0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 type="triangle" w="med" len="med"/>
          </a:ln>
        </xdr:spPr>
      </xdr:sp>
      <xdr:sp macro="" textlink="">
        <xdr:nvSpPr>
          <xdr:cNvPr id="69" name="Line 2919">
            <a:extLst>
              <a:ext uri="{FF2B5EF4-FFF2-40B4-BE49-F238E27FC236}">
                <a16:creationId xmlns:a16="http://schemas.microsoft.com/office/drawing/2014/main" id="{00000000-0008-0000-0100-000045000000}"/>
              </a:ext>
            </a:extLst>
          </xdr:cNvPr>
          <xdr:cNvSpPr>
            <a:spLocks noChangeShapeType="1"/>
          </xdr:cNvSpPr>
        </xdr:nvSpPr>
        <xdr:spPr bwMode="auto">
          <a:xfrm>
            <a:off x="3808639" y="44078979"/>
            <a:ext cx="200025" cy="0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 type="triangle" w="med" len="med"/>
          </a:ln>
        </xdr:spPr>
      </xdr:sp>
    </xdr:grpSp>
    <xdr:clientData/>
  </xdr:twoCellAnchor>
  <xdr:twoCellAnchor>
    <xdr:from>
      <xdr:col>3</xdr:col>
      <xdr:colOff>485775</xdr:colOff>
      <xdr:row>273</xdr:row>
      <xdr:rowOff>38100</xdr:rowOff>
    </xdr:from>
    <xdr:to>
      <xdr:col>3</xdr:col>
      <xdr:colOff>485775</xdr:colOff>
      <xdr:row>274</xdr:row>
      <xdr:rowOff>9525</xdr:rowOff>
    </xdr:to>
    <xdr:sp macro="" textlink="">
      <xdr:nvSpPr>
        <xdr:cNvPr id="70" name="Line 2920">
          <a:extLst>
            <a:ext uri="{FF2B5EF4-FFF2-40B4-BE49-F238E27FC236}">
              <a16:creationId xmlns:a16="http://schemas.microsoft.com/office/drawing/2014/main" id="{00000000-0008-0000-0100-000046000000}"/>
            </a:ext>
          </a:extLst>
        </xdr:cNvPr>
        <xdr:cNvSpPr>
          <a:spLocks noChangeShapeType="1"/>
        </xdr:cNvSpPr>
      </xdr:nvSpPr>
      <xdr:spPr bwMode="auto">
        <a:xfrm>
          <a:off x="2124075" y="55883175"/>
          <a:ext cx="0" cy="1809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xdr:twoCellAnchor>
    <xdr:from>
      <xdr:col>3</xdr:col>
      <xdr:colOff>485775</xdr:colOff>
      <xdr:row>274</xdr:row>
      <xdr:rowOff>19050</xdr:rowOff>
    </xdr:from>
    <xdr:to>
      <xdr:col>3</xdr:col>
      <xdr:colOff>485775</xdr:colOff>
      <xdr:row>275</xdr:row>
      <xdr:rowOff>19050</xdr:rowOff>
    </xdr:to>
    <xdr:sp macro="" textlink="">
      <xdr:nvSpPr>
        <xdr:cNvPr id="71" name="Line 2921">
          <a:extLst>
            <a:ext uri="{FF2B5EF4-FFF2-40B4-BE49-F238E27FC236}">
              <a16:creationId xmlns:a16="http://schemas.microsoft.com/office/drawing/2014/main" id="{00000000-0008-0000-0100-000047000000}"/>
            </a:ext>
          </a:extLst>
        </xdr:cNvPr>
        <xdr:cNvSpPr>
          <a:spLocks noChangeShapeType="1"/>
        </xdr:cNvSpPr>
      </xdr:nvSpPr>
      <xdr:spPr bwMode="auto">
        <a:xfrm>
          <a:off x="2124075" y="56073675"/>
          <a:ext cx="0" cy="2000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xdr:twoCellAnchor>
    <xdr:from>
      <xdr:col>3</xdr:col>
      <xdr:colOff>485775</xdr:colOff>
      <xdr:row>276</xdr:row>
      <xdr:rowOff>0</xdr:rowOff>
    </xdr:from>
    <xdr:to>
      <xdr:col>3</xdr:col>
      <xdr:colOff>485775</xdr:colOff>
      <xdr:row>277</xdr:row>
      <xdr:rowOff>0</xdr:rowOff>
    </xdr:to>
    <xdr:sp macro="" textlink="">
      <xdr:nvSpPr>
        <xdr:cNvPr id="72" name="Line 2922">
          <a:extLst>
            <a:ext uri="{FF2B5EF4-FFF2-40B4-BE49-F238E27FC236}">
              <a16:creationId xmlns:a16="http://schemas.microsoft.com/office/drawing/2014/main" id="{00000000-0008-0000-0100-000048000000}"/>
            </a:ext>
          </a:extLst>
        </xdr:cNvPr>
        <xdr:cNvSpPr>
          <a:spLocks noChangeShapeType="1"/>
        </xdr:cNvSpPr>
      </xdr:nvSpPr>
      <xdr:spPr bwMode="auto">
        <a:xfrm>
          <a:off x="2124075" y="56454675"/>
          <a:ext cx="0" cy="2000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xdr:twoCellAnchor>
    <xdr:from>
      <xdr:col>3</xdr:col>
      <xdr:colOff>476250</xdr:colOff>
      <xdr:row>275</xdr:row>
      <xdr:rowOff>28575</xdr:rowOff>
    </xdr:from>
    <xdr:to>
      <xdr:col>3</xdr:col>
      <xdr:colOff>476250</xdr:colOff>
      <xdr:row>276</xdr:row>
      <xdr:rowOff>28575</xdr:rowOff>
    </xdr:to>
    <xdr:sp macro="" textlink="">
      <xdr:nvSpPr>
        <xdr:cNvPr id="73" name="Line 2923">
          <a:extLst>
            <a:ext uri="{FF2B5EF4-FFF2-40B4-BE49-F238E27FC236}">
              <a16:creationId xmlns:a16="http://schemas.microsoft.com/office/drawing/2014/main" id="{00000000-0008-0000-0100-000049000000}"/>
            </a:ext>
          </a:extLst>
        </xdr:cNvPr>
        <xdr:cNvSpPr>
          <a:spLocks noChangeShapeType="1"/>
        </xdr:cNvSpPr>
      </xdr:nvSpPr>
      <xdr:spPr bwMode="auto">
        <a:xfrm>
          <a:off x="2114550" y="56283225"/>
          <a:ext cx="0" cy="2000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xdr:twoCellAnchor>
    <xdr:from>
      <xdr:col>3</xdr:col>
      <xdr:colOff>485775</xdr:colOff>
      <xdr:row>277</xdr:row>
      <xdr:rowOff>9525</xdr:rowOff>
    </xdr:from>
    <xdr:to>
      <xdr:col>3</xdr:col>
      <xdr:colOff>485775</xdr:colOff>
      <xdr:row>278</xdr:row>
      <xdr:rowOff>9525</xdr:rowOff>
    </xdr:to>
    <xdr:sp macro="" textlink="">
      <xdr:nvSpPr>
        <xdr:cNvPr id="74" name="Line 2924">
          <a:extLst>
            <a:ext uri="{FF2B5EF4-FFF2-40B4-BE49-F238E27FC236}">
              <a16:creationId xmlns:a16="http://schemas.microsoft.com/office/drawing/2014/main" id="{00000000-0008-0000-0100-00004A000000}"/>
            </a:ext>
          </a:extLst>
        </xdr:cNvPr>
        <xdr:cNvSpPr>
          <a:spLocks noChangeShapeType="1"/>
        </xdr:cNvSpPr>
      </xdr:nvSpPr>
      <xdr:spPr bwMode="auto">
        <a:xfrm>
          <a:off x="2124075" y="56664225"/>
          <a:ext cx="0" cy="2000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xdr:twoCellAnchor>
    <xdr:from>
      <xdr:col>3</xdr:col>
      <xdr:colOff>495300</xdr:colOff>
      <xdr:row>277</xdr:row>
      <xdr:rowOff>200025</xdr:rowOff>
    </xdr:from>
    <xdr:to>
      <xdr:col>3</xdr:col>
      <xdr:colOff>495300</xdr:colOff>
      <xdr:row>279</xdr:row>
      <xdr:rowOff>0</xdr:rowOff>
    </xdr:to>
    <xdr:sp macro="" textlink="">
      <xdr:nvSpPr>
        <xdr:cNvPr id="75" name="Line 2925">
          <a:extLst>
            <a:ext uri="{FF2B5EF4-FFF2-40B4-BE49-F238E27FC236}">
              <a16:creationId xmlns:a16="http://schemas.microsoft.com/office/drawing/2014/main" id="{00000000-0008-0000-0100-00004B000000}"/>
            </a:ext>
          </a:extLst>
        </xdr:cNvPr>
        <xdr:cNvSpPr>
          <a:spLocks noChangeShapeType="1"/>
        </xdr:cNvSpPr>
      </xdr:nvSpPr>
      <xdr:spPr bwMode="auto">
        <a:xfrm>
          <a:off x="2133600" y="56854725"/>
          <a:ext cx="0" cy="2000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xdr:twoCellAnchor>
    <xdr:from>
      <xdr:col>3</xdr:col>
      <xdr:colOff>495300</xdr:colOff>
      <xdr:row>279</xdr:row>
      <xdr:rowOff>9525</xdr:rowOff>
    </xdr:from>
    <xdr:to>
      <xdr:col>3</xdr:col>
      <xdr:colOff>495300</xdr:colOff>
      <xdr:row>279</xdr:row>
      <xdr:rowOff>200025</xdr:rowOff>
    </xdr:to>
    <xdr:sp macro="" textlink="">
      <xdr:nvSpPr>
        <xdr:cNvPr id="76" name="Line 2926">
          <a:extLst>
            <a:ext uri="{FF2B5EF4-FFF2-40B4-BE49-F238E27FC236}">
              <a16:creationId xmlns:a16="http://schemas.microsoft.com/office/drawing/2014/main" id="{00000000-0008-0000-0100-00004C000000}"/>
            </a:ext>
          </a:extLst>
        </xdr:cNvPr>
        <xdr:cNvSpPr>
          <a:spLocks noChangeShapeType="1"/>
        </xdr:cNvSpPr>
      </xdr:nvSpPr>
      <xdr:spPr bwMode="auto">
        <a:xfrm>
          <a:off x="2133600" y="57064275"/>
          <a:ext cx="0" cy="1905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xdr:twoCellAnchor>
    <xdr:from>
      <xdr:col>3</xdr:col>
      <xdr:colOff>485775</xdr:colOff>
      <xdr:row>281</xdr:row>
      <xdr:rowOff>19049</xdr:rowOff>
    </xdr:from>
    <xdr:to>
      <xdr:col>3</xdr:col>
      <xdr:colOff>485775</xdr:colOff>
      <xdr:row>282</xdr:row>
      <xdr:rowOff>9524</xdr:rowOff>
    </xdr:to>
    <xdr:sp macro="" textlink="">
      <xdr:nvSpPr>
        <xdr:cNvPr id="77" name="Line 2927">
          <a:extLst>
            <a:ext uri="{FF2B5EF4-FFF2-40B4-BE49-F238E27FC236}">
              <a16:creationId xmlns:a16="http://schemas.microsoft.com/office/drawing/2014/main" id="{00000000-0008-0000-0100-00004D000000}"/>
            </a:ext>
          </a:extLst>
        </xdr:cNvPr>
        <xdr:cNvSpPr>
          <a:spLocks noChangeShapeType="1"/>
        </xdr:cNvSpPr>
      </xdr:nvSpPr>
      <xdr:spPr bwMode="auto">
        <a:xfrm flipV="1">
          <a:off x="2124075" y="57473849"/>
          <a:ext cx="0" cy="1809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xdr:twoCellAnchor>
    <xdr:from>
      <xdr:col>3</xdr:col>
      <xdr:colOff>400050</xdr:colOff>
      <xdr:row>282</xdr:row>
      <xdr:rowOff>76200</xdr:rowOff>
    </xdr:from>
    <xdr:to>
      <xdr:col>4</xdr:col>
      <xdr:colOff>114300</xdr:colOff>
      <xdr:row>282</xdr:row>
      <xdr:rowOff>76200</xdr:rowOff>
    </xdr:to>
    <xdr:sp macro="" textlink="">
      <xdr:nvSpPr>
        <xdr:cNvPr id="78" name="Line 2928">
          <a:extLst>
            <a:ext uri="{FF2B5EF4-FFF2-40B4-BE49-F238E27FC236}">
              <a16:creationId xmlns:a16="http://schemas.microsoft.com/office/drawing/2014/main" id="{00000000-0008-0000-0100-00004E000000}"/>
            </a:ext>
          </a:extLst>
        </xdr:cNvPr>
        <xdr:cNvSpPr>
          <a:spLocks noChangeShapeType="1"/>
        </xdr:cNvSpPr>
      </xdr:nvSpPr>
      <xdr:spPr bwMode="auto">
        <a:xfrm>
          <a:off x="2038350" y="57721500"/>
          <a:ext cx="447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xdr:twoCellAnchor>
    <xdr:from>
      <xdr:col>3</xdr:col>
      <xdr:colOff>400050</xdr:colOff>
      <xdr:row>283</xdr:row>
      <xdr:rowOff>47625</xdr:rowOff>
    </xdr:from>
    <xdr:to>
      <xdr:col>4</xdr:col>
      <xdr:colOff>114300</xdr:colOff>
      <xdr:row>283</xdr:row>
      <xdr:rowOff>47625</xdr:rowOff>
    </xdr:to>
    <xdr:sp macro="" textlink="">
      <xdr:nvSpPr>
        <xdr:cNvPr id="79" name="Line 2929">
          <a:extLst>
            <a:ext uri="{FF2B5EF4-FFF2-40B4-BE49-F238E27FC236}">
              <a16:creationId xmlns:a16="http://schemas.microsoft.com/office/drawing/2014/main" id="{00000000-0008-0000-0100-00004F000000}"/>
            </a:ext>
          </a:extLst>
        </xdr:cNvPr>
        <xdr:cNvSpPr>
          <a:spLocks noChangeShapeType="1"/>
        </xdr:cNvSpPr>
      </xdr:nvSpPr>
      <xdr:spPr bwMode="auto">
        <a:xfrm>
          <a:off x="2038350" y="57892950"/>
          <a:ext cx="447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xdr:twoCellAnchor>
    <xdr:from>
      <xdr:col>3</xdr:col>
      <xdr:colOff>381000</xdr:colOff>
      <xdr:row>285</xdr:row>
      <xdr:rowOff>123825</xdr:rowOff>
    </xdr:from>
    <xdr:to>
      <xdr:col>4</xdr:col>
      <xdr:colOff>95250</xdr:colOff>
      <xdr:row>285</xdr:row>
      <xdr:rowOff>123825</xdr:rowOff>
    </xdr:to>
    <xdr:sp macro="" textlink="">
      <xdr:nvSpPr>
        <xdr:cNvPr id="80" name="Line 2930">
          <a:extLst>
            <a:ext uri="{FF2B5EF4-FFF2-40B4-BE49-F238E27FC236}">
              <a16:creationId xmlns:a16="http://schemas.microsoft.com/office/drawing/2014/main" id="{00000000-0008-0000-0100-000050000000}"/>
            </a:ext>
          </a:extLst>
        </xdr:cNvPr>
        <xdr:cNvSpPr>
          <a:spLocks noChangeShapeType="1"/>
        </xdr:cNvSpPr>
      </xdr:nvSpPr>
      <xdr:spPr bwMode="auto">
        <a:xfrm>
          <a:off x="2019300" y="58369200"/>
          <a:ext cx="447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xdr:twoCellAnchor>
    <xdr:from>
      <xdr:col>3</xdr:col>
      <xdr:colOff>390525</xdr:colOff>
      <xdr:row>286</xdr:row>
      <xdr:rowOff>123825</xdr:rowOff>
    </xdr:from>
    <xdr:to>
      <xdr:col>4</xdr:col>
      <xdr:colOff>104775</xdr:colOff>
      <xdr:row>286</xdr:row>
      <xdr:rowOff>123825</xdr:rowOff>
    </xdr:to>
    <xdr:sp macro="" textlink="">
      <xdr:nvSpPr>
        <xdr:cNvPr id="81" name="Line 2931">
          <a:extLst>
            <a:ext uri="{FF2B5EF4-FFF2-40B4-BE49-F238E27FC236}">
              <a16:creationId xmlns:a16="http://schemas.microsoft.com/office/drawing/2014/main" id="{00000000-0008-0000-0100-000051000000}"/>
            </a:ext>
          </a:extLst>
        </xdr:cNvPr>
        <xdr:cNvSpPr>
          <a:spLocks noChangeShapeType="1"/>
        </xdr:cNvSpPr>
      </xdr:nvSpPr>
      <xdr:spPr bwMode="auto">
        <a:xfrm flipH="1">
          <a:off x="2028825" y="58569225"/>
          <a:ext cx="447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xdr:twoCellAnchor>
    <xdr:from>
      <xdr:col>13</xdr:col>
      <xdr:colOff>13607</xdr:colOff>
      <xdr:row>8</xdr:row>
      <xdr:rowOff>163297</xdr:rowOff>
    </xdr:from>
    <xdr:to>
      <xdr:col>13</xdr:col>
      <xdr:colOff>213632</xdr:colOff>
      <xdr:row>10</xdr:row>
      <xdr:rowOff>19742</xdr:rowOff>
    </xdr:to>
    <xdr:sp macro="" textlink="">
      <xdr:nvSpPr>
        <xdr:cNvPr id="82" name="Text Box 5112">
          <a:extLst>
            <a:ext uri="{FF2B5EF4-FFF2-40B4-BE49-F238E27FC236}">
              <a16:creationId xmlns:a16="http://schemas.microsoft.com/office/drawing/2014/main" id="{00000000-0008-0000-0100-000052000000}"/>
            </a:ext>
          </a:extLst>
        </xdr:cNvPr>
        <xdr:cNvSpPr txBox="1">
          <a:spLocks noChangeArrowheads="1"/>
        </xdr:cNvSpPr>
      </xdr:nvSpPr>
      <xdr:spPr bwMode="auto">
        <a:xfrm>
          <a:off x="7824107" y="1630147"/>
          <a:ext cx="200025" cy="22792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tr-TR" sz="1000" b="0" i="0" strike="noStrike">
              <a:solidFill>
                <a:srgbClr val="000000"/>
              </a:solidFill>
              <a:latin typeface="Symbol"/>
            </a:rPr>
            <a:t>F</a:t>
          </a:r>
        </a:p>
      </xdr:txBody>
    </xdr:sp>
    <xdr:clientData/>
  </xdr:twoCellAnchor>
  <xdr:twoCellAnchor>
    <xdr:from>
      <xdr:col>13</xdr:col>
      <xdr:colOff>13607</xdr:colOff>
      <xdr:row>9</xdr:row>
      <xdr:rowOff>163292</xdr:rowOff>
    </xdr:from>
    <xdr:to>
      <xdr:col>13</xdr:col>
      <xdr:colOff>213632</xdr:colOff>
      <xdr:row>11</xdr:row>
      <xdr:rowOff>19737</xdr:rowOff>
    </xdr:to>
    <xdr:sp macro="" textlink="">
      <xdr:nvSpPr>
        <xdr:cNvPr id="83" name="Text Box 5112">
          <a:extLst>
            <a:ext uri="{FF2B5EF4-FFF2-40B4-BE49-F238E27FC236}">
              <a16:creationId xmlns:a16="http://schemas.microsoft.com/office/drawing/2014/main" id="{00000000-0008-0000-0100-000053000000}"/>
            </a:ext>
          </a:extLst>
        </xdr:cNvPr>
        <xdr:cNvSpPr txBox="1">
          <a:spLocks noChangeArrowheads="1"/>
        </xdr:cNvSpPr>
      </xdr:nvSpPr>
      <xdr:spPr bwMode="auto">
        <a:xfrm>
          <a:off x="7824107" y="1811117"/>
          <a:ext cx="200025" cy="22792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tr-TR" sz="1000" b="0" i="0" strike="noStrike">
              <a:solidFill>
                <a:srgbClr val="000000"/>
              </a:solidFill>
              <a:latin typeface="Symbol"/>
            </a:rPr>
            <a:t>F</a:t>
          </a:r>
        </a:p>
      </xdr:txBody>
    </xdr:sp>
    <xdr:clientData/>
  </xdr:twoCellAnchor>
  <xdr:twoCellAnchor>
    <xdr:from>
      <xdr:col>13</xdr:col>
      <xdr:colOff>13607</xdr:colOff>
      <xdr:row>10</xdr:row>
      <xdr:rowOff>149681</xdr:rowOff>
    </xdr:from>
    <xdr:to>
      <xdr:col>13</xdr:col>
      <xdr:colOff>213632</xdr:colOff>
      <xdr:row>11</xdr:row>
      <xdr:rowOff>138795</xdr:rowOff>
    </xdr:to>
    <xdr:sp macro="" textlink="">
      <xdr:nvSpPr>
        <xdr:cNvPr id="84" name="Text Box 5112">
          <a:extLst>
            <a:ext uri="{FF2B5EF4-FFF2-40B4-BE49-F238E27FC236}">
              <a16:creationId xmlns:a16="http://schemas.microsoft.com/office/drawing/2014/main" id="{00000000-0008-0000-0100-000054000000}"/>
            </a:ext>
          </a:extLst>
        </xdr:cNvPr>
        <xdr:cNvSpPr txBox="1">
          <a:spLocks noChangeArrowheads="1"/>
        </xdr:cNvSpPr>
      </xdr:nvSpPr>
      <xdr:spPr bwMode="auto">
        <a:xfrm>
          <a:off x="7824107" y="1988006"/>
          <a:ext cx="200025" cy="17008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tr-TR" sz="1000" b="0" i="0" strike="noStrike">
              <a:solidFill>
                <a:srgbClr val="000000"/>
              </a:solidFill>
              <a:latin typeface="Symbol"/>
            </a:rPr>
            <a:t>F</a:t>
          </a:r>
        </a:p>
      </xdr:txBody>
    </xdr:sp>
    <xdr:clientData/>
  </xdr:twoCellAnchor>
  <xdr:twoCellAnchor>
    <xdr:from>
      <xdr:col>13</xdr:col>
      <xdr:colOff>593112</xdr:colOff>
      <xdr:row>8</xdr:row>
      <xdr:rowOff>95256</xdr:rowOff>
    </xdr:from>
    <xdr:to>
      <xdr:col>15</xdr:col>
      <xdr:colOff>171290</xdr:colOff>
      <xdr:row>10</xdr:row>
      <xdr:rowOff>27214</xdr:rowOff>
    </xdr:to>
    <xdr:sp macro="" textlink="">
      <xdr:nvSpPr>
        <xdr:cNvPr id="85" name="Text Box 5113">
          <a:extLst>
            <a:ext uri="{FF2B5EF4-FFF2-40B4-BE49-F238E27FC236}">
              <a16:creationId xmlns:a16="http://schemas.microsoft.com/office/drawing/2014/main" id="{00000000-0008-0000-0100-000055000000}"/>
            </a:ext>
          </a:extLst>
        </xdr:cNvPr>
        <xdr:cNvSpPr txBox="1">
          <a:spLocks noChangeArrowheads="1"/>
        </xdr:cNvSpPr>
      </xdr:nvSpPr>
      <xdr:spPr bwMode="auto">
        <a:xfrm>
          <a:off x="8403612" y="1562106"/>
          <a:ext cx="1445078" cy="3034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tr-TR" sz="1800" b="0" i="0" strike="noStrike">
              <a:solidFill>
                <a:sysClr val="windowText" lastClr="000000"/>
              </a:solidFill>
              <a:latin typeface="Symbol"/>
            </a:rPr>
            <a:t>/</a:t>
          </a:r>
        </a:p>
      </xdr:txBody>
    </xdr:sp>
    <xdr:clientData/>
  </xdr:twoCellAnchor>
  <xdr:twoCellAnchor>
    <xdr:from>
      <xdr:col>13</xdr:col>
      <xdr:colOff>517066</xdr:colOff>
      <xdr:row>9</xdr:row>
      <xdr:rowOff>81650</xdr:rowOff>
    </xdr:from>
    <xdr:to>
      <xdr:col>15</xdr:col>
      <xdr:colOff>95244</xdr:colOff>
      <xdr:row>11</xdr:row>
      <xdr:rowOff>13608</xdr:rowOff>
    </xdr:to>
    <xdr:sp macro="" textlink="">
      <xdr:nvSpPr>
        <xdr:cNvPr id="86" name="Text Box 5113">
          <a:extLst>
            <a:ext uri="{FF2B5EF4-FFF2-40B4-BE49-F238E27FC236}">
              <a16:creationId xmlns:a16="http://schemas.microsoft.com/office/drawing/2014/main" id="{00000000-0008-0000-0100-000056000000}"/>
            </a:ext>
          </a:extLst>
        </xdr:cNvPr>
        <xdr:cNvSpPr txBox="1">
          <a:spLocks noChangeArrowheads="1"/>
        </xdr:cNvSpPr>
      </xdr:nvSpPr>
      <xdr:spPr bwMode="auto">
        <a:xfrm>
          <a:off x="8327566" y="1729475"/>
          <a:ext cx="1445078" cy="3034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tr-TR" sz="1800" b="0" i="0" strike="noStrike">
              <a:solidFill>
                <a:sysClr val="windowText" lastClr="000000"/>
              </a:solidFill>
              <a:latin typeface="Symbol"/>
            </a:rPr>
            <a:t>/</a:t>
          </a:r>
        </a:p>
      </xdr:txBody>
    </xdr:sp>
    <xdr:clientData/>
  </xdr:twoCellAnchor>
  <xdr:twoCellAnchor>
    <xdr:from>
      <xdr:col>13</xdr:col>
      <xdr:colOff>530673</xdr:colOff>
      <xdr:row>10</xdr:row>
      <xdr:rowOff>68041</xdr:rowOff>
    </xdr:from>
    <xdr:to>
      <xdr:col>15</xdr:col>
      <xdr:colOff>108851</xdr:colOff>
      <xdr:row>12</xdr:row>
      <xdr:rowOff>0</xdr:rowOff>
    </xdr:to>
    <xdr:sp macro="" textlink="">
      <xdr:nvSpPr>
        <xdr:cNvPr id="87" name="Text Box 5113">
          <a:extLst>
            <a:ext uri="{FF2B5EF4-FFF2-40B4-BE49-F238E27FC236}">
              <a16:creationId xmlns:a16="http://schemas.microsoft.com/office/drawing/2014/main" id="{00000000-0008-0000-0100-000057000000}"/>
            </a:ext>
          </a:extLst>
        </xdr:cNvPr>
        <xdr:cNvSpPr txBox="1">
          <a:spLocks noChangeArrowheads="1"/>
        </xdr:cNvSpPr>
      </xdr:nvSpPr>
      <xdr:spPr bwMode="auto">
        <a:xfrm>
          <a:off x="8341173" y="1906366"/>
          <a:ext cx="1445078" cy="29390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tr-TR" sz="1800" b="0" i="0" strike="noStrike">
              <a:solidFill>
                <a:sysClr val="windowText" lastClr="000000"/>
              </a:solidFill>
              <a:latin typeface="Symbol"/>
            </a:rPr>
            <a:t>/</a:t>
          </a:r>
        </a:p>
      </xdr:txBody>
    </xdr:sp>
    <xdr:clientData/>
  </xdr:twoCellAnchor>
  <xdr:twoCellAnchor>
    <xdr:from>
      <xdr:col>10</xdr:col>
      <xdr:colOff>85725</xdr:colOff>
      <xdr:row>332</xdr:row>
      <xdr:rowOff>28575</xdr:rowOff>
    </xdr:from>
    <xdr:to>
      <xdr:col>10</xdr:col>
      <xdr:colOff>238125</xdr:colOff>
      <xdr:row>332</xdr:row>
      <xdr:rowOff>190500</xdr:rowOff>
    </xdr:to>
    <xdr:sp macro="" textlink="">
      <xdr:nvSpPr>
        <xdr:cNvPr id="88" name="AutoShape 2865">
          <a:extLst>
            <a:ext uri="{FF2B5EF4-FFF2-40B4-BE49-F238E27FC236}">
              <a16:creationId xmlns:a16="http://schemas.microsoft.com/office/drawing/2014/main" id="{00000000-0008-0000-0100-000058000000}"/>
            </a:ext>
          </a:extLst>
        </xdr:cNvPr>
        <xdr:cNvSpPr>
          <a:spLocks noChangeArrowheads="1"/>
        </xdr:cNvSpPr>
      </xdr:nvSpPr>
      <xdr:spPr bwMode="auto">
        <a:xfrm>
          <a:off x="6191250" y="67875150"/>
          <a:ext cx="152400" cy="152400"/>
        </a:xfrm>
        <a:prstGeom prst="curvedLeftArrow">
          <a:avLst>
            <a:gd name="adj1" fmla="val 1343"/>
            <a:gd name="adj2" fmla="val 45348"/>
            <a:gd name="adj3" fmla="val 33333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10</xdr:col>
      <xdr:colOff>91108</xdr:colOff>
      <xdr:row>333</xdr:row>
      <xdr:rowOff>24848</xdr:rowOff>
    </xdr:from>
    <xdr:to>
      <xdr:col>10</xdr:col>
      <xdr:colOff>266699</xdr:colOff>
      <xdr:row>334</xdr:row>
      <xdr:rowOff>1</xdr:rowOff>
    </xdr:to>
    <xdr:sp macro="" textlink="">
      <xdr:nvSpPr>
        <xdr:cNvPr id="89" name="AutoShape 2866">
          <a:extLst>
            <a:ext uri="{FF2B5EF4-FFF2-40B4-BE49-F238E27FC236}">
              <a16:creationId xmlns:a16="http://schemas.microsoft.com/office/drawing/2014/main" id="{00000000-0008-0000-0100-000059000000}"/>
            </a:ext>
          </a:extLst>
        </xdr:cNvPr>
        <xdr:cNvSpPr>
          <a:spLocks noChangeArrowheads="1"/>
        </xdr:cNvSpPr>
      </xdr:nvSpPr>
      <xdr:spPr bwMode="auto">
        <a:xfrm>
          <a:off x="6196633" y="68052398"/>
          <a:ext cx="175591" cy="156128"/>
        </a:xfrm>
        <a:prstGeom prst="curvedLeftArrow">
          <a:avLst>
            <a:gd name="adj1" fmla="val 1339"/>
            <a:gd name="adj2" fmla="val 45349"/>
            <a:gd name="adj3" fmla="val 33333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</xdr:col>
      <xdr:colOff>457200</xdr:colOff>
      <xdr:row>332</xdr:row>
      <xdr:rowOff>123825</xdr:rowOff>
    </xdr:from>
    <xdr:to>
      <xdr:col>6</xdr:col>
      <xdr:colOff>142875</xdr:colOff>
      <xdr:row>332</xdr:row>
      <xdr:rowOff>123825</xdr:rowOff>
    </xdr:to>
    <xdr:sp macro="" textlink="">
      <xdr:nvSpPr>
        <xdr:cNvPr id="90" name="Line 2902">
          <a:extLst>
            <a:ext uri="{FF2B5EF4-FFF2-40B4-BE49-F238E27FC236}">
              <a16:creationId xmlns:a16="http://schemas.microsoft.com/office/drawing/2014/main" id="{00000000-0008-0000-0100-00005A000000}"/>
            </a:ext>
          </a:extLst>
        </xdr:cNvPr>
        <xdr:cNvSpPr>
          <a:spLocks noChangeShapeType="1"/>
        </xdr:cNvSpPr>
      </xdr:nvSpPr>
      <xdr:spPr bwMode="auto">
        <a:xfrm>
          <a:off x="3362325" y="67970400"/>
          <a:ext cx="2190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xdr:twoCellAnchor>
    <xdr:from>
      <xdr:col>5</xdr:col>
      <xdr:colOff>457200</xdr:colOff>
      <xdr:row>333</xdr:row>
      <xdr:rowOff>95250</xdr:rowOff>
    </xdr:from>
    <xdr:to>
      <xdr:col>6</xdr:col>
      <xdr:colOff>161925</xdr:colOff>
      <xdr:row>333</xdr:row>
      <xdr:rowOff>95250</xdr:rowOff>
    </xdr:to>
    <xdr:sp macro="" textlink="">
      <xdr:nvSpPr>
        <xdr:cNvPr id="91" name="Line 2908">
          <a:extLst>
            <a:ext uri="{FF2B5EF4-FFF2-40B4-BE49-F238E27FC236}">
              <a16:creationId xmlns:a16="http://schemas.microsoft.com/office/drawing/2014/main" id="{00000000-0008-0000-0100-00005B000000}"/>
            </a:ext>
          </a:extLst>
        </xdr:cNvPr>
        <xdr:cNvSpPr>
          <a:spLocks noChangeShapeType="1"/>
        </xdr:cNvSpPr>
      </xdr:nvSpPr>
      <xdr:spPr bwMode="auto">
        <a:xfrm>
          <a:off x="3362325" y="68122800"/>
          <a:ext cx="2381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xdr:twoCellAnchor>
    <xdr:from>
      <xdr:col>4</xdr:col>
      <xdr:colOff>183145</xdr:colOff>
      <xdr:row>441</xdr:row>
      <xdr:rowOff>87921</xdr:rowOff>
    </xdr:from>
    <xdr:to>
      <xdr:col>4</xdr:col>
      <xdr:colOff>376575</xdr:colOff>
      <xdr:row>442</xdr:row>
      <xdr:rowOff>164122</xdr:rowOff>
    </xdr:to>
    <xdr:sp macro="" textlink="">
      <xdr:nvSpPr>
        <xdr:cNvPr id="92" name="3740 Metin kutusu">
          <a:extLst>
            <a:ext uri="{FF2B5EF4-FFF2-40B4-BE49-F238E27FC236}">
              <a16:creationId xmlns:a16="http://schemas.microsoft.com/office/drawing/2014/main" id="{00000000-0008-0000-0100-00005C000000}"/>
            </a:ext>
          </a:extLst>
        </xdr:cNvPr>
        <xdr:cNvSpPr txBox="1"/>
      </xdr:nvSpPr>
      <xdr:spPr>
        <a:xfrm>
          <a:off x="2554870" y="88565646"/>
          <a:ext cx="193430" cy="257176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l"/>
          <a:r>
            <a:rPr lang="el-GR" sz="1100"/>
            <a:t>σ</a:t>
          </a:r>
          <a:endParaRPr lang="tr-TR" sz="1100"/>
        </a:p>
      </xdr:txBody>
    </xdr:sp>
    <xdr:clientData/>
  </xdr:twoCellAnchor>
  <xdr:twoCellAnchor>
    <xdr:from>
      <xdr:col>2</xdr:col>
      <xdr:colOff>321644</xdr:colOff>
      <xdr:row>391</xdr:row>
      <xdr:rowOff>38201</xdr:rowOff>
    </xdr:from>
    <xdr:to>
      <xdr:col>2</xdr:col>
      <xdr:colOff>512353</xdr:colOff>
      <xdr:row>392</xdr:row>
      <xdr:rowOff>112204</xdr:rowOff>
    </xdr:to>
    <xdr:sp macro="" textlink="">
      <xdr:nvSpPr>
        <xdr:cNvPr id="93" name="3742 Metin kutusu">
          <a:extLst>
            <a:ext uri="{FF2B5EF4-FFF2-40B4-BE49-F238E27FC236}">
              <a16:creationId xmlns:a16="http://schemas.microsoft.com/office/drawing/2014/main" id="{00000000-0008-0000-0100-00005D000000}"/>
            </a:ext>
          </a:extLst>
        </xdr:cNvPr>
        <xdr:cNvSpPr txBox="1"/>
      </xdr:nvSpPr>
      <xdr:spPr>
        <a:xfrm>
          <a:off x="1331294" y="78800426"/>
          <a:ext cx="190709" cy="254978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l"/>
          <a:r>
            <a:rPr lang="el-GR" sz="1100"/>
            <a:t>σ</a:t>
          </a:r>
          <a:endParaRPr lang="tr-TR" sz="1100"/>
        </a:p>
      </xdr:txBody>
    </xdr:sp>
    <xdr:clientData/>
  </xdr:twoCellAnchor>
  <xdr:twoCellAnchor>
    <xdr:from>
      <xdr:col>7</xdr:col>
      <xdr:colOff>56305</xdr:colOff>
      <xdr:row>391</xdr:row>
      <xdr:rowOff>28676</xdr:rowOff>
    </xdr:from>
    <xdr:to>
      <xdr:col>7</xdr:col>
      <xdr:colOff>247014</xdr:colOff>
      <xdr:row>392</xdr:row>
      <xdr:rowOff>102679</xdr:rowOff>
    </xdr:to>
    <xdr:sp macro="" textlink="">
      <xdr:nvSpPr>
        <xdr:cNvPr id="94" name="3743 Metin kutusu">
          <a:extLst>
            <a:ext uri="{FF2B5EF4-FFF2-40B4-BE49-F238E27FC236}">
              <a16:creationId xmlns:a16="http://schemas.microsoft.com/office/drawing/2014/main" id="{00000000-0008-0000-0100-00005E000000}"/>
            </a:ext>
          </a:extLst>
        </xdr:cNvPr>
        <xdr:cNvSpPr txBox="1"/>
      </xdr:nvSpPr>
      <xdr:spPr>
        <a:xfrm>
          <a:off x="4009180" y="78790901"/>
          <a:ext cx="190709" cy="254978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l"/>
          <a:r>
            <a:rPr lang="el-GR" sz="1100"/>
            <a:t>σ</a:t>
          </a:r>
          <a:endParaRPr lang="tr-TR" sz="1100"/>
        </a:p>
      </xdr:txBody>
    </xdr:sp>
    <xdr:clientData/>
  </xdr:twoCellAnchor>
  <xdr:twoCellAnchor>
    <xdr:from>
      <xdr:col>3</xdr:col>
      <xdr:colOff>161080</xdr:colOff>
      <xdr:row>9</xdr:row>
      <xdr:rowOff>57251</xdr:rowOff>
    </xdr:from>
    <xdr:to>
      <xdr:col>3</xdr:col>
      <xdr:colOff>351789</xdr:colOff>
      <xdr:row>10</xdr:row>
      <xdr:rowOff>121729</xdr:rowOff>
    </xdr:to>
    <xdr:sp macro="" textlink="">
      <xdr:nvSpPr>
        <xdr:cNvPr id="95" name="3744 Metin kutusu">
          <a:extLst>
            <a:ext uri="{FF2B5EF4-FFF2-40B4-BE49-F238E27FC236}">
              <a16:creationId xmlns:a16="http://schemas.microsoft.com/office/drawing/2014/main" id="{00000000-0008-0000-0100-00005F000000}"/>
            </a:ext>
          </a:extLst>
        </xdr:cNvPr>
        <xdr:cNvSpPr txBox="1"/>
      </xdr:nvSpPr>
      <xdr:spPr>
        <a:xfrm>
          <a:off x="1799380" y="1705076"/>
          <a:ext cx="190709" cy="254978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l"/>
          <a:r>
            <a:rPr lang="el-GR" sz="1100"/>
            <a:t>δ</a:t>
          </a:r>
          <a:endParaRPr lang="tr-TR" sz="1100"/>
        </a:p>
      </xdr:txBody>
    </xdr:sp>
    <xdr:clientData/>
  </xdr:twoCellAnchor>
  <xdr:twoCellAnchor>
    <xdr:from>
      <xdr:col>2</xdr:col>
      <xdr:colOff>91054</xdr:colOff>
      <xdr:row>3</xdr:row>
      <xdr:rowOff>123926</xdr:rowOff>
    </xdr:from>
    <xdr:to>
      <xdr:col>2</xdr:col>
      <xdr:colOff>281763</xdr:colOff>
      <xdr:row>4</xdr:row>
      <xdr:rowOff>178879</xdr:rowOff>
    </xdr:to>
    <xdr:sp macro="" textlink="">
      <xdr:nvSpPr>
        <xdr:cNvPr id="96" name="3745 Metin kutusu">
          <a:extLst>
            <a:ext uri="{FF2B5EF4-FFF2-40B4-BE49-F238E27FC236}">
              <a16:creationId xmlns:a16="http://schemas.microsoft.com/office/drawing/2014/main" id="{00000000-0008-0000-0100-000060000000}"/>
            </a:ext>
          </a:extLst>
        </xdr:cNvPr>
        <xdr:cNvSpPr txBox="1"/>
      </xdr:nvSpPr>
      <xdr:spPr>
        <a:xfrm>
          <a:off x="1100704" y="676376"/>
          <a:ext cx="190709" cy="245453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l"/>
          <a:r>
            <a:rPr lang="el-GR" sz="1100"/>
            <a:t>α</a:t>
          </a:r>
          <a:endParaRPr lang="tr-TR" sz="1100"/>
        </a:p>
      </xdr:txBody>
    </xdr:sp>
    <xdr:clientData/>
  </xdr:twoCellAnchor>
  <xdr:twoCellAnchor>
    <xdr:from>
      <xdr:col>17</xdr:col>
      <xdr:colOff>13607</xdr:colOff>
      <xdr:row>8</xdr:row>
      <xdr:rowOff>163297</xdr:rowOff>
    </xdr:from>
    <xdr:to>
      <xdr:col>17</xdr:col>
      <xdr:colOff>213632</xdr:colOff>
      <xdr:row>10</xdr:row>
      <xdr:rowOff>19742</xdr:rowOff>
    </xdr:to>
    <xdr:sp macro="" textlink="">
      <xdr:nvSpPr>
        <xdr:cNvPr id="97" name="Text Box 5112">
          <a:extLst>
            <a:ext uri="{FF2B5EF4-FFF2-40B4-BE49-F238E27FC236}">
              <a16:creationId xmlns:a16="http://schemas.microsoft.com/office/drawing/2014/main" id="{00000000-0008-0000-0100-000061000000}"/>
            </a:ext>
          </a:extLst>
        </xdr:cNvPr>
        <xdr:cNvSpPr txBox="1">
          <a:spLocks noChangeArrowheads="1"/>
        </xdr:cNvSpPr>
      </xdr:nvSpPr>
      <xdr:spPr bwMode="auto">
        <a:xfrm>
          <a:off x="11691257" y="1630147"/>
          <a:ext cx="200025" cy="22792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tr-TR" sz="1000" b="0" i="0" strike="noStrike">
              <a:solidFill>
                <a:srgbClr val="000000"/>
              </a:solidFill>
              <a:latin typeface="Symbol"/>
            </a:rPr>
            <a:t>F</a:t>
          </a:r>
        </a:p>
      </xdr:txBody>
    </xdr:sp>
    <xdr:clientData/>
  </xdr:twoCellAnchor>
  <xdr:twoCellAnchor>
    <xdr:from>
      <xdr:col>17</xdr:col>
      <xdr:colOff>13607</xdr:colOff>
      <xdr:row>9</xdr:row>
      <xdr:rowOff>163292</xdr:rowOff>
    </xdr:from>
    <xdr:to>
      <xdr:col>17</xdr:col>
      <xdr:colOff>213632</xdr:colOff>
      <xdr:row>11</xdr:row>
      <xdr:rowOff>19737</xdr:rowOff>
    </xdr:to>
    <xdr:sp macro="" textlink="">
      <xdr:nvSpPr>
        <xdr:cNvPr id="98" name="Text Box 5112">
          <a:extLst>
            <a:ext uri="{FF2B5EF4-FFF2-40B4-BE49-F238E27FC236}">
              <a16:creationId xmlns:a16="http://schemas.microsoft.com/office/drawing/2014/main" id="{00000000-0008-0000-0100-000062000000}"/>
            </a:ext>
          </a:extLst>
        </xdr:cNvPr>
        <xdr:cNvSpPr txBox="1">
          <a:spLocks noChangeArrowheads="1"/>
        </xdr:cNvSpPr>
      </xdr:nvSpPr>
      <xdr:spPr bwMode="auto">
        <a:xfrm>
          <a:off x="11691257" y="1811117"/>
          <a:ext cx="200025" cy="22792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tr-TR" sz="1000" b="0" i="0" strike="noStrike">
              <a:solidFill>
                <a:srgbClr val="000000"/>
              </a:solidFill>
              <a:latin typeface="Symbol"/>
            </a:rPr>
            <a:t>F</a:t>
          </a:r>
        </a:p>
      </xdr:txBody>
    </xdr:sp>
    <xdr:clientData/>
  </xdr:twoCellAnchor>
  <xdr:twoCellAnchor>
    <xdr:from>
      <xdr:col>17</xdr:col>
      <xdr:colOff>13607</xdr:colOff>
      <xdr:row>10</xdr:row>
      <xdr:rowOff>149681</xdr:rowOff>
    </xdr:from>
    <xdr:to>
      <xdr:col>17</xdr:col>
      <xdr:colOff>213632</xdr:colOff>
      <xdr:row>11</xdr:row>
      <xdr:rowOff>138795</xdr:rowOff>
    </xdr:to>
    <xdr:sp macro="" textlink="">
      <xdr:nvSpPr>
        <xdr:cNvPr id="99" name="Text Box 5112">
          <a:extLst>
            <a:ext uri="{FF2B5EF4-FFF2-40B4-BE49-F238E27FC236}">
              <a16:creationId xmlns:a16="http://schemas.microsoft.com/office/drawing/2014/main" id="{00000000-0008-0000-0100-000063000000}"/>
            </a:ext>
          </a:extLst>
        </xdr:cNvPr>
        <xdr:cNvSpPr txBox="1">
          <a:spLocks noChangeArrowheads="1"/>
        </xdr:cNvSpPr>
      </xdr:nvSpPr>
      <xdr:spPr bwMode="auto">
        <a:xfrm>
          <a:off x="11691257" y="1988006"/>
          <a:ext cx="200025" cy="17008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tr-TR" sz="1000" b="0" i="0" strike="noStrike">
              <a:solidFill>
                <a:srgbClr val="000000"/>
              </a:solidFill>
              <a:latin typeface="Symbol"/>
            </a:rPr>
            <a:t>F</a:t>
          </a:r>
        </a:p>
      </xdr:txBody>
    </xdr:sp>
    <xdr:clientData/>
  </xdr:twoCellAnchor>
  <xdr:twoCellAnchor>
    <xdr:from>
      <xdr:col>17</xdr:col>
      <xdr:colOff>503465</xdr:colOff>
      <xdr:row>8</xdr:row>
      <xdr:rowOff>95256</xdr:rowOff>
    </xdr:from>
    <xdr:to>
      <xdr:col>18</xdr:col>
      <xdr:colOff>81643</xdr:colOff>
      <xdr:row>10</xdr:row>
      <xdr:rowOff>27214</xdr:rowOff>
    </xdr:to>
    <xdr:sp macro="" textlink="">
      <xdr:nvSpPr>
        <xdr:cNvPr id="100" name="Text Box 5113">
          <a:extLst>
            <a:ext uri="{FF2B5EF4-FFF2-40B4-BE49-F238E27FC236}">
              <a16:creationId xmlns:a16="http://schemas.microsoft.com/office/drawing/2014/main" id="{00000000-0008-0000-0100-000064000000}"/>
            </a:ext>
          </a:extLst>
        </xdr:cNvPr>
        <xdr:cNvSpPr txBox="1">
          <a:spLocks noChangeArrowheads="1"/>
        </xdr:cNvSpPr>
      </xdr:nvSpPr>
      <xdr:spPr bwMode="auto">
        <a:xfrm>
          <a:off x="12181115" y="1562106"/>
          <a:ext cx="187778" cy="3034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tr-TR" sz="1800" b="0" i="0" strike="noStrike">
              <a:solidFill>
                <a:sysClr val="windowText" lastClr="000000"/>
              </a:solidFill>
              <a:latin typeface="Symbol"/>
            </a:rPr>
            <a:t>/</a:t>
          </a:r>
        </a:p>
      </xdr:txBody>
    </xdr:sp>
    <xdr:clientData/>
  </xdr:twoCellAnchor>
  <xdr:twoCellAnchor>
    <xdr:from>
      <xdr:col>17</xdr:col>
      <xdr:colOff>517066</xdr:colOff>
      <xdr:row>9</xdr:row>
      <xdr:rowOff>81650</xdr:rowOff>
    </xdr:from>
    <xdr:to>
      <xdr:col>18</xdr:col>
      <xdr:colOff>95244</xdr:colOff>
      <xdr:row>11</xdr:row>
      <xdr:rowOff>13608</xdr:rowOff>
    </xdr:to>
    <xdr:sp macro="" textlink="">
      <xdr:nvSpPr>
        <xdr:cNvPr id="101" name="Text Box 5113">
          <a:extLst>
            <a:ext uri="{FF2B5EF4-FFF2-40B4-BE49-F238E27FC236}">
              <a16:creationId xmlns:a16="http://schemas.microsoft.com/office/drawing/2014/main" id="{00000000-0008-0000-0100-000065000000}"/>
            </a:ext>
          </a:extLst>
        </xdr:cNvPr>
        <xdr:cNvSpPr txBox="1">
          <a:spLocks noChangeArrowheads="1"/>
        </xdr:cNvSpPr>
      </xdr:nvSpPr>
      <xdr:spPr bwMode="auto">
        <a:xfrm>
          <a:off x="12194716" y="1729475"/>
          <a:ext cx="187778" cy="3034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tr-TR" sz="1800" b="0" i="0" strike="noStrike">
              <a:solidFill>
                <a:sysClr val="windowText" lastClr="000000"/>
              </a:solidFill>
              <a:latin typeface="Symbol"/>
            </a:rPr>
            <a:t>/</a:t>
          </a:r>
        </a:p>
      </xdr:txBody>
    </xdr:sp>
    <xdr:clientData/>
  </xdr:twoCellAnchor>
  <xdr:twoCellAnchor>
    <xdr:from>
      <xdr:col>17</xdr:col>
      <xdr:colOff>530673</xdr:colOff>
      <xdr:row>10</xdr:row>
      <xdr:rowOff>68041</xdr:rowOff>
    </xdr:from>
    <xdr:to>
      <xdr:col>18</xdr:col>
      <xdr:colOff>108851</xdr:colOff>
      <xdr:row>12</xdr:row>
      <xdr:rowOff>0</xdr:rowOff>
    </xdr:to>
    <xdr:sp macro="" textlink="">
      <xdr:nvSpPr>
        <xdr:cNvPr id="102" name="Text Box 5113">
          <a:extLst>
            <a:ext uri="{FF2B5EF4-FFF2-40B4-BE49-F238E27FC236}">
              <a16:creationId xmlns:a16="http://schemas.microsoft.com/office/drawing/2014/main" id="{00000000-0008-0000-0100-000066000000}"/>
            </a:ext>
          </a:extLst>
        </xdr:cNvPr>
        <xdr:cNvSpPr txBox="1">
          <a:spLocks noChangeArrowheads="1"/>
        </xdr:cNvSpPr>
      </xdr:nvSpPr>
      <xdr:spPr bwMode="auto">
        <a:xfrm>
          <a:off x="12208323" y="1906366"/>
          <a:ext cx="187778" cy="29390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tr-TR" sz="1800" b="0" i="0" strike="noStrike">
              <a:solidFill>
                <a:sysClr val="windowText" lastClr="000000"/>
              </a:solidFill>
              <a:latin typeface="Symbol"/>
            </a:rPr>
            <a:t>/</a:t>
          </a:r>
        </a:p>
      </xdr:txBody>
    </xdr:sp>
    <xdr:clientData/>
  </xdr:twoCellAnchor>
  <xdr:twoCellAnchor>
    <xdr:from>
      <xdr:col>9</xdr:col>
      <xdr:colOff>447675</xdr:colOff>
      <xdr:row>273</xdr:row>
      <xdr:rowOff>47625</xdr:rowOff>
    </xdr:from>
    <xdr:to>
      <xdr:col>10</xdr:col>
      <xdr:colOff>104775</xdr:colOff>
      <xdr:row>273</xdr:row>
      <xdr:rowOff>190500</xdr:rowOff>
    </xdr:to>
    <xdr:sp macro="" textlink="">
      <xdr:nvSpPr>
        <xdr:cNvPr id="103" name="AutoShape 2856">
          <a:extLst>
            <a:ext uri="{FF2B5EF4-FFF2-40B4-BE49-F238E27FC236}">
              <a16:creationId xmlns:a16="http://schemas.microsoft.com/office/drawing/2014/main" id="{00000000-0008-0000-0100-000067000000}"/>
            </a:ext>
          </a:extLst>
        </xdr:cNvPr>
        <xdr:cNvSpPr>
          <a:spLocks noChangeArrowheads="1"/>
        </xdr:cNvSpPr>
      </xdr:nvSpPr>
      <xdr:spPr bwMode="auto">
        <a:xfrm>
          <a:off x="5810250" y="55892700"/>
          <a:ext cx="400050" cy="142875"/>
        </a:xfrm>
        <a:prstGeom prst="curvedRightArrow">
          <a:avLst>
            <a:gd name="adj1" fmla="val 1185"/>
            <a:gd name="adj2" fmla="val 40000"/>
            <a:gd name="adj3" fmla="val 44599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10</xdr:col>
      <xdr:colOff>85725</xdr:colOff>
      <xdr:row>339</xdr:row>
      <xdr:rowOff>28575</xdr:rowOff>
    </xdr:from>
    <xdr:to>
      <xdr:col>10</xdr:col>
      <xdr:colOff>238125</xdr:colOff>
      <xdr:row>339</xdr:row>
      <xdr:rowOff>190500</xdr:rowOff>
    </xdr:to>
    <xdr:sp macro="" textlink="">
      <xdr:nvSpPr>
        <xdr:cNvPr id="104" name="AutoShape 2865">
          <a:extLst>
            <a:ext uri="{FF2B5EF4-FFF2-40B4-BE49-F238E27FC236}">
              <a16:creationId xmlns:a16="http://schemas.microsoft.com/office/drawing/2014/main" id="{00000000-0008-0000-0100-000068000000}"/>
            </a:ext>
          </a:extLst>
        </xdr:cNvPr>
        <xdr:cNvSpPr>
          <a:spLocks noChangeArrowheads="1"/>
        </xdr:cNvSpPr>
      </xdr:nvSpPr>
      <xdr:spPr bwMode="auto">
        <a:xfrm>
          <a:off x="6191250" y="68951475"/>
          <a:ext cx="152400" cy="161925"/>
        </a:xfrm>
        <a:prstGeom prst="curvedLeftArrow">
          <a:avLst>
            <a:gd name="adj1" fmla="val 1343"/>
            <a:gd name="adj2" fmla="val 45348"/>
            <a:gd name="adj3" fmla="val 33333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10</xdr:col>
      <xdr:colOff>84482</xdr:colOff>
      <xdr:row>341</xdr:row>
      <xdr:rowOff>162339</xdr:rowOff>
    </xdr:from>
    <xdr:to>
      <xdr:col>10</xdr:col>
      <xdr:colOff>236882</xdr:colOff>
      <xdr:row>342</xdr:row>
      <xdr:rowOff>124239</xdr:rowOff>
    </xdr:to>
    <xdr:sp macro="" textlink="">
      <xdr:nvSpPr>
        <xdr:cNvPr id="105" name="AutoShape 2866">
          <a:extLst>
            <a:ext uri="{FF2B5EF4-FFF2-40B4-BE49-F238E27FC236}">
              <a16:creationId xmlns:a16="http://schemas.microsoft.com/office/drawing/2014/main" id="{00000000-0008-0000-0100-000069000000}"/>
            </a:ext>
          </a:extLst>
        </xdr:cNvPr>
        <xdr:cNvSpPr>
          <a:spLocks noChangeArrowheads="1"/>
        </xdr:cNvSpPr>
      </xdr:nvSpPr>
      <xdr:spPr bwMode="auto">
        <a:xfrm>
          <a:off x="6190007" y="69466239"/>
          <a:ext cx="152400" cy="152400"/>
        </a:xfrm>
        <a:prstGeom prst="curvedLeftArrow">
          <a:avLst>
            <a:gd name="adj1" fmla="val 1139"/>
            <a:gd name="adj2" fmla="val 38333"/>
            <a:gd name="adj3" fmla="val 33333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</xdr:col>
      <xdr:colOff>457200</xdr:colOff>
      <xdr:row>339</xdr:row>
      <xdr:rowOff>123825</xdr:rowOff>
    </xdr:from>
    <xdr:to>
      <xdr:col>6</xdr:col>
      <xdr:colOff>142875</xdr:colOff>
      <xdr:row>339</xdr:row>
      <xdr:rowOff>123825</xdr:rowOff>
    </xdr:to>
    <xdr:sp macro="" textlink="">
      <xdr:nvSpPr>
        <xdr:cNvPr id="106" name="Line 2902">
          <a:extLst>
            <a:ext uri="{FF2B5EF4-FFF2-40B4-BE49-F238E27FC236}">
              <a16:creationId xmlns:a16="http://schemas.microsoft.com/office/drawing/2014/main" id="{00000000-0008-0000-0100-00006A000000}"/>
            </a:ext>
          </a:extLst>
        </xdr:cNvPr>
        <xdr:cNvSpPr>
          <a:spLocks noChangeShapeType="1"/>
        </xdr:cNvSpPr>
      </xdr:nvSpPr>
      <xdr:spPr bwMode="auto">
        <a:xfrm>
          <a:off x="3362325" y="69046725"/>
          <a:ext cx="2190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xdr:twoCellAnchor>
    <xdr:from>
      <xdr:col>5</xdr:col>
      <xdr:colOff>438150</xdr:colOff>
      <xdr:row>342</xdr:row>
      <xdr:rowOff>95250</xdr:rowOff>
    </xdr:from>
    <xdr:to>
      <xdr:col>6</xdr:col>
      <xdr:colOff>142875</xdr:colOff>
      <xdr:row>342</xdr:row>
      <xdr:rowOff>95250</xdr:rowOff>
    </xdr:to>
    <xdr:sp macro="" textlink="">
      <xdr:nvSpPr>
        <xdr:cNvPr id="107" name="Line 2908">
          <a:extLst>
            <a:ext uri="{FF2B5EF4-FFF2-40B4-BE49-F238E27FC236}">
              <a16:creationId xmlns:a16="http://schemas.microsoft.com/office/drawing/2014/main" id="{00000000-0008-0000-0100-00006B000000}"/>
            </a:ext>
          </a:extLst>
        </xdr:cNvPr>
        <xdr:cNvSpPr>
          <a:spLocks noChangeShapeType="1"/>
        </xdr:cNvSpPr>
      </xdr:nvSpPr>
      <xdr:spPr bwMode="auto">
        <a:xfrm>
          <a:off x="3343275" y="69589650"/>
          <a:ext cx="2381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xdr:twoCellAnchor>
    <xdr:from>
      <xdr:col>10</xdr:col>
      <xdr:colOff>85725</xdr:colOff>
      <xdr:row>346</xdr:row>
      <xdr:rowOff>28575</xdr:rowOff>
    </xdr:from>
    <xdr:to>
      <xdr:col>10</xdr:col>
      <xdr:colOff>238125</xdr:colOff>
      <xdr:row>346</xdr:row>
      <xdr:rowOff>190500</xdr:rowOff>
    </xdr:to>
    <xdr:sp macro="" textlink="">
      <xdr:nvSpPr>
        <xdr:cNvPr id="108" name="AutoShape 2865">
          <a:extLst>
            <a:ext uri="{FF2B5EF4-FFF2-40B4-BE49-F238E27FC236}">
              <a16:creationId xmlns:a16="http://schemas.microsoft.com/office/drawing/2014/main" id="{00000000-0008-0000-0100-00006C000000}"/>
            </a:ext>
          </a:extLst>
        </xdr:cNvPr>
        <xdr:cNvSpPr>
          <a:spLocks noChangeArrowheads="1"/>
        </xdr:cNvSpPr>
      </xdr:nvSpPr>
      <xdr:spPr bwMode="auto">
        <a:xfrm>
          <a:off x="6191250" y="70284975"/>
          <a:ext cx="152400" cy="161925"/>
        </a:xfrm>
        <a:prstGeom prst="curvedLeftArrow">
          <a:avLst>
            <a:gd name="adj1" fmla="val 1343"/>
            <a:gd name="adj2" fmla="val 45348"/>
            <a:gd name="adj3" fmla="val 33333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</xdr:col>
      <xdr:colOff>457200</xdr:colOff>
      <xdr:row>341</xdr:row>
      <xdr:rowOff>123825</xdr:rowOff>
    </xdr:from>
    <xdr:to>
      <xdr:col>6</xdr:col>
      <xdr:colOff>142875</xdr:colOff>
      <xdr:row>341</xdr:row>
      <xdr:rowOff>123825</xdr:rowOff>
    </xdr:to>
    <xdr:sp macro="" textlink="">
      <xdr:nvSpPr>
        <xdr:cNvPr id="109" name="Line 2902">
          <a:extLst>
            <a:ext uri="{FF2B5EF4-FFF2-40B4-BE49-F238E27FC236}">
              <a16:creationId xmlns:a16="http://schemas.microsoft.com/office/drawing/2014/main" id="{00000000-0008-0000-0100-00006D000000}"/>
            </a:ext>
          </a:extLst>
        </xdr:cNvPr>
        <xdr:cNvSpPr>
          <a:spLocks noChangeShapeType="1"/>
        </xdr:cNvSpPr>
      </xdr:nvSpPr>
      <xdr:spPr bwMode="auto">
        <a:xfrm>
          <a:off x="3362325" y="69427725"/>
          <a:ext cx="2190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xdr:twoCellAnchor>
    <xdr:from>
      <xdr:col>10</xdr:col>
      <xdr:colOff>85725</xdr:colOff>
      <xdr:row>351</xdr:row>
      <xdr:rowOff>28575</xdr:rowOff>
    </xdr:from>
    <xdr:to>
      <xdr:col>10</xdr:col>
      <xdr:colOff>238125</xdr:colOff>
      <xdr:row>351</xdr:row>
      <xdr:rowOff>190500</xdr:rowOff>
    </xdr:to>
    <xdr:sp macro="" textlink="">
      <xdr:nvSpPr>
        <xdr:cNvPr id="110" name="AutoShape 2865">
          <a:extLst>
            <a:ext uri="{FF2B5EF4-FFF2-40B4-BE49-F238E27FC236}">
              <a16:creationId xmlns:a16="http://schemas.microsoft.com/office/drawing/2014/main" id="{00000000-0008-0000-0100-00006E000000}"/>
            </a:ext>
          </a:extLst>
        </xdr:cNvPr>
        <xdr:cNvSpPr>
          <a:spLocks noChangeArrowheads="1"/>
        </xdr:cNvSpPr>
      </xdr:nvSpPr>
      <xdr:spPr bwMode="auto">
        <a:xfrm>
          <a:off x="6191250" y="71237475"/>
          <a:ext cx="152400" cy="161925"/>
        </a:xfrm>
        <a:prstGeom prst="curvedLeftArrow">
          <a:avLst>
            <a:gd name="adj1" fmla="val 1343"/>
            <a:gd name="adj2" fmla="val 45348"/>
            <a:gd name="adj3" fmla="val 33333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</xdr:col>
      <xdr:colOff>457200</xdr:colOff>
      <xdr:row>351</xdr:row>
      <xdr:rowOff>123825</xdr:rowOff>
    </xdr:from>
    <xdr:to>
      <xdr:col>6</xdr:col>
      <xdr:colOff>142875</xdr:colOff>
      <xdr:row>351</xdr:row>
      <xdr:rowOff>123825</xdr:rowOff>
    </xdr:to>
    <xdr:sp macro="" textlink="">
      <xdr:nvSpPr>
        <xdr:cNvPr id="111" name="Line 2902">
          <a:extLst>
            <a:ext uri="{FF2B5EF4-FFF2-40B4-BE49-F238E27FC236}">
              <a16:creationId xmlns:a16="http://schemas.microsoft.com/office/drawing/2014/main" id="{00000000-0008-0000-0100-00006F000000}"/>
            </a:ext>
          </a:extLst>
        </xdr:cNvPr>
        <xdr:cNvSpPr>
          <a:spLocks noChangeShapeType="1"/>
        </xdr:cNvSpPr>
      </xdr:nvSpPr>
      <xdr:spPr bwMode="auto">
        <a:xfrm>
          <a:off x="3362325" y="71332725"/>
          <a:ext cx="2190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xdr:twoCellAnchor>
    <xdr:from>
      <xdr:col>5</xdr:col>
      <xdr:colOff>447675</xdr:colOff>
      <xdr:row>352</xdr:row>
      <xdr:rowOff>114300</xdr:rowOff>
    </xdr:from>
    <xdr:to>
      <xdr:col>6</xdr:col>
      <xdr:colOff>133350</xdr:colOff>
      <xdr:row>352</xdr:row>
      <xdr:rowOff>114300</xdr:rowOff>
    </xdr:to>
    <xdr:sp macro="" textlink="">
      <xdr:nvSpPr>
        <xdr:cNvPr id="112" name="Line 2902">
          <a:extLst>
            <a:ext uri="{FF2B5EF4-FFF2-40B4-BE49-F238E27FC236}">
              <a16:creationId xmlns:a16="http://schemas.microsoft.com/office/drawing/2014/main" id="{00000000-0008-0000-0100-000070000000}"/>
            </a:ext>
          </a:extLst>
        </xdr:cNvPr>
        <xdr:cNvSpPr>
          <a:spLocks noChangeShapeType="1"/>
        </xdr:cNvSpPr>
      </xdr:nvSpPr>
      <xdr:spPr bwMode="auto">
        <a:xfrm>
          <a:off x="3352800" y="71513700"/>
          <a:ext cx="2190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xdr:twoCellAnchor>
    <xdr:from>
      <xdr:col>10</xdr:col>
      <xdr:colOff>85725</xdr:colOff>
      <xdr:row>354</xdr:row>
      <xdr:rowOff>28575</xdr:rowOff>
    </xdr:from>
    <xdr:to>
      <xdr:col>10</xdr:col>
      <xdr:colOff>247650</xdr:colOff>
      <xdr:row>355</xdr:row>
      <xdr:rowOff>19050</xdr:rowOff>
    </xdr:to>
    <xdr:sp macro="" textlink="">
      <xdr:nvSpPr>
        <xdr:cNvPr id="113" name="AutoShape 2865">
          <a:extLst>
            <a:ext uri="{FF2B5EF4-FFF2-40B4-BE49-F238E27FC236}">
              <a16:creationId xmlns:a16="http://schemas.microsoft.com/office/drawing/2014/main" id="{00000000-0008-0000-0100-000071000000}"/>
            </a:ext>
          </a:extLst>
        </xdr:cNvPr>
        <xdr:cNvSpPr>
          <a:spLocks noChangeArrowheads="1"/>
        </xdr:cNvSpPr>
      </xdr:nvSpPr>
      <xdr:spPr bwMode="auto">
        <a:xfrm>
          <a:off x="6191250" y="71808975"/>
          <a:ext cx="161925" cy="180975"/>
        </a:xfrm>
        <a:prstGeom prst="curvedLeftArrow">
          <a:avLst>
            <a:gd name="adj1" fmla="val 1273"/>
            <a:gd name="adj2" fmla="val 42926"/>
            <a:gd name="adj3" fmla="val 33333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10</xdr:col>
      <xdr:colOff>104775</xdr:colOff>
      <xdr:row>175</xdr:row>
      <xdr:rowOff>47625</xdr:rowOff>
    </xdr:from>
    <xdr:to>
      <xdr:col>10</xdr:col>
      <xdr:colOff>276225</xdr:colOff>
      <xdr:row>175</xdr:row>
      <xdr:rowOff>180975</xdr:rowOff>
    </xdr:to>
    <xdr:sp macro="" textlink="">
      <xdr:nvSpPr>
        <xdr:cNvPr id="114" name="AutoShape 2869">
          <a:extLst>
            <a:ext uri="{FF2B5EF4-FFF2-40B4-BE49-F238E27FC236}">
              <a16:creationId xmlns:a16="http://schemas.microsoft.com/office/drawing/2014/main" id="{00000000-0008-0000-0100-000072000000}"/>
            </a:ext>
          </a:extLst>
        </xdr:cNvPr>
        <xdr:cNvSpPr>
          <a:spLocks noChangeArrowheads="1"/>
        </xdr:cNvSpPr>
      </xdr:nvSpPr>
      <xdr:spPr bwMode="auto">
        <a:xfrm>
          <a:off x="6210300" y="33613725"/>
          <a:ext cx="171450" cy="133350"/>
        </a:xfrm>
        <a:prstGeom prst="curvedLeftArrow">
          <a:avLst>
            <a:gd name="adj1" fmla="val 1259"/>
            <a:gd name="adj2" fmla="val 42500"/>
            <a:gd name="adj3" fmla="val 35435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10</xdr:col>
      <xdr:colOff>104775</xdr:colOff>
      <xdr:row>181</xdr:row>
      <xdr:rowOff>28575</xdr:rowOff>
    </xdr:from>
    <xdr:to>
      <xdr:col>10</xdr:col>
      <xdr:colOff>257175</xdr:colOff>
      <xdr:row>181</xdr:row>
      <xdr:rowOff>190500</xdr:rowOff>
    </xdr:to>
    <xdr:sp macro="" textlink="">
      <xdr:nvSpPr>
        <xdr:cNvPr id="115" name="AutoShape 2868">
          <a:extLst>
            <a:ext uri="{FF2B5EF4-FFF2-40B4-BE49-F238E27FC236}">
              <a16:creationId xmlns:a16="http://schemas.microsoft.com/office/drawing/2014/main" id="{00000000-0008-0000-0100-000073000000}"/>
            </a:ext>
          </a:extLst>
        </xdr:cNvPr>
        <xdr:cNvSpPr>
          <a:spLocks noChangeArrowheads="1"/>
        </xdr:cNvSpPr>
      </xdr:nvSpPr>
      <xdr:spPr bwMode="auto">
        <a:xfrm>
          <a:off x="6210300" y="34794825"/>
          <a:ext cx="152400" cy="161925"/>
        </a:xfrm>
        <a:prstGeom prst="curvedLeftArrow">
          <a:avLst>
            <a:gd name="adj1" fmla="val 1259"/>
            <a:gd name="adj2" fmla="val 42500"/>
            <a:gd name="adj3" fmla="val 33333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</xdr:col>
      <xdr:colOff>419100</xdr:colOff>
      <xdr:row>181</xdr:row>
      <xdr:rowOff>76200</xdr:rowOff>
    </xdr:from>
    <xdr:to>
      <xdr:col>4</xdr:col>
      <xdr:colOff>103794</xdr:colOff>
      <xdr:row>181</xdr:row>
      <xdr:rowOff>76200</xdr:rowOff>
    </xdr:to>
    <xdr:sp macro="" textlink="">
      <xdr:nvSpPr>
        <xdr:cNvPr id="116" name="Line 2907">
          <a:extLst>
            <a:ext uri="{FF2B5EF4-FFF2-40B4-BE49-F238E27FC236}">
              <a16:creationId xmlns:a16="http://schemas.microsoft.com/office/drawing/2014/main" id="{00000000-0008-0000-0100-000074000000}"/>
            </a:ext>
          </a:extLst>
        </xdr:cNvPr>
        <xdr:cNvSpPr>
          <a:spLocks noChangeShapeType="1"/>
        </xdr:cNvSpPr>
      </xdr:nvSpPr>
      <xdr:spPr bwMode="auto">
        <a:xfrm>
          <a:off x="2057400" y="34842450"/>
          <a:ext cx="418119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xdr:twoCellAnchor>
    <xdr:from>
      <xdr:col>3</xdr:col>
      <xdr:colOff>485775</xdr:colOff>
      <xdr:row>279</xdr:row>
      <xdr:rowOff>180975</xdr:rowOff>
    </xdr:from>
    <xdr:to>
      <xdr:col>3</xdr:col>
      <xdr:colOff>485775</xdr:colOff>
      <xdr:row>281</xdr:row>
      <xdr:rowOff>9525</xdr:rowOff>
    </xdr:to>
    <xdr:sp macro="" textlink="">
      <xdr:nvSpPr>
        <xdr:cNvPr id="117" name="Line 2926">
          <a:extLst>
            <a:ext uri="{FF2B5EF4-FFF2-40B4-BE49-F238E27FC236}">
              <a16:creationId xmlns:a16="http://schemas.microsoft.com/office/drawing/2014/main" id="{00000000-0008-0000-0100-000075000000}"/>
            </a:ext>
          </a:extLst>
        </xdr:cNvPr>
        <xdr:cNvSpPr>
          <a:spLocks noChangeShapeType="1"/>
        </xdr:cNvSpPr>
      </xdr:nvSpPr>
      <xdr:spPr bwMode="auto">
        <a:xfrm>
          <a:off x="2124075" y="57235725"/>
          <a:ext cx="0" cy="2286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xdr:twoCellAnchor>
    <xdr:from>
      <xdr:col>9</xdr:col>
      <xdr:colOff>466725</xdr:colOff>
      <xdr:row>280</xdr:row>
      <xdr:rowOff>38100</xdr:rowOff>
    </xdr:from>
    <xdr:to>
      <xdr:col>10</xdr:col>
      <xdr:colOff>123825</xdr:colOff>
      <xdr:row>280</xdr:row>
      <xdr:rowOff>180975</xdr:rowOff>
    </xdr:to>
    <xdr:sp macro="" textlink="">
      <xdr:nvSpPr>
        <xdr:cNvPr id="118" name="AutoShape 2852">
          <a:extLst>
            <a:ext uri="{FF2B5EF4-FFF2-40B4-BE49-F238E27FC236}">
              <a16:creationId xmlns:a16="http://schemas.microsoft.com/office/drawing/2014/main" id="{00000000-0008-0000-0100-000076000000}"/>
            </a:ext>
          </a:extLst>
        </xdr:cNvPr>
        <xdr:cNvSpPr>
          <a:spLocks noChangeArrowheads="1"/>
        </xdr:cNvSpPr>
      </xdr:nvSpPr>
      <xdr:spPr bwMode="auto">
        <a:xfrm>
          <a:off x="5829300" y="57292875"/>
          <a:ext cx="400050" cy="142875"/>
        </a:xfrm>
        <a:prstGeom prst="curvedRightArrow">
          <a:avLst>
            <a:gd name="adj1" fmla="val 1185"/>
            <a:gd name="adj2" fmla="val 40000"/>
            <a:gd name="adj3" fmla="val 44444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10</xdr:col>
      <xdr:colOff>123825</xdr:colOff>
      <xdr:row>284</xdr:row>
      <xdr:rowOff>28575</xdr:rowOff>
    </xdr:from>
    <xdr:to>
      <xdr:col>10</xdr:col>
      <xdr:colOff>276225</xdr:colOff>
      <xdr:row>284</xdr:row>
      <xdr:rowOff>190500</xdr:rowOff>
    </xdr:to>
    <xdr:sp macro="" textlink="">
      <xdr:nvSpPr>
        <xdr:cNvPr id="119" name="AutoShape 2877">
          <a:extLst>
            <a:ext uri="{FF2B5EF4-FFF2-40B4-BE49-F238E27FC236}">
              <a16:creationId xmlns:a16="http://schemas.microsoft.com/office/drawing/2014/main" id="{00000000-0008-0000-0100-000077000000}"/>
            </a:ext>
          </a:extLst>
        </xdr:cNvPr>
        <xdr:cNvSpPr>
          <a:spLocks noChangeArrowheads="1"/>
        </xdr:cNvSpPr>
      </xdr:nvSpPr>
      <xdr:spPr bwMode="auto">
        <a:xfrm>
          <a:off x="6229350" y="58073925"/>
          <a:ext cx="152400" cy="161925"/>
        </a:xfrm>
        <a:prstGeom prst="curvedLeftArrow">
          <a:avLst>
            <a:gd name="adj1" fmla="val 1259"/>
            <a:gd name="adj2" fmla="val 42500"/>
            <a:gd name="adj3" fmla="val 33333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</xdr:col>
      <xdr:colOff>400050</xdr:colOff>
      <xdr:row>284</xdr:row>
      <xdr:rowOff>47625</xdr:rowOff>
    </xdr:from>
    <xdr:to>
      <xdr:col>4</xdr:col>
      <xdr:colOff>114300</xdr:colOff>
      <xdr:row>284</xdr:row>
      <xdr:rowOff>47625</xdr:rowOff>
    </xdr:to>
    <xdr:sp macro="" textlink="">
      <xdr:nvSpPr>
        <xdr:cNvPr id="120" name="Line 2929">
          <a:extLst>
            <a:ext uri="{FF2B5EF4-FFF2-40B4-BE49-F238E27FC236}">
              <a16:creationId xmlns:a16="http://schemas.microsoft.com/office/drawing/2014/main" id="{00000000-0008-0000-0100-000078000000}"/>
            </a:ext>
          </a:extLst>
        </xdr:cNvPr>
        <xdr:cNvSpPr>
          <a:spLocks noChangeShapeType="1"/>
        </xdr:cNvSpPr>
      </xdr:nvSpPr>
      <xdr:spPr bwMode="auto">
        <a:xfrm>
          <a:off x="2038350" y="58092975"/>
          <a:ext cx="447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xdr:twoCellAnchor>
    <xdr:from>
      <xdr:col>3</xdr:col>
      <xdr:colOff>400050</xdr:colOff>
      <xdr:row>284</xdr:row>
      <xdr:rowOff>47625</xdr:rowOff>
    </xdr:from>
    <xdr:to>
      <xdr:col>4</xdr:col>
      <xdr:colOff>114300</xdr:colOff>
      <xdr:row>284</xdr:row>
      <xdr:rowOff>47625</xdr:rowOff>
    </xdr:to>
    <xdr:sp macro="" textlink="">
      <xdr:nvSpPr>
        <xdr:cNvPr id="121" name="Line 2929">
          <a:extLst>
            <a:ext uri="{FF2B5EF4-FFF2-40B4-BE49-F238E27FC236}">
              <a16:creationId xmlns:a16="http://schemas.microsoft.com/office/drawing/2014/main" id="{00000000-0008-0000-0100-000079000000}"/>
            </a:ext>
          </a:extLst>
        </xdr:cNvPr>
        <xdr:cNvSpPr>
          <a:spLocks noChangeShapeType="1"/>
        </xdr:cNvSpPr>
      </xdr:nvSpPr>
      <xdr:spPr bwMode="auto">
        <a:xfrm>
          <a:off x="2038350" y="58092975"/>
          <a:ext cx="447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xdr:twoCellAnchor>
    <xdr:from>
      <xdr:col>10</xdr:col>
      <xdr:colOff>104775</xdr:colOff>
      <xdr:row>281</xdr:row>
      <xdr:rowOff>9525</xdr:rowOff>
    </xdr:from>
    <xdr:to>
      <xdr:col>10</xdr:col>
      <xdr:colOff>257175</xdr:colOff>
      <xdr:row>282</xdr:row>
      <xdr:rowOff>19050</xdr:rowOff>
    </xdr:to>
    <xdr:sp macro="" textlink="">
      <xdr:nvSpPr>
        <xdr:cNvPr id="122" name="AutoShape 2876">
          <a:extLst>
            <a:ext uri="{FF2B5EF4-FFF2-40B4-BE49-F238E27FC236}">
              <a16:creationId xmlns:a16="http://schemas.microsoft.com/office/drawing/2014/main" id="{00000000-0008-0000-0100-00007A000000}"/>
            </a:ext>
          </a:extLst>
        </xdr:cNvPr>
        <xdr:cNvSpPr>
          <a:spLocks noChangeArrowheads="1"/>
        </xdr:cNvSpPr>
      </xdr:nvSpPr>
      <xdr:spPr bwMode="auto">
        <a:xfrm>
          <a:off x="6210300" y="57464325"/>
          <a:ext cx="152400" cy="200025"/>
        </a:xfrm>
        <a:prstGeom prst="curvedLeftArrow">
          <a:avLst>
            <a:gd name="adj1" fmla="val 1556"/>
            <a:gd name="adj2" fmla="val 52500"/>
            <a:gd name="adj3" fmla="val 33333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9</xdr:col>
      <xdr:colOff>457200</xdr:colOff>
      <xdr:row>286</xdr:row>
      <xdr:rowOff>47625</xdr:rowOff>
    </xdr:from>
    <xdr:to>
      <xdr:col>10</xdr:col>
      <xdr:colOff>114300</xdr:colOff>
      <xdr:row>286</xdr:row>
      <xdr:rowOff>190500</xdr:rowOff>
    </xdr:to>
    <xdr:sp macro="" textlink="">
      <xdr:nvSpPr>
        <xdr:cNvPr id="123" name="AutoShape 2852">
          <a:extLst>
            <a:ext uri="{FF2B5EF4-FFF2-40B4-BE49-F238E27FC236}">
              <a16:creationId xmlns:a16="http://schemas.microsoft.com/office/drawing/2014/main" id="{00000000-0008-0000-0100-00007B000000}"/>
            </a:ext>
          </a:extLst>
        </xdr:cNvPr>
        <xdr:cNvSpPr>
          <a:spLocks noChangeArrowheads="1"/>
        </xdr:cNvSpPr>
      </xdr:nvSpPr>
      <xdr:spPr bwMode="auto">
        <a:xfrm>
          <a:off x="5819775" y="58493025"/>
          <a:ext cx="400050" cy="142875"/>
        </a:xfrm>
        <a:prstGeom prst="curvedRightArrow">
          <a:avLst>
            <a:gd name="adj1" fmla="val 1185"/>
            <a:gd name="adj2" fmla="val 40000"/>
            <a:gd name="adj3" fmla="val 44444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10</xdr:col>
      <xdr:colOff>115956</xdr:colOff>
      <xdr:row>340</xdr:row>
      <xdr:rowOff>16565</xdr:rowOff>
    </xdr:from>
    <xdr:to>
      <xdr:col>10</xdr:col>
      <xdr:colOff>268356</xdr:colOff>
      <xdr:row>340</xdr:row>
      <xdr:rowOff>178490</xdr:rowOff>
    </xdr:to>
    <xdr:sp macro="" textlink="">
      <xdr:nvSpPr>
        <xdr:cNvPr id="124" name="AutoShape 2865">
          <a:extLst>
            <a:ext uri="{FF2B5EF4-FFF2-40B4-BE49-F238E27FC236}">
              <a16:creationId xmlns:a16="http://schemas.microsoft.com/office/drawing/2014/main" id="{00000000-0008-0000-0100-00007C000000}"/>
            </a:ext>
          </a:extLst>
        </xdr:cNvPr>
        <xdr:cNvSpPr>
          <a:spLocks noChangeArrowheads="1"/>
        </xdr:cNvSpPr>
      </xdr:nvSpPr>
      <xdr:spPr bwMode="auto">
        <a:xfrm>
          <a:off x="6221481" y="69129965"/>
          <a:ext cx="152400" cy="161925"/>
        </a:xfrm>
        <a:prstGeom prst="curvedLeftArrow">
          <a:avLst>
            <a:gd name="adj1" fmla="val 1343"/>
            <a:gd name="adj2" fmla="val 45348"/>
            <a:gd name="adj3" fmla="val 33333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10</xdr:col>
      <xdr:colOff>107674</xdr:colOff>
      <xdr:row>341</xdr:row>
      <xdr:rowOff>16565</xdr:rowOff>
    </xdr:from>
    <xdr:to>
      <xdr:col>10</xdr:col>
      <xdr:colOff>260074</xdr:colOff>
      <xdr:row>341</xdr:row>
      <xdr:rowOff>178490</xdr:rowOff>
    </xdr:to>
    <xdr:sp macro="" textlink="">
      <xdr:nvSpPr>
        <xdr:cNvPr id="125" name="AutoShape 2865">
          <a:extLst>
            <a:ext uri="{FF2B5EF4-FFF2-40B4-BE49-F238E27FC236}">
              <a16:creationId xmlns:a16="http://schemas.microsoft.com/office/drawing/2014/main" id="{00000000-0008-0000-0100-00007D000000}"/>
            </a:ext>
          </a:extLst>
        </xdr:cNvPr>
        <xdr:cNvSpPr>
          <a:spLocks noChangeArrowheads="1"/>
        </xdr:cNvSpPr>
      </xdr:nvSpPr>
      <xdr:spPr bwMode="auto">
        <a:xfrm>
          <a:off x="6213199" y="69320465"/>
          <a:ext cx="152400" cy="161925"/>
        </a:xfrm>
        <a:prstGeom prst="curvedLeftArrow">
          <a:avLst>
            <a:gd name="adj1" fmla="val 1343"/>
            <a:gd name="adj2" fmla="val 45348"/>
            <a:gd name="adj3" fmla="val 33333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</xdr:col>
      <xdr:colOff>455543</xdr:colOff>
      <xdr:row>340</xdr:row>
      <xdr:rowOff>124240</xdr:rowOff>
    </xdr:from>
    <xdr:to>
      <xdr:col>6</xdr:col>
      <xdr:colOff>141218</xdr:colOff>
      <xdr:row>340</xdr:row>
      <xdr:rowOff>124240</xdr:rowOff>
    </xdr:to>
    <xdr:sp macro="" textlink="">
      <xdr:nvSpPr>
        <xdr:cNvPr id="126" name="Line 2902">
          <a:extLst>
            <a:ext uri="{FF2B5EF4-FFF2-40B4-BE49-F238E27FC236}">
              <a16:creationId xmlns:a16="http://schemas.microsoft.com/office/drawing/2014/main" id="{00000000-0008-0000-0100-00007E000000}"/>
            </a:ext>
          </a:extLst>
        </xdr:cNvPr>
        <xdr:cNvSpPr>
          <a:spLocks noChangeShapeType="1"/>
        </xdr:cNvSpPr>
      </xdr:nvSpPr>
      <xdr:spPr bwMode="auto">
        <a:xfrm>
          <a:off x="3360668" y="69237640"/>
          <a:ext cx="2190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xdr:twoCellAnchor>
    <xdr:from>
      <xdr:col>5</xdr:col>
      <xdr:colOff>457200</xdr:colOff>
      <xdr:row>346</xdr:row>
      <xdr:rowOff>123825</xdr:rowOff>
    </xdr:from>
    <xdr:to>
      <xdr:col>6</xdr:col>
      <xdr:colOff>142875</xdr:colOff>
      <xdr:row>346</xdr:row>
      <xdr:rowOff>123825</xdr:rowOff>
    </xdr:to>
    <xdr:sp macro="" textlink="">
      <xdr:nvSpPr>
        <xdr:cNvPr id="127" name="Line 2902">
          <a:extLst>
            <a:ext uri="{FF2B5EF4-FFF2-40B4-BE49-F238E27FC236}">
              <a16:creationId xmlns:a16="http://schemas.microsoft.com/office/drawing/2014/main" id="{00000000-0008-0000-0100-00007F000000}"/>
            </a:ext>
          </a:extLst>
        </xdr:cNvPr>
        <xdr:cNvSpPr>
          <a:spLocks noChangeShapeType="1"/>
        </xdr:cNvSpPr>
      </xdr:nvSpPr>
      <xdr:spPr bwMode="auto">
        <a:xfrm>
          <a:off x="3362325" y="70380225"/>
          <a:ext cx="2190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xdr:twoCellAnchor>
    <xdr:from>
      <xdr:col>5</xdr:col>
      <xdr:colOff>457200</xdr:colOff>
      <xdr:row>347</xdr:row>
      <xdr:rowOff>123825</xdr:rowOff>
    </xdr:from>
    <xdr:to>
      <xdr:col>6</xdr:col>
      <xdr:colOff>142875</xdr:colOff>
      <xdr:row>347</xdr:row>
      <xdr:rowOff>123825</xdr:rowOff>
    </xdr:to>
    <xdr:sp macro="" textlink="">
      <xdr:nvSpPr>
        <xdr:cNvPr id="128" name="Line 2902">
          <a:extLst>
            <a:ext uri="{FF2B5EF4-FFF2-40B4-BE49-F238E27FC236}">
              <a16:creationId xmlns:a16="http://schemas.microsoft.com/office/drawing/2014/main" id="{00000000-0008-0000-0100-000080000000}"/>
            </a:ext>
          </a:extLst>
        </xdr:cNvPr>
        <xdr:cNvSpPr>
          <a:spLocks noChangeShapeType="1"/>
        </xdr:cNvSpPr>
      </xdr:nvSpPr>
      <xdr:spPr bwMode="auto">
        <a:xfrm>
          <a:off x="3362325" y="70570725"/>
          <a:ext cx="2190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xdr:twoCellAnchor>
    <xdr:from>
      <xdr:col>10</xdr:col>
      <xdr:colOff>115957</xdr:colOff>
      <xdr:row>347</xdr:row>
      <xdr:rowOff>8282</xdr:rowOff>
    </xdr:from>
    <xdr:to>
      <xdr:col>10</xdr:col>
      <xdr:colOff>268357</xdr:colOff>
      <xdr:row>347</xdr:row>
      <xdr:rowOff>170207</xdr:rowOff>
    </xdr:to>
    <xdr:sp macro="" textlink="">
      <xdr:nvSpPr>
        <xdr:cNvPr id="129" name="AutoShape 2865">
          <a:extLst>
            <a:ext uri="{FF2B5EF4-FFF2-40B4-BE49-F238E27FC236}">
              <a16:creationId xmlns:a16="http://schemas.microsoft.com/office/drawing/2014/main" id="{00000000-0008-0000-0100-000081000000}"/>
            </a:ext>
          </a:extLst>
        </xdr:cNvPr>
        <xdr:cNvSpPr>
          <a:spLocks noChangeArrowheads="1"/>
        </xdr:cNvSpPr>
      </xdr:nvSpPr>
      <xdr:spPr bwMode="auto">
        <a:xfrm>
          <a:off x="6221482" y="70455182"/>
          <a:ext cx="152400" cy="161925"/>
        </a:xfrm>
        <a:prstGeom prst="curvedLeftArrow">
          <a:avLst>
            <a:gd name="adj1" fmla="val 1343"/>
            <a:gd name="adj2" fmla="val 45348"/>
            <a:gd name="adj3" fmla="val 33333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10</xdr:col>
      <xdr:colOff>94007</xdr:colOff>
      <xdr:row>352</xdr:row>
      <xdr:rowOff>3727</xdr:rowOff>
    </xdr:from>
    <xdr:to>
      <xdr:col>10</xdr:col>
      <xdr:colOff>255932</xdr:colOff>
      <xdr:row>352</xdr:row>
      <xdr:rowOff>184702</xdr:rowOff>
    </xdr:to>
    <xdr:sp macro="" textlink="">
      <xdr:nvSpPr>
        <xdr:cNvPr id="130" name="AutoShape 2865">
          <a:extLst>
            <a:ext uri="{FF2B5EF4-FFF2-40B4-BE49-F238E27FC236}">
              <a16:creationId xmlns:a16="http://schemas.microsoft.com/office/drawing/2014/main" id="{00000000-0008-0000-0100-000082000000}"/>
            </a:ext>
          </a:extLst>
        </xdr:cNvPr>
        <xdr:cNvSpPr>
          <a:spLocks noChangeArrowheads="1"/>
        </xdr:cNvSpPr>
      </xdr:nvSpPr>
      <xdr:spPr bwMode="auto">
        <a:xfrm>
          <a:off x="6199532" y="71403127"/>
          <a:ext cx="161925" cy="180975"/>
        </a:xfrm>
        <a:prstGeom prst="curvedLeftArrow">
          <a:avLst>
            <a:gd name="adj1" fmla="val 1273"/>
            <a:gd name="adj2" fmla="val 42926"/>
            <a:gd name="adj3" fmla="val 33333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</xdr:col>
      <xdr:colOff>472109</xdr:colOff>
      <xdr:row>353</xdr:row>
      <xdr:rowOff>74544</xdr:rowOff>
    </xdr:from>
    <xdr:to>
      <xdr:col>6</xdr:col>
      <xdr:colOff>157784</xdr:colOff>
      <xdr:row>353</xdr:row>
      <xdr:rowOff>74544</xdr:rowOff>
    </xdr:to>
    <xdr:sp macro="" textlink="">
      <xdr:nvSpPr>
        <xdr:cNvPr id="131" name="Line 2902">
          <a:extLst>
            <a:ext uri="{FF2B5EF4-FFF2-40B4-BE49-F238E27FC236}">
              <a16:creationId xmlns:a16="http://schemas.microsoft.com/office/drawing/2014/main" id="{00000000-0008-0000-0100-000083000000}"/>
            </a:ext>
          </a:extLst>
        </xdr:cNvPr>
        <xdr:cNvSpPr>
          <a:spLocks noChangeShapeType="1"/>
        </xdr:cNvSpPr>
      </xdr:nvSpPr>
      <xdr:spPr bwMode="auto">
        <a:xfrm>
          <a:off x="3377234" y="71664444"/>
          <a:ext cx="2190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xdr:twoCellAnchor>
    <xdr:from>
      <xdr:col>5</xdr:col>
      <xdr:colOff>455543</xdr:colOff>
      <xdr:row>354</xdr:row>
      <xdr:rowOff>91109</xdr:rowOff>
    </xdr:from>
    <xdr:to>
      <xdr:col>6</xdr:col>
      <xdr:colOff>141218</xdr:colOff>
      <xdr:row>354</xdr:row>
      <xdr:rowOff>91109</xdr:rowOff>
    </xdr:to>
    <xdr:sp macro="" textlink="">
      <xdr:nvSpPr>
        <xdr:cNvPr id="132" name="Line 2902">
          <a:extLst>
            <a:ext uri="{FF2B5EF4-FFF2-40B4-BE49-F238E27FC236}">
              <a16:creationId xmlns:a16="http://schemas.microsoft.com/office/drawing/2014/main" id="{00000000-0008-0000-0100-000084000000}"/>
            </a:ext>
          </a:extLst>
        </xdr:cNvPr>
        <xdr:cNvSpPr>
          <a:spLocks noChangeShapeType="1"/>
        </xdr:cNvSpPr>
      </xdr:nvSpPr>
      <xdr:spPr bwMode="auto">
        <a:xfrm>
          <a:off x="3360668" y="71871509"/>
          <a:ext cx="2190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xdr:twoCellAnchor>
    <xdr:from>
      <xdr:col>5</xdr:col>
      <xdr:colOff>431108</xdr:colOff>
      <xdr:row>355</xdr:row>
      <xdr:rowOff>74542</xdr:rowOff>
    </xdr:from>
    <xdr:to>
      <xdr:col>6</xdr:col>
      <xdr:colOff>149087</xdr:colOff>
      <xdr:row>355</xdr:row>
      <xdr:rowOff>74543</xdr:rowOff>
    </xdr:to>
    <xdr:sp macro="" textlink="">
      <xdr:nvSpPr>
        <xdr:cNvPr id="133" name="Line 2902">
          <a:extLst>
            <a:ext uri="{FF2B5EF4-FFF2-40B4-BE49-F238E27FC236}">
              <a16:creationId xmlns:a16="http://schemas.microsoft.com/office/drawing/2014/main" id="{00000000-0008-0000-0100-000085000000}"/>
            </a:ext>
          </a:extLst>
        </xdr:cNvPr>
        <xdr:cNvSpPr>
          <a:spLocks noChangeShapeType="1"/>
        </xdr:cNvSpPr>
      </xdr:nvSpPr>
      <xdr:spPr bwMode="auto">
        <a:xfrm flipH="1" flipV="1">
          <a:off x="3336233" y="72045442"/>
          <a:ext cx="251379" cy="1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xdr:twoCellAnchor>
    <xdr:from>
      <xdr:col>10</xdr:col>
      <xdr:colOff>107674</xdr:colOff>
      <xdr:row>352</xdr:row>
      <xdr:rowOff>173935</xdr:rowOff>
    </xdr:from>
    <xdr:to>
      <xdr:col>10</xdr:col>
      <xdr:colOff>269599</xdr:colOff>
      <xdr:row>353</xdr:row>
      <xdr:rowOff>164410</xdr:rowOff>
    </xdr:to>
    <xdr:sp macro="" textlink="">
      <xdr:nvSpPr>
        <xdr:cNvPr id="134" name="AutoShape 2865">
          <a:extLst>
            <a:ext uri="{FF2B5EF4-FFF2-40B4-BE49-F238E27FC236}">
              <a16:creationId xmlns:a16="http://schemas.microsoft.com/office/drawing/2014/main" id="{00000000-0008-0000-0100-000086000000}"/>
            </a:ext>
          </a:extLst>
        </xdr:cNvPr>
        <xdr:cNvSpPr>
          <a:spLocks noChangeArrowheads="1"/>
        </xdr:cNvSpPr>
      </xdr:nvSpPr>
      <xdr:spPr bwMode="auto">
        <a:xfrm>
          <a:off x="6213199" y="71573335"/>
          <a:ext cx="161925" cy="180975"/>
        </a:xfrm>
        <a:prstGeom prst="curvedLeftArrow">
          <a:avLst>
            <a:gd name="adj1" fmla="val 1273"/>
            <a:gd name="adj2" fmla="val 42926"/>
            <a:gd name="adj3" fmla="val 33333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10</xdr:col>
      <xdr:colOff>24848</xdr:colOff>
      <xdr:row>355</xdr:row>
      <xdr:rowOff>16565</xdr:rowOff>
    </xdr:from>
    <xdr:to>
      <xdr:col>10</xdr:col>
      <xdr:colOff>427383</xdr:colOff>
      <xdr:row>355</xdr:row>
      <xdr:rowOff>159440</xdr:rowOff>
    </xdr:to>
    <xdr:sp macro="" textlink="">
      <xdr:nvSpPr>
        <xdr:cNvPr id="135" name="AutoShape 2852">
          <a:extLst>
            <a:ext uri="{FF2B5EF4-FFF2-40B4-BE49-F238E27FC236}">
              <a16:creationId xmlns:a16="http://schemas.microsoft.com/office/drawing/2014/main" id="{00000000-0008-0000-0100-000087000000}"/>
            </a:ext>
          </a:extLst>
        </xdr:cNvPr>
        <xdr:cNvSpPr>
          <a:spLocks noChangeArrowheads="1"/>
        </xdr:cNvSpPr>
      </xdr:nvSpPr>
      <xdr:spPr bwMode="auto">
        <a:xfrm>
          <a:off x="6130373" y="71987465"/>
          <a:ext cx="402535" cy="142875"/>
        </a:xfrm>
        <a:prstGeom prst="curvedRightArrow">
          <a:avLst>
            <a:gd name="adj1" fmla="val 1185"/>
            <a:gd name="adj2" fmla="val 40000"/>
            <a:gd name="adj3" fmla="val 44444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</xdr:col>
      <xdr:colOff>304800</xdr:colOff>
      <xdr:row>371</xdr:row>
      <xdr:rowOff>38100</xdr:rowOff>
    </xdr:from>
    <xdr:to>
      <xdr:col>2</xdr:col>
      <xdr:colOff>457200</xdr:colOff>
      <xdr:row>372</xdr:row>
      <xdr:rowOff>142875</xdr:rowOff>
    </xdr:to>
    <xdr:pic>
      <xdr:nvPicPr>
        <xdr:cNvPr id="136" name="Picture 231068">
          <a:extLst>
            <a:ext uri="{FF2B5EF4-FFF2-40B4-BE49-F238E27FC236}">
              <a16:creationId xmlns:a16="http://schemas.microsoft.com/office/drawing/2014/main" id="{00000000-0008-0000-0100-00008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81050" y="74952225"/>
          <a:ext cx="685800" cy="314325"/>
        </a:xfrm>
        <a:prstGeom prst="rect">
          <a:avLst/>
        </a:prstGeom>
        <a:noFill/>
      </xdr:spPr>
    </xdr:pic>
    <xdr:clientData/>
  </xdr:twoCellAnchor>
  <xdr:twoCellAnchor>
    <xdr:from>
      <xdr:col>1</xdr:col>
      <xdr:colOff>304800</xdr:colOff>
      <xdr:row>415</xdr:row>
      <xdr:rowOff>38100</xdr:rowOff>
    </xdr:from>
    <xdr:to>
      <xdr:col>2</xdr:col>
      <xdr:colOff>457200</xdr:colOff>
      <xdr:row>416</xdr:row>
      <xdr:rowOff>142875</xdr:rowOff>
    </xdr:to>
    <xdr:pic>
      <xdr:nvPicPr>
        <xdr:cNvPr id="137" name="Picture 231068">
          <a:extLst>
            <a:ext uri="{FF2B5EF4-FFF2-40B4-BE49-F238E27FC236}">
              <a16:creationId xmlns:a16="http://schemas.microsoft.com/office/drawing/2014/main" id="{00000000-0008-0000-0100-00008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81050" y="83553300"/>
          <a:ext cx="685800" cy="295275"/>
        </a:xfrm>
        <a:prstGeom prst="rect">
          <a:avLst/>
        </a:prstGeom>
        <a:noFill/>
      </xdr:spPr>
    </xdr:pic>
    <xdr:clientData/>
  </xdr:twoCellAnchor>
  <xdr:twoCellAnchor>
    <xdr:from>
      <xdr:col>1</xdr:col>
      <xdr:colOff>304800</xdr:colOff>
      <xdr:row>471</xdr:row>
      <xdr:rowOff>38100</xdr:rowOff>
    </xdr:from>
    <xdr:to>
      <xdr:col>2</xdr:col>
      <xdr:colOff>457200</xdr:colOff>
      <xdr:row>472</xdr:row>
      <xdr:rowOff>142875</xdr:rowOff>
    </xdr:to>
    <xdr:pic>
      <xdr:nvPicPr>
        <xdr:cNvPr id="138" name="Picture 231068">
          <a:extLst>
            <a:ext uri="{FF2B5EF4-FFF2-40B4-BE49-F238E27FC236}">
              <a16:creationId xmlns:a16="http://schemas.microsoft.com/office/drawing/2014/main" id="{00000000-0008-0000-0100-00008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81050" y="94221300"/>
          <a:ext cx="685800" cy="285750"/>
        </a:xfrm>
        <a:prstGeom prst="rect">
          <a:avLst/>
        </a:prstGeom>
        <a:noFill/>
      </xdr:spPr>
    </xdr:pic>
    <xdr:clientData/>
  </xdr:twoCellAnchor>
  <xdr:twoCellAnchor>
    <xdr:from>
      <xdr:col>10</xdr:col>
      <xdr:colOff>104775</xdr:colOff>
      <xdr:row>179</xdr:row>
      <xdr:rowOff>28575</xdr:rowOff>
    </xdr:from>
    <xdr:to>
      <xdr:col>10</xdr:col>
      <xdr:colOff>257175</xdr:colOff>
      <xdr:row>179</xdr:row>
      <xdr:rowOff>190500</xdr:rowOff>
    </xdr:to>
    <xdr:sp macro="" textlink="">
      <xdr:nvSpPr>
        <xdr:cNvPr id="139" name="AutoShape 2867">
          <a:extLst>
            <a:ext uri="{FF2B5EF4-FFF2-40B4-BE49-F238E27FC236}">
              <a16:creationId xmlns:a16="http://schemas.microsoft.com/office/drawing/2014/main" id="{00000000-0008-0000-0100-00008B000000}"/>
            </a:ext>
          </a:extLst>
        </xdr:cNvPr>
        <xdr:cNvSpPr>
          <a:spLocks noChangeArrowheads="1"/>
        </xdr:cNvSpPr>
      </xdr:nvSpPr>
      <xdr:spPr bwMode="auto">
        <a:xfrm>
          <a:off x="6210300" y="34394775"/>
          <a:ext cx="152400" cy="161925"/>
        </a:xfrm>
        <a:prstGeom prst="curvedLeftArrow">
          <a:avLst>
            <a:gd name="adj1" fmla="val 1259"/>
            <a:gd name="adj2" fmla="val 42500"/>
            <a:gd name="adj3" fmla="val 33333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10</xdr:col>
      <xdr:colOff>104775</xdr:colOff>
      <xdr:row>180</xdr:row>
      <xdr:rowOff>28575</xdr:rowOff>
    </xdr:from>
    <xdr:to>
      <xdr:col>10</xdr:col>
      <xdr:colOff>257175</xdr:colOff>
      <xdr:row>180</xdr:row>
      <xdr:rowOff>190500</xdr:rowOff>
    </xdr:to>
    <xdr:sp macro="" textlink="">
      <xdr:nvSpPr>
        <xdr:cNvPr id="140" name="AutoShape 2867">
          <a:extLst>
            <a:ext uri="{FF2B5EF4-FFF2-40B4-BE49-F238E27FC236}">
              <a16:creationId xmlns:a16="http://schemas.microsoft.com/office/drawing/2014/main" id="{00000000-0008-0000-0100-00008C000000}"/>
            </a:ext>
          </a:extLst>
        </xdr:cNvPr>
        <xdr:cNvSpPr>
          <a:spLocks noChangeArrowheads="1"/>
        </xdr:cNvSpPr>
      </xdr:nvSpPr>
      <xdr:spPr bwMode="auto">
        <a:xfrm>
          <a:off x="6210300" y="34594800"/>
          <a:ext cx="152400" cy="161925"/>
        </a:xfrm>
        <a:prstGeom prst="curvedLeftArrow">
          <a:avLst>
            <a:gd name="adj1" fmla="val 1259"/>
            <a:gd name="adj2" fmla="val 42500"/>
            <a:gd name="adj3" fmla="val 33333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</xdr:col>
      <xdr:colOff>428625</xdr:colOff>
      <xdr:row>180</xdr:row>
      <xdr:rowOff>85725</xdr:rowOff>
    </xdr:from>
    <xdr:to>
      <xdr:col>4</xdr:col>
      <xdr:colOff>113319</xdr:colOff>
      <xdr:row>180</xdr:row>
      <xdr:rowOff>85725</xdr:rowOff>
    </xdr:to>
    <xdr:sp macro="" textlink="">
      <xdr:nvSpPr>
        <xdr:cNvPr id="141" name="Line 2907">
          <a:extLst>
            <a:ext uri="{FF2B5EF4-FFF2-40B4-BE49-F238E27FC236}">
              <a16:creationId xmlns:a16="http://schemas.microsoft.com/office/drawing/2014/main" id="{00000000-0008-0000-0100-00008D000000}"/>
            </a:ext>
          </a:extLst>
        </xdr:cNvPr>
        <xdr:cNvSpPr>
          <a:spLocks noChangeShapeType="1"/>
        </xdr:cNvSpPr>
      </xdr:nvSpPr>
      <xdr:spPr bwMode="auto">
        <a:xfrm>
          <a:off x="2066925" y="34651950"/>
          <a:ext cx="418119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xdr:twoCellAnchor>
    <xdr:from>
      <xdr:col>3</xdr:col>
      <xdr:colOff>428625</xdr:colOff>
      <xdr:row>179</xdr:row>
      <xdr:rowOff>85725</xdr:rowOff>
    </xdr:from>
    <xdr:to>
      <xdr:col>4</xdr:col>
      <xdr:colOff>113319</xdr:colOff>
      <xdr:row>179</xdr:row>
      <xdr:rowOff>85725</xdr:rowOff>
    </xdr:to>
    <xdr:sp macro="" textlink="">
      <xdr:nvSpPr>
        <xdr:cNvPr id="142" name="Line 2907">
          <a:extLst>
            <a:ext uri="{FF2B5EF4-FFF2-40B4-BE49-F238E27FC236}">
              <a16:creationId xmlns:a16="http://schemas.microsoft.com/office/drawing/2014/main" id="{00000000-0008-0000-0100-00008E000000}"/>
            </a:ext>
          </a:extLst>
        </xdr:cNvPr>
        <xdr:cNvSpPr>
          <a:spLocks noChangeShapeType="1"/>
        </xdr:cNvSpPr>
      </xdr:nvSpPr>
      <xdr:spPr bwMode="auto">
        <a:xfrm>
          <a:off x="2066925" y="34451925"/>
          <a:ext cx="418119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76200</xdr:colOff>
          <xdr:row>61</xdr:row>
          <xdr:rowOff>9525</xdr:rowOff>
        </xdr:from>
        <xdr:to>
          <xdr:col>6</xdr:col>
          <xdr:colOff>85725</xdr:colOff>
          <xdr:row>65</xdr:row>
          <xdr:rowOff>76200</xdr:rowOff>
        </xdr:to>
        <xdr:sp macro="" textlink="">
          <xdr:nvSpPr>
            <xdr:cNvPr id="339969" name="Object 1" hidden="1">
              <a:extLst>
                <a:ext uri="{63B3BB69-23CF-44E3-9099-C40C66FF867C}">
                  <a14:compatExt spid="_x0000_s339969"/>
                </a:ext>
                <a:ext uri="{FF2B5EF4-FFF2-40B4-BE49-F238E27FC236}">
                  <a16:creationId xmlns:a16="http://schemas.microsoft.com/office/drawing/2014/main" id="{00000000-0008-0000-0100-0000013005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95250</xdr:colOff>
          <xdr:row>67</xdr:row>
          <xdr:rowOff>19050</xdr:rowOff>
        </xdr:from>
        <xdr:to>
          <xdr:col>1</xdr:col>
          <xdr:colOff>209550</xdr:colOff>
          <xdr:row>69</xdr:row>
          <xdr:rowOff>123825</xdr:rowOff>
        </xdr:to>
        <xdr:sp macro="" textlink="">
          <xdr:nvSpPr>
            <xdr:cNvPr id="339970" name="Object 2" hidden="1">
              <a:extLst>
                <a:ext uri="{63B3BB69-23CF-44E3-9099-C40C66FF867C}">
                  <a14:compatExt spid="_x0000_s339970"/>
                </a:ext>
                <a:ext uri="{FF2B5EF4-FFF2-40B4-BE49-F238E27FC236}">
                  <a16:creationId xmlns:a16="http://schemas.microsoft.com/office/drawing/2014/main" id="{00000000-0008-0000-0100-0000023005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104775</xdr:colOff>
          <xdr:row>70</xdr:row>
          <xdr:rowOff>38100</xdr:rowOff>
        </xdr:from>
        <xdr:to>
          <xdr:col>2</xdr:col>
          <xdr:colOff>314325</xdr:colOff>
          <xdr:row>72</xdr:row>
          <xdr:rowOff>161925</xdr:rowOff>
        </xdr:to>
        <xdr:sp macro="" textlink="">
          <xdr:nvSpPr>
            <xdr:cNvPr id="339971" name="Object 3" hidden="1">
              <a:extLst>
                <a:ext uri="{63B3BB69-23CF-44E3-9099-C40C66FF867C}">
                  <a14:compatExt spid="_x0000_s339971"/>
                </a:ext>
                <a:ext uri="{FF2B5EF4-FFF2-40B4-BE49-F238E27FC236}">
                  <a16:creationId xmlns:a16="http://schemas.microsoft.com/office/drawing/2014/main" id="{00000000-0008-0000-0100-0000033005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104775</xdr:colOff>
          <xdr:row>73</xdr:row>
          <xdr:rowOff>0</xdr:rowOff>
        </xdr:from>
        <xdr:to>
          <xdr:col>3</xdr:col>
          <xdr:colOff>409575</xdr:colOff>
          <xdr:row>76</xdr:row>
          <xdr:rowOff>9525</xdr:rowOff>
        </xdr:to>
        <xdr:sp macro="" textlink="">
          <xdr:nvSpPr>
            <xdr:cNvPr id="339972" name="Object 4" hidden="1">
              <a:extLst>
                <a:ext uri="{63B3BB69-23CF-44E3-9099-C40C66FF867C}">
                  <a14:compatExt spid="_x0000_s339972"/>
                </a:ext>
                <a:ext uri="{FF2B5EF4-FFF2-40B4-BE49-F238E27FC236}">
                  <a16:creationId xmlns:a16="http://schemas.microsoft.com/office/drawing/2014/main" id="{00000000-0008-0000-0100-0000043005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95250</xdr:colOff>
          <xdr:row>76</xdr:row>
          <xdr:rowOff>57150</xdr:rowOff>
        </xdr:from>
        <xdr:to>
          <xdr:col>7</xdr:col>
          <xdr:colOff>352425</xdr:colOff>
          <xdr:row>80</xdr:row>
          <xdr:rowOff>85725</xdr:rowOff>
        </xdr:to>
        <xdr:sp macro="" textlink="">
          <xdr:nvSpPr>
            <xdr:cNvPr id="339973" name="Object 5" hidden="1">
              <a:extLst>
                <a:ext uri="{63B3BB69-23CF-44E3-9099-C40C66FF867C}">
                  <a14:compatExt spid="_x0000_s339973"/>
                </a:ext>
                <a:ext uri="{FF2B5EF4-FFF2-40B4-BE49-F238E27FC236}">
                  <a16:creationId xmlns:a16="http://schemas.microsoft.com/office/drawing/2014/main" id="{00000000-0008-0000-0100-0000053005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123825</xdr:colOff>
          <xdr:row>134</xdr:row>
          <xdr:rowOff>0</xdr:rowOff>
        </xdr:from>
        <xdr:to>
          <xdr:col>7</xdr:col>
          <xdr:colOff>314325</xdr:colOff>
          <xdr:row>137</xdr:row>
          <xdr:rowOff>180975</xdr:rowOff>
        </xdr:to>
        <xdr:sp macro="" textlink="">
          <xdr:nvSpPr>
            <xdr:cNvPr id="339974" name="Object 6" hidden="1">
              <a:extLst>
                <a:ext uri="{63B3BB69-23CF-44E3-9099-C40C66FF867C}">
                  <a14:compatExt spid="_x0000_s339974"/>
                </a:ext>
                <a:ext uri="{FF2B5EF4-FFF2-40B4-BE49-F238E27FC236}">
                  <a16:creationId xmlns:a16="http://schemas.microsoft.com/office/drawing/2014/main" id="{00000000-0008-0000-0100-0000063005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95250</xdr:colOff>
          <xdr:row>188</xdr:row>
          <xdr:rowOff>38100</xdr:rowOff>
        </xdr:from>
        <xdr:to>
          <xdr:col>7</xdr:col>
          <xdr:colOff>285750</xdr:colOff>
          <xdr:row>191</xdr:row>
          <xdr:rowOff>142875</xdr:rowOff>
        </xdr:to>
        <xdr:sp macro="" textlink="">
          <xdr:nvSpPr>
            <xdr:cNvPr id="339975" name="Object 7" hidden="1">
              <a:extLst>
                <a:ext uri="{63B3BB69-23CF-44E3-9099-C40C66FF867C}">
                  <a14:compatExt spid="_x0000_s339975"/>
                </a:ext>
                <a:ext uri="{FF2B5EF4-FFF2-40B4-BE49-F238E27FC236}">
                  <a16:creationId xmlns:a16="http://schemas.microsoft.com/office/drawing/2014/main" id="{00000000-0008-0000-0100-0000073005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76200</xdr:colOff>
          <xdr:row>243</xdr:row>
          <xdr:rowOff>123825</xdr:rowOff>
        </xdr:from>
        <xdr:to>
          <xdr:col>7</xdr:col>
          <xdr:colOff>266700</xdr:colOff>
          <xdr:row>247</xdr:row>
          <xdr:rowOff>0</xdr:rowOff>
        </xdr:to>
        <xdr:sp macro="" textlink="">
          <xdr:nvSpPr>
            <xdr:cNvPr id="339976" name="Object 8" hidden="1">
              <a:extLst>
                <a:ext uri="{63B3BB69-23CF-44E3-9099-C40C66FF867C}">
                  <a14:compatExt spid="_x0000_s339976"/>
                </a:ext>
                <a:ext uri="{FF2B5EF4-FFF2-40B4-BE49-F238E27FC236}">
                  <a16:creationId xmlns:a16="http://schemas.microsoft.com/office/drawing/2014/main" id="{00000000-0008-0000-0100-0000083005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209550</xdr:colOff>
          <xdr:row>293</xdr:row>
          <xdr:rowOff>133350</xdr:rowOff>
        </xdr:from>
        <xdr:to>
          <xdr:col>7</xdr:col>
          <xdr:colOff>400050</xdr:colOff>
          <xdr:row>297</xdr:row>
          <xdr:rowOff>85725</xdr:rowOff>
        </xdr:to>
        <xdr:sp macro="" textlink="">
          <xdr:nvSpPr>
            <xdr:cNvPr id="339977" name="Object 9" hidden="1">
              <a:extLst>
                <a:ext uri="{63B3BB69-23CF-44E3-9099-C40C66FF867C}">
                  <a14:compatExt spid="_x0000_s339977"/>
                </a:ext>
                <a:ext uri="{FF2B5EF4-FFF2-40B4-BE49-F238E27FC236}">
                  <a16:creationId xmlns:a16="http://schemas.microsoft.com/office/drawing/2014/main" id="{00000000-0008-0000-0100-0000093005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57150</xdr:colOff>
          <xdr:row>138</xdr:row>
          <xdr:rowOff>9525</xdr:rowOff>
        </xdr:from>
        <xdr:to>
          <xdr:col>0</xdr:col>
          <xdr:colOff>457200</xdr:colOff>
          <xdr:row>139</xdr:row>
          <xdr:rowOff>9525</xdr:rowOff>
        </xdr:to>
        <xdr:sp macro="" textlink="">
          <xdr:nvSpPr>
            <xdr:cNvPr id="339978" name="Object 10" hidden="1">
              <a:extLst>
                <a:ext uri="{63B3BB69-23CF-44E3-9099-C40C66FF867C}">
                  <a14:compatExt spid="_x0000_s339978"/>
                </a:ext>
                <a:ext uri="{FF2B5EF4-FFF2-40B4-BE49-F238E27FC236}">
                  <a16:creationId xmlns:a16="http://schemas.microsoft.com/office/drawing/2014/main" id="{00000000-0008-0000-0100-00000A3005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192</xdr:row>
          <xdr:rowOff>9525</xdr:rowOff>
        </xdr:from>
        <xdr:to>
          <xdr:col>0</xdr:col>
          <xdr:colOff>438150</xdr:colOff>
          <xdr:row>193</xdr:row>
          <xdr:rowOff>9525</xdr:rowOff>
        </xdr:to>
        <xdr:sp macro="" textlink="">
          <xdr:nvSpPr>
            <xdr:cNvPr id="339979" name="Object 11" hidden="1">
              <a:extLst>
                <a:ext uri="{63B3BB69-23CF-44E3-9099-C40C66FF867C}">
                  <a14:compatExt spid="_x0000_s339979"/>
                </a:ext>
                <a:ext uri="{FF2B5EF4-FFF2-40B4-BE49-F238E27FC236}">
                  <a16:creationId xmlns:a16="http://schemas.microsoft.com/office/drawing/2014/main" id="{00000000-0008-0000-0100-00000B3005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57150</xdr:colOff>
          <xdr:row>247</xdr:row>
          <xdr:rowOff>9525</xdr:rowOff>
        </xdr:from>
        <xdr:to>
          <xdr:col>0</xdr:col>
          <xdr:colOff>457200</xdr:colOff>
          <xdr:row>247</xdr:row>
          <xdr:rowOff>371475</xdr:rowOff>
        </xdr:to>
        <xdr:sp macro="" textlink="">
          <xdr:nvSpPr>
            <xdr:cNvPr id="339980" name="Object 12" hidden="1">
              <a:extLst>
                <a:ext uri="{63B3BB69-23CF-44E3-9099-C40C66FF867C}">
                  <a14:compatExt spid="_x0000_s339980"/>
                </a:ext>
                <a:ext uri="{FF2B5EF4-FFF2-40B4-BE49-F238E27FC236}">
                  <a16:creationId xmlns:a16="http://schemas.microsoft.com/office/drawing/2014/main" id="{00000000-0008-0000-0100-00000C3005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47625</xdr:colOff>
          <xdr:row>297</xdr:row>
          <xdr:rowOff>9525</xdr:rowOff>
        </xdr:from>
        <xdr:to>
          <xdr:col>0</xdr:col>
          <xdr:colOff>447675</xdr:colOff>
          <xdr:row>298</xdr:row>
          <xdr:rowOff>9525</xdr:rowOff>
        </xdr:to>
        <xdr:sp macro="" textlink="">
          <xdr:nvSpPr>
            <xdr:cNvPr id="339981" name="Object 13" hidden="1">
              <a:extLst>
                <a:ext uri="{63B3BB69-23CF-44E3-9099-C40C66FF867C}">
                  <a14:compatExt spid="_x0000_s339981"/>
                </a:ext>
                <a:ext uri="{FF2B5EF4-FFF2-40B4-BE49-F238E27FC236}">
                  <a16:creationId xmlns:a16="http://schemas.microsoft.com/office/drawing/2014/main" id="{00000000-0008-0000-0100-00000D3005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333375</xdr:colOff>
          <xdr:row>297</xdr:row>
          <xdr:rowOff>9525</xdr:rowOff>
        </xdr:from>
        <xdr:to>
          <xdr:col>2</xdr:col>
          <xdr:colOff>304800</xdr:colOff>
          <xdr:row>298</xdr:row>
          <xdr:rowOff>9525</xdr:rowOff>
        </xdr:to>
        <xdr:sp macro="" textlink="">
          <xdr:nvSpPr>
            <xdr:cNvPr id="339982" name="Object 14" hidden="1">
              <a:extLst>
                <a:ext uri="{63B3BB69-23CF-44E3-9099-C40C66FF867C}">
                  <a14:compatExt spid="_x0000_s339982"/>
                </a:ext>
                <a:ext uri="{FF2B5EF4-FFF2-40B4-BE49-F238E27FC236}">
                  <a16:creationId xmlns:a16="http://schemas.microsoft.com/office/drawing/2014/main" id="{00000000-0008-0000-0100-00000E3005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304800</xdr:colOff>
          <xdr:row>247</xdr:row>
          <xdr:rowOff>19050</xdr:rowOff>
        </xdr:from>
        <xdr:to>
          <xdr:col>2</xdr:col>
          <xdr:colOff>276225</xdr:colOff>
          <xdr:row>247</xdr:row>
          <xdr:rowOff>381000</xdr:rowOff>
        </xdr:to>
        <xdr:sp macro="" textlink="">
          <xdr:nvSpPr>
            <xdr:cNvPr id="339983" name="Object 15" hidden="1">
              <a:extLst>
                <a:ext uri="{63B3BB69-23CF-44E3-9099-C40C66FF867C}">
                  <a14:compatExt spid="_x0000_s339983"/>
                </a:ext>
                <a:ext uri="{FF2B5EF4-FFF2-40B4-BE49-F238E27FC236}">
                  <a16:creationId xmlns:a16="http://schemas.microsoft.com/office/drawing/2014/main" id="{00000000-0008-0000-0100-00000F3005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333375</xdr:colOff>
          <xdr:row>192</xdr:row>
          <xdr:rowOff>0</xdr:rowOff>
        </xdr:from>
        <xdr:to>
          <xdr:col>2</xdr:col>
          <xdr:colOff>304800</xdr:colOff>
          <xdr:row>193</xdr:row>
          <xdr:rowOff>0</xdr:rowOff>
        </xdr:to>
        <xdr:sp macro="" textlink="">
          <xdr:nvSpPr>
            <xdr:cNvPr id="339984" name="Object 16" hidden="1">
              <a:extLst>
                <a:ext uri="{63B3BB69-23CF-44E3-9099-C40C66FF867C}">
                  <a14:compatExt spid="_x0000_s339984"/>
                </a:ext>
                <a:ext uri="{FF2B5EF4-FFF2-40B4-BE49-F238E27FC236}">
                  <a16:creationId xmlns:a16="http://schemas.microsoft.com/office/drawing/2014/main" id="{00000000-0008-0000-0100-0000103005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342900</xdr:colOff>
          <xdr:row>138</xdr:row>
          <xdr:rowOff>9525</xdr:rowOff>
        </xdr:from>
        <xdr:to>
          <xdr:col>2</xdr:col>
          <xdr:colOff>304800</xdr:colOff>
          <xdr:row>139</xdr:row>
          <xdr:rowOff>9525</xdr:rowOff>
        </xdr:to>
        <xdr:sp macro="" textlink="">
          <xdr:nvSpPr>
            <xdr:cNvPr id="339985" name="Object 17" hidden="1">
              <a:extLst>
                <a:ext uri="{63B3BB69-23CF-44E3-9099-C40C66FF867C}">
                  <a14:compatExt spid="_x0000_s339985"/>
                </a:ext>
                <a:ext uri="{FF2B5EF4-FFF2-40B4-BE49-F238E27FC236}">
                  <a16:creationId xmlns:a16="http://schemas.microsoft.com/office/drawing/2014/main" id="{00000000-0008-0000-0100-0000113005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228600</xdr:colOff>
          <xdr:row>142</xdr:row>
          <xdr:rowOff>19050</xdr:rowOff>
        </xdr:from>
        <xdr:to>
          <xdr:col>5</xdr:col>
          <xdr:colOff>295275</xdr:colOff>
          <xdr:row>142</xdr:row>
          <xdr:rowOff>419100</xdr:rowOff>
        </xdr:to>
        <xdr:sp macro="" textlink="">
          <xdr:nvSpPr>
            <xdr:cNvPr id="339986" name="Object 18" hidden="1">
              <a:extLst>
                <a:ext uri="{63B3BB69-23CF-44E3-9099-C40C66FF867C}">
                  <a14:compatExt spid="_x0000_s339986"/>
                </a:ext>
                <a:ext uri="{FF2B5EF4-FFF2-40B4-BE49-F238E27FC236}">
                  <a16:creationId xmlns:a16="http://schemas.microsoft.com/office/drawing/2014/main" id="{00000000-0008-0000-0100-0000123005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219075</xdr:colOff>
          <xdr:row>196</xdr:row>
          <xdr:rowOff>19050</xdr:rowOff>
        </xdr:from>
        <xdr:to>
          <xdr:col>5</xdr:col>
          <xdr:colOff>285750</xdr:colOff>
          <xdr:row>197</xdr:row>
          <xdr:rowOff>0</xdr:rowOff>
        </xdr:to>
        <xdr:sp macro="" textlink="">
          <xdr:nvSpPr>
            <xdr:cNvPr id="339987" name="Object 19" hidden="1">
              <a:extLst>
                <a:ext uri="{63B3BB69-23CF-44E3-9099-C40C66FF867C}">
                  <a14:compatExt spid="_x0000_s339987"/>
                </a:ext>
                <a:ext uri="{FF2B5EF4-FFF2-40B4-BE49-F238E27FC236}">
                  <a16:creationId xmlns:a16="http://schemas.microsoft.com/office/drawing/2014/main" id="{00000000-0008-0000-0100-0000133005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200025</xdr:colOff>
          <xdr:row>251</xdr:row>
          <xdr:rowOff>19050</xdr:rowOff>
        </xdr:from>
        <xdr:to>
          <xdr:col>5</xdr:col>
          <xdr:colOff>266700</xdr:colOff>
          <xdr:row>251</xdr:row>
          <xdr:rowOff>419100</xdr:rowOff>
        </xdr:to>
        <xdr:sp macro="" textlink="">
          <xdr:nvSpPr>
            <xdr:cNvPr id="339988" name="Object 20" hidden="1">
              <a:extLst>
                <a:ext uri="{63B3BB69-23CF-44E3-9099-C40C66FF867C}">
                  <a14:compatExt spid="_x0000_s339988"/>
                </a:ext>
                <a:ext uri="{FF2B5EF4-FFF2-40B4-BE49-F238E27FC236}">
                  <a16:creationId xmlns:a16="http://schemas.microsoft.com/office/drawing/2014/main" id="{00000000-0008-0000-0100-0000143005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238125</xdr:colOff>
          <xdr:row>301</xdr:row>
          <xdr:rowOff>0</xdr:rowOff>
        </xdr:from>
        <xdr:to>
          <xdr:col>5</xdr:col>
          <xdr:colOff>304800</xdr:colOff>
          <xdr:row>302</xdr:row>
          <xdr:rowOff>9525</xdr:rowOff>
        </xdr:to>
        <xdr:sp macro="" textlink="">
          <xdr:nvSpPr>
            <xdr:cNvPr id="339989" name="Object 21" hidden="1">
              <a:extLst>
                <a:ext uri="{63B3BB69-23CF-44E3-9099-C40C66FF867C}">
                  <a14:compatExt spid="_x0000_s339989"/>
                </a:ext>
                <a:ext uri="{FF2B5EF4-FFF2-40B4-BE49-F238E27FC236}">
                  <a16:creationId xmlns:a16="http://schemas.microsoft.com/office/drawing/2014/main" id="{00000000-0008-0000-0100-0000153005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152400</xdr:colOff>
          <xdr:row>305</xdr:row>
          <xdr:rowOff>9525</xdr:rowOff>
        </xdr:from>
        <xdr:to>
          <xdr:col>6</xdr:col>
          <xdr:colOff>295275</xdr:colOff>
          <xdr:row>306</xdr:row>
          <xdr:rowOff>0</xdr:rowOff>
        </xdr:to>
        <xdr:sp macro="" textlink="">
          <xdr:nvSpPr>
            <xdr:cNvPr id="339990" name="Object 22" hidden="1">
              <a:extLst>
                <a:ext uri="{63B3BB69-23CF-44E3-9099-C40C66FF867C}">
                  <a14:compatExt spid="_x0000_s339990"/>
                </a:ext>
                <a:ext uri="{FF2B5EF4-FFF2-40B4-BE49-F238E27FC236}">
                  <a16:creationId xmlns:a16="http://schemas.microsoft.com/office/drawing/2014/main" id="{00000000-0008-0000-0100-0000163005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171450</xdr:colOff>
          <xdr:row>255</xdr:row>
          <xdr:rowOff>9525</xdr:rowOff>
        </xdr:from>
        <xdr:to>
          <xdr:col>6</xdr:col>
          <xdr:colOff>314325</xdr:colOff>
          <xdr:row>256</xdr:row>
          <xdr:rowOff>0</xdr:rowOff>
        </xdr:to>
        <xdr:sp macro="" textlink="">
          <xdr:nvSpPr>
            <xdr:cNvPr id="339991" name="Object 23" hidden="1">
              <a:extLst>
                <a:ext uri="{63B3BB69-23CF-44E3-9099-C40C66FF867C}">
                  <a14:compatExt spid="_x0000_s339991"/>
                </a:ext>
                <a:ext uri="{FF2B5EF4-FFF2-40B4-BE49-F238E27FC236}">
                  <a16:creationId xmlns:a16="http://schemas.microsoft.com/office/drawing/2014/main" id="{00000000-0008-0000-0100-0000173005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228600</xdr:colOff>
          <xdr:row>200</xdr:row>
          <xdr:rowOff>171450</xdr:rowOff>
        </xdr:from>
        <xdr:to>
          <xdr:col>6</xdr:col>
          <xdr:colOff>371475</xdr:colOff>
          <xdr:row>202</xdr:row>
          <xdr:rowOff>9525</xdr:rowOff>
        </xdr:to>
        <xdr:sp macro="" textlink="">
          <xdr:nvSpPr>
            <xdr:cNvPr id="339992" name="Object 24" hidden="1">
              <a:extLst>
                <a:ext uri="{63B3BB69-23CF-44E3-9099-C40C66FF867C}">
                  <a14:compatExt spid="_x0000_s339992"/>
                </a:ext>
                <a:ext uri="{FF2B5EF4-FFF2-40B4-BE49-F238E27FC236}">
                  <a16:creationId xmlns:a16="http://schemas.microsoft.com/office/drawing/2014/main" id="{00000000-0008-0000-0100-0000183005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238125</xdr:colOff>
          <xdr:row>146</xdr:row>
          <xdr:rowOff>19050</xdr:rowOff>
        </xdr:from>
        <xdr:to>
          <xdr:col>6</xdr:col>
          <xdr:colOff>381000</xdr:colOff>
          <xdr:row>147</xdr:row>
          <xdr:rowOff>0</xdr:rowOff>
        </xdr:to>
        <xdr:sp macro="" textlink="">
          <xdr:nvSpPr>
            <xdr:cNvPr id="339993" name="Object 25" hidden="1">
              <a:extLst>
                <a:ext uri="{63B3BB69-23CF-44E3-9099-C40C66FF867C}">
                  <a14:compatExt spid="_x0000_s339993"/>
                </a:ext>
                <a:ext uri="{FF2B5EF4-FFF2-40B4-BE49-F238E27FC236}">
                  <a16:creationId xmlns:a16="http://schemas.microsoft.com/office/drawing/2014/main" id="{00000000-0008-0000-0100-0000193005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90</xdr:row>
          <xdr:rowOff>57150</xdr:rowOff>
        </xdr:from>
        <xdr:to>
          <xdr:col>9</xdr:col>
          <xdr:colOff>419100</xdr:colOff>
          <xdr:row>111</xdr:row>
          <xdr:rowOff>257175</xdr:rowOff>
        </xdr:to>
        <xdr:sp macro="" textlink="">
          <xdr:nvSpPr>
            <xdr:cNvPr id="339994" name="Object 26" hidden="1">
              <a:extLst>
                <a:ext uri="{63B3BB69-23CF-44E3-9099-C40C66FF867C}">
                  <a14:compatExt spid="_x0000_s339994"/>
                </a:ext>
                <a:ext uri="{FF2B5EF4-FFF2-40B4-BE49-F238E27FC236}">
                  <a16:creationId xmlns:a16="http://schemas.microsoft.com/office/drawing/2014/main" id="{00000000-0008-0000-0100-00001A3005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400050</xdr:colOff>
          <xdr:row>207</xdr:row>
          <xdr:rowOff>47625</xdr:rowOff>
        </xdr:from>
        <xdr:to>
          <xdr:col>9</xdr:col>
          <xdr:colOff>638175</xdr:colOff>
          <xdr:row>224</xdr:row>
          <xdr:rowOff>9525</xdr:rowOff>
        </xdr:to>
        <xdr:sp macro="" textlink="">
          <xdr:nvSpPr>
            <xdr:cNvPr id="339995" name="Object 27" hidden="1">
              <a:extLst>
                <a:ext uri="{63B3BB69-23CF-44E3-9099-C40C66FF867C}">
                  <a14:compatExt spid="_x0000_s339995"/>
                </a:ext>
                <a:ext uri="{FF2B5EF4-FFF2-40B4-BE49-F238E27FC236}">
                  <a16:creationId xmlns:a16="http://schemas.microsoft.com/office/drawing/2014/main" id="{00000000-0008-0000-0100-00001B3005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2</xdr:col>
      <xdr:colOff>152400</xdr:colOff>
      <xdr:row>312</xdr:row>
      <xdr:rowOff>85725</xdr:rowOff>
    </xdr:from>
    <xdr:to>
      <xdr:col>8</xdr:col>
      <xdr:colOff>30419</xdr:colOff>
      <xdr:row>326</xdr:row>
      <xdr:rowOff>133348</xdr:rowOff>
    </xdr:to>
    <xdr:pic>
      <xdr:nvPicPr>
        <xdr:cNvPr id="170" name="Picture 220669">
          <a:extLst>
            <a:ext uri="{FF2B5EF4-FFF2-40B4-BE49-F238E27FC236}">
              <a16:creationId xmlns:a16="http://schemas.microsoft.com/office/drawing/2014/main" id="{00000000-0008-0000-0100-0000A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64074675"/>
          <a:ext cx="3535619" cy="25812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485775</xdr:colOff>
          <xdr:row>425</xdr:row>
          <xdr:rowOff>85725</xdr:rowOff>
        </xdr:from>
        <xdr:to>
          <xdr:col>9</xdr:col>
          <xdr:colOff>504825</xdr:colOff>
          <xdr:row>443</xdr:row>
          <xdr:rowOff>323850</xdr:rowOff>
        </xdr:to>
        <xdr:sp macro="" textlink="">
          <xdr:nvSpPr>
            <xdr:cNvPr id="339996" name="Object 28" hidden="1">
              <a:extLst>
                <a:ext uri="{63B3BB69-23CF-44E3-9099-C40C66FF867C}">
                  <a14:compatExt spid="_x0000_s339996"/>
                </a:ext>
                <a:ext uri="{FF2B5EF4-FFF2-40B4-BE49-F238E27FC236}">
                  <a16:creationId xmlns:a16="http://schemas.microsoft.com/office/drawing/2014/main" id="{00000000-0008-0000-0100-00001C3005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314325</xdr:colOff>
          <xdr:row>376</xdr:row>
          <xdr:rowOff>0</xdr:rowOff>
        </xdr:from>
        <xdr:to>
          <xdr:col>7</xdr:col>
          <xdr:colOff>114300</xdr:colOff>
          <xdr:row>393</xdr:row>
          <xdr:rowOff>47625</xdr:rowOff>
        </xdr:to>
        <xdr:sp macro="" textlink="">
          <xdr:nvSpPr>
            <xdr:cNvPr id="339997" name="Object 29" hidden="1">
              <a:extLst>
                <a:ext uri="{63B3BB69-23CF-44E3-9099-C40C66FF867C}">
                  <a14:compatExt spid="_x0000_s339997"/>
                </a:ext>
                <a:ext uri="{FF2B5EF4-FFF2-40B4-BE49-F238E27FC236}">
                  <a16:creationId xmlns:a16="http://schemas.microsoft.com/office/drawing/2014/main" id="{00000000-0008-0000-0100-00001D3005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122</xdr:row>
          <xdr:rowOff>76200</xdr:rowOff>
        </xdr:from>
        <xdr:to>
          <xdr:col>6</xdr:col>
          <xdr:colOff>76200</xdr:colOff>
          <xdr:row>134</xdr:row>
          <xdr:rowOff>66675</xdr:rowOff>
        </xdr:to>
        <xdr:sp macro="" textlink="">
          <xdr:nvSpPr>
            <xdr:cNvPr id="339999" name="Object 31" hidden="1">
              <a:extLst>
                <a:ext uri="{63B3BB69-23CF-44E3-9099-C40C66FF867C}">
                  <a14:compatExt spid="_x0000_s339999"/>
                </a:ext>
                <a:ext uri="{FF2B5EF4-FFF2-40B4-BE49-F238E27FC236}">
                  <a16:creationId xmlns:a16="http://schemas.microsoft.com/office/drawing/2014/main" id="{00000000-0008-0000-0100-00001F3005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85725</xdr:colOff>
          <xdr:row>148</xdr:row>
          <xdr:rowOff>28575</xdr:rowOff>
        </xdr:from>
        <xdr:to>
          <xdr:col>9</xdr:col>
          <xdr:colOff>390525</xdr:colOff>
          <xdr:row>169</xdr:row>
          <xdr:rowOff>295275</xdr:rowOff>
        </xdr:to>
        <xdr:sp macro="" textlink="">
          <xdr:nvSpPr>
            <xdr:cNvPr id="340000" name="Object 32" hidden="1">
              <a:extLst>
                <a:ext uri="{63B3BB69-23CF-44E3-9099-C40C66FF867C}">
                  <a14:compatExt spid="_x0000_s340000"/>
                </a:ext>
                <a:ext uri="{FF2B5EF4-FFF2-40B4-BE49-F238E27FC236}">
                  <a16:creationId xmlns:a16="http://schemas.microsoft.com/office/drawing/2014/main" id="{00000000-0008-0000-0100-0000203005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371475</xdr:colOff>
          <xdr:row>260</xdr:row>
          <xdr:rowOff>95250</xdr:rowOff>
        </xdr:from>
        <xdr:to>
          <xdr:col>9</xdr:col>
          <xdr:colOff>504825</xdr:colOff>
          <xdr:row>271</xdr:row>
          <xdr:rowOff>47625</xdr:rowOff>
        </xdr:to>
        <xdr:sp macro="" textlink="">
          <xdr:nvSpPr>
            <xdr:cNvPr id="340001" name="Object 33" hidden="1">
              <a:extLst>
                <a:ext uri="{63B3BB69-23CF-44E3-9099-C40C66FF867C}">
                  <a14:compatExt spid="_x0000_s340001"/>
                </a:ext>
                <a:ext uri="{FF2B5EF4-FFF2-40B4-BE49-F238E27FC236}">
                  <a16:creationId xmlns:a16="http://schemas.microsoft.com/office/drawing/2014/main" id="{00000000-0008-0000-0100-0000213005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3</xdr:col>
      <xdr:colOff>295275</xdr:colOff>
      <xdr:row>121</xdr:row>
      <xdr:rowOff>114300</xdr:rowOff>
    </xdr:from>
    <xdr:to>
      <xdr:col>4</xdr:col>
      <xdr:colOff>28575</xdr:colOff>
      <xdr:row>121</xdr:row>
      <xdr:rowOff>114300</xdr:rowOff>
    </xdr:to>
    <xdr:cxnSp macro="">
      <xdr:nvCxnSpPr>
        <xdr:cNvPr id="177" name="9299 Düz Ok Bağlayıcısı">
          <a:extLst>
            <a:ext uri="{FF2B5EF4-FFF2-40B4-BE49-F238E27FC236}">
              <a16:creationId xmlns:a16="http://schemas.microsoft.com/office/drawing/2014/main" id="{00000000-0008-0000-0100-0000B1000000}"/>
            </a:ext>
          </a:extLst>
        </xdr:cNvPr>
        <xdr:cNvCxnSpPr>
          <a:cxnSpLocks noChangeShapeType="1"/>
        </xdr:cNvCxnSpPr>
      </xdr:nvCxnSpPr>
      <xdr:spPr bwMode="auto">
        <a:xfrm rot="10800000">
          <a:off x="1933575" y="22745700"/>
          <a:ext cx="466725" cy="0"/>
        </a:xfrm>
        <a:prstGeom prst="straightConnector1">
          <a:avLst/>
        </a:prstGeom>
        <a:noFill/>
        <a:ln w="9525" algn="ctr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4</xdr:col>
      <xdr:colOff>32400</xdr:colOff>
      <xdr:row>120</xdr:row>
      <xdr:rowOff>25870</xdr:rowOff>
    </xdr:from>
    <xdr:to>
      <xdr:col>4</xdr:col>
      <xdr:colOff>32400</xdr:colOff>
      <xdr:row>121</xdr:row>
      <xdr:rowOff>251</xdr:rowOff>
    </xdr:to>
    <xdr:cxnSp macro="">
      <xdr:nvCxnSpPr>
        <xdr:cNvPr id="178" name="3776 Düz Bağlayıcı">
          <a:extLst>
            <a:ext uri="{FF2B5EF4-FFF2-40B4-BE49-F238E27FC236}">
              <a16:creationId xmlns:a16="http://schemas.microsoft.com/office/drawing/2014/main" id="{00000000-0008-0000-0100-0000B2000000}"/>
            </a:ext>
          </a:extLst>
        </xdr:cNvPr>
        <xdr:cNvCxnSpPr>
          <a:cxnSpLocks noChangeShapeType="1"/>
        </xdr:cNvCxnSpPr>
      </xdr:nvCxnSpPr>
      <xdr:spPr bwMode="auto">
        <a:xfrm rot="5400000">
          <a:off x="2316922" y="22544448"/>
          <a:ext cx="174406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3</xdr:col>
      <xdr:colOff>295275</xdr:colOff>
      <xdr:row>122</xdr:row>
      <xdr:rowOff>117101</xdr:rowOff>
    </xdr:from>
    <xdr:to>
      <xdr:col>4</xdr:col>
      <xdr:colOff>28575</xdr:colOff>
      <xdr:row>122</xdr:row>
      <xdr:rowOff>117101</xdr:rowOff>
    </xdr:to>
    <xdr:cxnSp macro="">
      <xdr:nvCxnSpPr>
        <xdr:cNvPr id="181" name="9299 Düz Ok Bağlayıcısı">
          <a:extLst>
            <a:ext uri="{FF2B5EF4-FFF2-40B4-BE49-F238E27FC236}">
              <a16:creationId xmlns:a16="http://schemas.microsoft.com/office/drawing/2014/main" id="{00000000-0008-0000-0100-0000B5000000}"/>
            </a:ext>
          </a:extLst>
        </xdr:cNvPr>
        <xdr:cNvCxnSpPr>
          <a:cxnSpLocks noChangeShapeType="1"/>
        </xdr:cNvCxnSpPr>
      </xdr:nvCxnSpPr>
      <xdr:spPr bwMode="auto">
        <a:xfrm rot="10800000">
          <a:off x="1933575" y="22948526"/>
          <a:ext cx="466725" cy="0"/>
        </a:xfrm>
        <a:prstGeom prst="straightConnector1">
          <a:avLst/>
        </a:prstGeom>
        <a:noFill/>
        <a:ln w="9525" algn="ctr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57150</xdr:colOff>
          <xdr:row>85</xdr:row>
          <xdr:rowOff>9525</xdr:rowOff>
        </xdr:from>
        <xdr:to>
          <xdr:col>7</xdr:col>
          <xdr:colOff>247650</xdr:colOff>
          <xdr:row>89</xdr:row>
          <xdr:rowOff>66675</xdr:rowOff>
        </xdr:to>
        <xdr:sp macro="" textlink="">
          <xdr:nvSpPr>
            <xdr:cNvPr id="340002" name="Object 34" hidden="1">
              <a:extLst>
                <a:ext uri="{63B3BB69-23CF-44E3-9099-C40C66FF867C}">
                  <a14:compatExt spid="_x0000_s340002"/>
                </a:ext>
                <a:ext uri="{FF2B5EF4-FFF2-40B4-BE49-F238E27FC236}">
                  <a16:creationId xmlns:a16="http://schemas.microsoft.com/office/drawing/2014/main" id="{00000000-0008-0000-0100-0000223005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twoCellAnchor>
    <xdr:from>
      <xdr:col>3</xdr:col>
      <xdr:colOff>295275</xdr:colOff>
      <xdr:row>183</xdr:row>
      <xdr:rowOff>114300</xdr:rowOff>
    </xdr:from>
    <xdr:to>
      <xdr:col>4</xdr:col>
      <xdr:colOff>28575</xdr:colOff>
      <xdr:row>183</xdr:row>
      <xdr:rowOff>114300</xdr:rowOff>
    </xdr:to>
    <xdr:cxnSp macro="">
      <xdr:nvCxnSpPr>
        <xdr:cNvPr id="183" name="9299 Düz Ok Bağlayıcısı">
          <a:extLst>
            <a:ext uri="{FF2B5EF4-FFF2-40B4-BE49-F238E27FC236}">
              <a16:creationId xmlns:a16="http://schemas.microsoft.com/office/drawing/2014/main" id="{00000000-0008-0000-0100-0000B7000000}"/>
            </a:ext>
          </a:extLst>
        </xdr:cNvPr>
        <xdr:cNvCxnSpPr>
          <a:cxnSpLocks noChangeShapeType="1"/>
        </xdr:cNvCxnSpPr>
      </xdr:nvCxnSpPr>
      <xdr:spPr bwMode="auto">
        <a:xfrm rot="10800000">
          <a:off x="1933575" y="35280600"/>
          <a:ext cx="466725" cy="0"/>
        </a:xfrm>
        <a:prstGeom prst="straightConnector1">
          <a:avLst/>
        </a:prstGeom>
        <a:noFill/>
        <a:ln w="9525" algn="ctr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4</xdr:col>
      <xdr:colOff>59434</xdr:colOff>
      <xdr:row>182</xdr:row>
      <xdr:rowOff>6163</xdr:rowOff>
    </xdr:from>
    <xdr:to>
      <xdr:col>4</xdr:col>
      <xdr:colOff>59434</xdr:colOff>
      <xdr:row>182</xdr:row>
      <xdr:rowOff>177613</xdr:rowOff>
    </xdr:to>
    <xdr:cxnSp macro="">
      <xdr:nvCxnSpPr>
        <xdr:cNvPr id="184" name="3776 Düz Bağlayıcı">
          <a:extLst>
            <a:ext uri="{FF2B5EF4-FFF2-40B4-BE49-F238E27FC236}">
              <a16:creationId xmlns:a16="http://schemas.microsoft.com/office/drawing/2014/main" id="{00000000-0008-0000-0100-0000B8000000}"/>
            </a:ext>
          </a:extLst>
        </xdr:cNvPr>
        <xdr:cNvCxnSpPr>
          <a:cxnSpLocks noChangeShapeType="1"/>
        </xdr:cNvCxnSpPr>
      </xdr:nvCxnSpPr>
      <xdr:spPr bwMode="auto">
        <a:xfrm rot="5400000">
          <a:off x="2345434" y="35058163"/>
          <a:ext cx="1714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3</xdr:col>
      <xdr:colOff>295275</xdr:colOff>
      <xdr:row>184</xdr:row>
      <xdr:rowOff>117101</xdr:rowOff>
    </xdr:from>
    <xdr:to>
      <xdr:col>4</xdr:col>
      <xdr:colOff>28575</xdr:colOff>
      <xdr:row>184</xdr:row>
      <xdr:rowOff>117101</xdr:rowOff>
    </xdr:to>
    <xdr:cxnSp macro="">
      <xdr:nvCxnSpPr>
        <xdr:cNvPr id="187" name="9299 Düz Ok Bağlayıcısı">
          <a:extLst>
            <a:ext uri="{FF2B5EF4-FFF2-40B4-BE49-F238E27FC236}">
              <a16:creationId xmlns:a16="http://schemas.microsoft.com/office/drawing/2014/main" id="{00000000-0008-0000-0100-0000BB000000}"/>
            </a:ext>
          </a:extLst>
        </xdr:cNvPr>
        <xdr:cNvCxnSpPr>
          <a:cxnSpLocks noChangeShapeType="1"/>
        </xdr:cNvCxnSpPr>
      </xdr:nvCxnSpPr>
      <xdr:spPr bwMode="auto">
        <a:xfrm rot="10800000">
          <a:off x="1933575" y="35483426"/>
          <a:ext cx="466725" cy="0"/>
        </a:xfrm>
        <a:prstGeom prst="straightConnector1">
          <a:avLst/>
        </a:prstGeom>
        <a:noFill/>
        <a:ln w="9525" algn="ctr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4</xdr:col>
      <xdr:colOff>38100</xdr:colOff>
      <xdr:row>185</xdr:row>
      <xdr:rowOff>19050</xdr:rowOff>
    </xdr:from>
    <xdr:to>
      <xdr:col>4</xdr:col>
      <xdr:colOff>38100</xdr:colOff>
      <xdr:row>185</xdr:row>
      <xdr:rowOff>190500</xdr:rowOff>
    </xdr:to>
    <xdr:cxnSp macro="">
      <xdr:nvCxnSpPr>
        <xdr:cNvPr id="190" name="3776 Düz Bağlayıcı">
          <a:extLst>
            <a:ext uri="{FF2B5EF4-FFF2-40B4-BE49-F238E27FC236}">
              <a16:creationId xmlns:a16="http://schemas.microsoft.com/office/drawing/2014/main" id="{00000000-0008-0000-0100-0000BE000000}"/>
            </a:ext>
          </a:extLst>
        </xdr:cNvPr>
        <xdr:cNvCxnSpPr>
          <a:cxnSpLocks noChangeShapeType="1"/>
        </xdr:cNvCxnSpPr>
      </xdr:nvCxnSpPr>
      <xdr:spPr bwMode="auto">
        <a:xfrm rot="5400000">
          <a:off x="2324100" y="35671125"/>
          <a:ext cx="1714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4</xdr:col>
      <xdr:colOff>59434</xdr:colOff>
      <xdr:row>237</xdr:row>
      <xdr:rowOff>6163</xdr:rowOff>
    </xdr:from>
    <xdr:to>
      <xdr:col>4</xdr:col>
      <xdr:colOff>59434</xdr:colOff>
      <xdr:row>237</xdr:row>
      <xdr:rowOff>177613</xdr:rowOff>
    </xdr:to>
    <xdr:cxnSp macro="">
      <xdr:nvCxnSpPr>
        <xdr:cNvPr id="191" name="3776 Düz Bağlayıcı">
          <a:extLst>
            <a:ext uri="{FF2B5EF4-FFF2-40B4-BE49-F238E27FC236}">
              <a16:creationId xmlns:a16="http://schemas.microsoft.com/office/drawing/2014/main" id="{00000000-0008-0000-0100-0000BF000000}"/>
            </a:ext>
          </a:extLst>
        </xdr:cNvPr>
        <xdr:cNvCxnSpPr>
          <a:cxnSpLocks noChangeShapeType="1"/>
        </xdr:cNvCxnSpPr>
      </xdr:nvCxnSpPr>
      <xdr:spPr bwMode="auto">
        <a:xfrm rot="5400000">
          <a:off x="2345434" y="46535788"/>
          <a:ext cx="1714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4</xdr:col>
      <xdr:colOff>38100</xdr:colOff>
      <xdr:row>240</xdr:row>
      <xdr:rowOff>19050</xdr:rowOff>
    </xdr:from>
    <xdr:to>
      <xdr:col>4</xdr:col>
      <xdr:colOff>38100</xdr:colOff>
      <xdr:row>240</xdr:row>
      <xdr:rowOff>190500</xdr:rowOff>
    </xdr:to>
    <xdr:cxnSp macro="">
      <xdr:nvCxnSpPr>
        <xdr:cNvPr id="194" name="3776 Düz Bağlayıcı">
          <a:extLst>
            <a:ext uri="{FF2B5EF4-FFF2-40B4-BE49-F238E27FC236}">
              <a16:creationId xmlns:a16="http://schemas.microsoft.com/office/drawing/2014/main" id="{00000000-0008-0000-0100-0000C2000000}"/>
            </a:ext>
          </a:extLst>
        </xdr:cNvPr>
        <xdr:cNvCxnSpPr>
          <a:cxnSpLocks noChangeShapeType="1"/>
        </xdr:cNvCxnSpPr>
      </xdr:nvCxnSpPr>
      <xdr:spPr bwMode="auto">
        <a:xfrm rot="5400000">
          <a:off x="2324100" y="47148750"/>
          <a:ext cx="1714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4</xdr:col>
      <xdr:colOff>38100</xdr:colOff>
      <xdr:row>123</xdr:row>
      <xdr:rowOff>19050</xdr:rowOff>
    </xdr:from>
    <xdr:to>
      <xdr:col>4</xdr:col>
      <xdr:colOff>38100</xdr:colOff>
      <xdr:row>123</xdr:row>
      <xdr:rowOff>190500</xdr:rowOff>
    </xdr:to>
    <xdr:cxnSp macro="">
      <xdr:nvCxnSpPr>
        <xdr:cNvPr id="196" name="3776 Düz Bağlayıcı">
          <a:extLst>
            <a:ext uri="{FF2B5EF4-FFF2-40B4-BE49-F238E27FC236}">
              <a16:creationId xmlns:a16="http://schemas.microsoft.com/office/drawing/2014/main" id="{00000000-0008-0000-0100-0000C4000000}"/>
            </a:ext>
          </a:extLst>
        </xdr:cNvPr>
        <xdr:cNvCxnSpPr>
          <a:cxnSpLocks noChangeShapeType="1"/>
        </xdr:cNvCxnSpPr>
      </xdr:nvCxnSpPr>
      <xdr:spPr bwMode="auto">
        <a:xfrm rot="5400000">
          <a:off x="2324100" y="23117175"/>
          <a:ext cx="1714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3</xdr:col>
      <xdr:colOff>295275</xdr:colOff>
      <xdr:row>238</xdr:row>
      <xdr:rowOff>114300</xdr:rowOff>
    </xdr:from>
    <xdr:to>
      <xdr:col>4</xdr:col>
      <xdr:colOff>28575</xdr:colOff>
      <xdr:row>238</xdr:row>
      <xdr:rowOff>114300</xdr:rowOff>
    </xdr:to>
    <xdr:cxnSp macro="">
      <xdr:nvCxnSpPr>
        <xdr:cNvPr id="198" name="9299 Düz Ok Bağlayıcısı">
          <a:extLst>
            <a:ext uri="{FF2B5EF4-FFF2-40B4-BE49-F238E27FC236}">
              <a16:creationId xmlns:a16="http://schemas.microsoft.com/office/drawing/2014/main" id="{00000000-0008-0000-0100-0000C6000000}"/>
            </a:ext>
          </a:extLst>
        </xdr:cNvPr>
        <xdr:cNvCxnSpPr>
          <a:cxnSpLocks noChangeShapeType="1"/>
        </xdr:cNvCxnSpPr>
      </xdr:nvCxnSpPr>
      <xdr:spPr bwMode="auto">
        <a:xfrm rot="10800000">
          <a:off x="1933575" y="46758225"/>
          <a:ext cx="466725" cy="0"/>
        </a:xfrm>
        <a:prstGeom prst="straightConnector1">
          <a:avLst/>
        </a:prstGeom>
        <a:noFill/>
        <a:ln w="9525" algn="ctr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3</xdr:col>
      <xdr:colOff>295275</xdr:colOff>
      <xdr:row>239</xdr:row>
      <xdr:rowOff>117101</xdr:rowOff>
    </xdr:from>
    <xdr:to>
      <xdr:col>4</xdr:col>
      <xdr:colOff>28575</xdr:colOff>
      <xdr:row>239</xdr:row>
      <xdr:rowOff>117101</xdr:rowOff>
    </xdr:to>
    <xdr:cxnSp macro="">
      <xdr:nvCxnSpPr>
        <xdr:cNvPr id="201" name="9299 Düz Ok Bağlayıcısı">
          <a:extLst>
            <a:ext uri="{FF2B5EF4-FFF2-40B4-BE49-F238E27FC236}">
              <a16:creationId xmlns:a16="http://schemas.microsoft.com/office/drawing/2014/main" id="{00000000-0008-0000-0100-0000C9000000}"/>
            </a:ext>
          </a:extLst>
        </xdr:cNvPr>
        <xdr:cNvCxnSpPr>
          <a:cxnSpLocks noChangeShapeType="1"/>
        </xdr:cNvCxnSpPr>
      </xdr:nvCxnSpPr>
      <xdr:spPr bwMode="auto">
        <a:xfrm rot="10800000">
          <a:off x="1933575" y="46961051"/>
          <a:ext cx="466725" cy="0"/>
        </a:xfrm>
        <a:prstGeom prst="straightConnector1">
          <a:avLst/>
        </a:prstGeom>
        <a:noFill/>
        <a:ln w="9525" algn="ctr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4</xdr:col>
      <xdr:colOff>59434</xdr:colOff>
      <xdr:row>287</xdr:row>
      <xdr:rowOff>6163</xdr:rowOff>
    </xdr:from>
    <xdr:to>
      <xdr:col>4</xdr:col>
      <xdr:colOff>59434</xdr:colOff>
      <xdr:row>287</xdr:row>
      <xdr:rowOff>177613</xdr:rowOff>
    </xdr:to>
    <xdr:cxnSp macro="">
      <xdr:nvCxnSpPr>
        <xdr:cNvPr id="202" name="3776 Düz Bağlayıcı">
          <a:extLst>
            <a:ext uri="{FF2B5EF4-FFF2-40B4-BE49-F238E27FC236}">
              <a16:creationId xmlns:a16="http://schemas.microsoft.com/office/drawing/2014/main" id="{00000000-0008-0000-0100-0000CA000000}"/>
            </a:ext>
          </a:extLst>
        </xdr:cNvPr>
        <xdr:cNvCxnSpPr>
          <a:cxnSpLocks noChangeShapeType="1"/>
        </xdr:cNvCxnSpPr>
      </xdr:nvCxnSpPr>
      <xdr:spPr bwMode="auto">
        <a:xfrm rot="5400000">
          <a:off x="2345434" y="58737313"/>
          <a:ext cx="1714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4</xdr:col>
      <xdr:colOff>38100</xdr:colOff>
      <xdr:row>290</xdr:row>
      <xdr:rowOff>19050</xdr:rowOff>
    </xdr:from>
    <xdr:to>
      <xdr:col>4</xdr:col>
      <xdr:colOff>38100</xdr:colOff>
      <xdr:row>290</xdr:row>
      <xdr:rowOff>190500</xdr:rowOff>
    </xdr:to>
    <xdr:cxnSp macro="">
      <xdr:nvCxnSpPr>
        <xdr:cNvPr id="205" name="3776 Düz Bağlayıcı">
          <a:extLst>
            <a:ext uri="{FF2B5EF4-FFF2-40B4-BE49-F238E27FC236}">
              <a16:creationId xmlns:a16="http://schemas.microsoft.com/office/drawing/2014/main" id="{00000000-0008-0000-0100-0000CD000000}"/>
            </a:ext>
          </a:extLst>
        </xdr:cNvPr>
        <xdr:cNvCxnSpPr>
          <a:cxnSpLocks noChangeShapeType="1"/>
        </xdr:cNvCxnSpPr>
      </xdr:nvCxnSpPr>
      <xdr:spPr bwMode="auto">
        <a:xfrm rot="5400000">
          <a:off x="2324100" y="59350275"/>
          <a:ext cx="1714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3</xdr:col>
      <xdr:colOff>295275</xdr:colOff>
      <xdr:row>288</xdr:row>
      <xdr:rowOff>114300</xdr:rowOff>
    </xdr:from>
    <xdr:to>
      <xdr:col>4</xdr:col>
      <xdr:colOff>28575</xdr:colOff>
      <xdr:row>288</xdr:row>
      <xdr:rowOff>114300</xdr:rowOff>
    </xdr:to>
    <xdr:cxnSp macro="">
      <xdr:nvCxnSpPr>
        <xdr:cNvPr id="206" name="9299 Düz Ok Bağlayıcısı">
          <a:extLst>
            <a:ext uri="{FF2B5EF4-FFF2-40B4-BE49-F238E27FC236}">
              <a16:creationId xmlns:a16="http://schemas.microsoft.com/office/drawing/2014/main" id="{00000000-0008-0000-0100-0000CE000000}"/>
            </a:ext>
          </a:extLst>
        </xdr:cNvPr>
        <xdr:cNvCxnSpPr>
          <a:cxnSpLocks noChangeShapeType="1"/>
        </xdr:cNvCxnSpPr>
      </xdr:nvCxnSpPr>
      <xdr:spPr bwMode="auto">
        <a:xfrm rot="10800000">
          <a:off x="1933575" y="58959750"/>
          <a:ext cx="466725" cy="0"/>
        </a:xfrm>
        <a:prstGeom prst="straightConnector1">
          <a:avLst/>
        </a:prstGeom>
        <a:noFill/>
        <a:ln w="9525" algn="ctr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3</xdr:col>
      <xdr:colOff>295275</xdr:colOff>
      <xdr:row>289</xdr:row>
      <xdr:rowOff>117101</xdr:rowOff>
    </xdr:from>
    <xdr:to>
      <xdr:col>4</xdr:col>
      <xdr:colOff>28575</xdr:colOff>
      <xdr:row>289</xdr:row>
      <xdr:rowOff>117101</xdr:rowOff>
    </xdr:to>
    <xdr:cxnSp macro="">
      <xdr:nvCxnSpPr>
        <xdr:cNvPr id="209" name="9299 Düz Ok Bağlayıcısı">
          <a:extLst>
            <a:ext uri="{FF2B5EF4-FFF2-40B4-BE49-F238E27FC236}">
              <a16:creationId xmlns:a16="http://schemas.microsoft.com/office/drawing/2014/main" id="{00000000-0008-0000-0100-0000D1000000}"/>
            </a:ext>
          </a:extLst>
        </xdr:cNvPr>
        <xdr:cNvCxnSpPr>
          <a:cxnSpLocks noChangeShapeType="1"/>
        </xdr:cNvCxnSpPr>
      </xdr:nvCxnSpPr>
      <xdr:spPr bwMode="auto">
        <a:xfrm rot="10800000">
          <a:off x="1933575" y="59162576"/>
          <a:ext cx="466725" cy="0"/>
        </a:xfrm>
        <a:prstGeom prst="straightConnector1">
          <a:avLst/>
        </a:prstGeom>
        <a:noFill/>
        <a:ln w="9525" algn="ctr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</xdr:col>
      <xdr:colOff>489852</xdr:colOff>
      <xdr:row>419</xdr:row>
      <xdr:rowOff>0</xdr:rowOff>
    </xdr:from>
    <xdr:to>
      <xdr:col>2</xdr:col>
      <xdr:colOff>159198</xdr:colOff>
      <xdr:row>420</xdr:row>
      <xdr:rowOff>0</xdr:rowOff>
    </xdr:to>
    <xdr:sp macro="" textlink="">
      <xdr:nvSpPr>
        <xdr:cNvPr id="210" name="Text Box 5112">
          <a:extLst>
            <a:ext uri="{FF2B5EF4-FFF2-40B4-BE49-F238E27FC236}">
              <a16:creationId xmlns:a16="http://schemas.microsoft.com/office/drawing/2014/main" id="{00000000-0008-0000-0100-0000D2000000}"/>
            </a:ext>
          </a:extLst>
        </xdr:cNvPr>
        <xdr:cNvSpPr txBox="1">
          <a:spLocks noChangeArrowheads="1"/>
        </xdr:cNvSpPr>
      </xdr:nvSpPr>
      <xdr:spPr bwMode="auto">
        <a:xfrm>
          <a:off x="966102" y="84258150"/>
          <a:ext cx="202746" cy="1905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tr-TR" sz="1000" b="0" i="0" strike="noStrike">
              <a:solidFill>
                <a:sysClr val="windowText" lastClr="000000"/>
              </a:solidFill>
              <a:latin typeface="Symbol"/>
            </a:rPr>
            <a:t>F</a:t>
          </a:r>
        </a:p>
      </xdr:txBody>
    </xdr:sp>
    <xdr:clientData/>
  </xdr:twoCellAnchor>
  <xdr:twoCellAnchor>
    <xdr:from>
      <xdr:col>2</xdr:col>
      <xdr:colOff>534686</xdr:colOff>
      <xdr:row>418</xdr:row>
      <xdr:rowOff>108858</xdr:rowOff>
    </xdr:from>
    <xdr:to>
      <xdr:col>3</xdr:col>
      <xdr:colOff>167293</xdr:colOff>
      <xdr:row>421</xdr:row>
      <xdr:rowOff>0</xdr:rowOff>
    </xdr:to>
    <xdr:sp macro="" textlink="">
      <xdr:nvSpPr>
        <xdr:cNvPr id="211" name="Text Box 5113">
          <a:extLst>
            <a:ext uri="{FF2B5EF4-FFF2-40B4-BE49-F238E27FC236}">
              <a16:creationId xmlns:a16="http://schemas.microsoft.com/office/drawing/2014/main" id="{00000000-0008-0000-0100-0000D3000000}"/>
            </a:ext>
          </a:extLst>
        </xdr:cNvPr>
        <xdr:cNvSpPr txBox="1">
          <a:spLocks noChangeArrowheads="1"/>
        </xdr:cNvSpPr>
      </xdr:nvSpPr>
      <xdr:spPr bwMode="auto">
        <a:xfrm>
          <a:off x="1544336" y="84186033"/>
          <a:ext cx="261257" cy="44359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tr-TR" sz="1800" b="0" i="0" strike="noStrike">
              <a:solidFill>
                <a:sysClr val="windowText" lastClr="000000"/>
              </a:solidFill>
              <a:latin typeface="Symbol"/>
            </a:rPr>
            <a:t>/</a:t>
          </a:r>
        </a:p>
      </xdr:txBody>
    </xdr:sp>
    <xdr:clientData/>
  </xdr:twoCellAnchor>
  <xdr:twoCellAnchor>
    <xdr:from>
      <xdr:col>1</xdr:col>
      <xdr:colOff>489852</xdr:colOff>
      <xdr:row>475</xdr:row>
      <xdr:rowOff>0</xdr:rowOff>
    </xdr:from>
    <xdr:to>
      <xdr:col>2</xdr:col>
      <xdr:colOff>159198</xdr:colOff>
      <xdr:row>476</xdr:row>
      <xdr:rowOff>0</xdr:rowOff>
    </xdr:to>
    <xdr:sp macro="" textlink="">
      <xdr:nvSpPr>
        <xdr:cNvPr id="212" name="Text Box 5112">
          <a:extLst>
            <a:ext uri="{FF2B5EF4-FFF2-40B4-BE49-F238E27FC236}">
              <a16:creationId xmlns:a16="http://schemas.microsoft.com/office/drawing/2014/main" id="{00000000-0008-0000-0100-0000D4000000}"/>
            </a:ext>
          </a:extLst>
        </xdr:cNvPr>
        <xdr:cNvSpPr txBox="1">
          <a:spLocks noChangeArrowheads="1"/>
        </xdr:cNvSpPr>
      </xdr:nvSpPr>
      <xdr:spPr bwMode="auto">
        <a:xfrm>
          <a:off x="966102" y="94907100"/>
          <a:ext cx="202746" cy="1809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tr-TR" sz="1000" b="0" i="0" strike="noStrike">
              <a:solidFill>
                <a:sysClr val="windowText" lastClr="000000"/>
              </a:solidFill>
              <a:latin typeface="Symbol"/>
            </a:rPr>
            <a:t>F</a:t>
          </a:r>
        </a:p>
      </xdr:txBody>
    </xdr:sp>
    <xdr:clientData/>
  </xdr:twoCellAnchor>
  <xdr:twoCellAnchor>
    <xdr:from>
      <xdr:col>2</xdr:col>
      <xdr:colOff>489863</xdr:colOff>
      <xdr:row>475</xdr:row>
      <xdr:rowOff>0</xdr:rowOff>
    </xdr:from>
    <xdr:to>
      <xdr:col>3</xdr:col>
      <xdr:colOff>122470</xdr:colOff>
      <xdr:row>476</xdr:row>
      <xdr:rowOff>0</xdr:rowOff>
    </xdr:to>
    <xdr:sp macro="" textlink="">
      <xdr:nvSpPr>
        <xdr:cNvPr id="213" name="Text Box 5113">
          <a:extLst>
            <a:ext uri="{FF2B5EF4-FFF2-40B4-BE49-F238E27FC236}">
              <a16:creationId xmlns:a16="http://schemas.microsoft.com/office/drawing/2014/main" id="{00000000-0008-0000-0100-0000D5000000}"/>
            </a:ext>
          </a:extLst>
        </xdr:cNvPr>
        <xdr:cNvSpPr txBox="1">
          <a:spLocks noChangeArrowheads="1"/>
        </xdr:cNvSpPr>
      </xdr:nvSpPr>
      <xdr:spPr bwMode="auto">
        <a:xfrm>
          <a:off x="1499513" y="94907100"/>
          <a:ext cx="261257" cy="1809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tr-TR" sz="1800" b="0" i="0" strike="noStrike">
              <a:solidFill>
                <a:sysClr val="windowText" lastClr="000000"/>
              </a:solidFill>
              <a:latin typeface="Symbol"/>
            </a:rPr>
            <a:t>/</a:t>
          </a:r>
        </a:p>
      </xdr:txBody>
    </xdr:sp>
    <xdr:clientData/>
  </xdr:twoCellAnchor>
  <xdr:twoCellAnchor>
    <xdr:from>
      <xdr:col>3</xdr:col>
      <xdr:colOff>485775</xdr:colOff>
      <xdr:row>279</xdr:row>
      <xdr:rowOff>180975</xdr:rowOff>
    </xdr:from>
    <xdr:to>
      <xdr:col>3</xdr:col>
      <xdr:colOff>485775</xdr:colOff>
      <xdr:row>281</xdr:row>
      <xdr:rowOff>9525</xdr:rowOff>
    </xdr:to>
    <xdr:sp macro="" textlink="">
      <xdr:nvSpPr>
        <xdr:cNvPr id="214" name="Line 2926">
          <a:extLst>
            <a:ext uri="{FF2B5EF4-FFF2-40B4-BE49-F238E27FC236}">
              <a16:creationId xmlns:a16="http://schemas.microsoft.com/office/drawing/2014/main" id="{00000000-0008-0000-0100-0000D6000000}"/>
            </a:ext>
          </a:extLst>
        </xdr:cNvPr>
        <xdr:cNvSpPr>
          <a:spLocks noChangeShapeType="1"/>
        </xdr:cNvSpPr>
      </xdr:nvSpPr>
      <xdr:spPr bwMode="auto">
        <a:xfrm>
          <a:off x="2124075" y="57235725"/>
          <a:ext cx="0" cy="2286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xdr:twoCellAnchor>
    <xdr:from>
      <xdr:col>5</xdr:col>
      <xdr:colOff>457200</xdr:colOff>
      <xdr:row>339</xdr:row>
      <xdr:rowOff>123825</xdr:rowOff>
    </xdr:from>
    <xdr:to>
      <xdr:col>6</xdr:col>
      <xdr:colOff>142875</xdr:colOff>
      <xdr:row>339</xdr:row>
      <xdr:rowOff>123825</xdr:rowOff>
    </xdr:to>
    <xdr:sp macro="" textlink="">
      <xdr:nvSpPr>
        <xdr:cNvPr id="215" name="Line 2902">
          <a:extLst>
            <a:ext uri="{FF2B5EF4-FFF2-40B4-BE49-F238E27FC236}">
              <a16:creationId xmlns:a16="http://schemas.microsoft.com/office/drawing/2014/main" id="{00000000-0008-0000-0100-0000D7000000}"/>
            </a:ext>
          </a:extLst>
        </xdr:cNvPr>
        <xdr:cNvSpPr>
          <a:spLocks noChangeShapeType="1"/>
        </xdr:cNvSpPr>
      </xdr:nvSpPr>
      <xdr:spPr bwMode="auto">
        <a:xfrm>
          <a:off x="3362325" y="69046725"/>
          <a:ext cx="2190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xdr:twoCellAnchor>
    <xdr:from>
      <xdr:col>5</xdr:col>
      <xdr:colOff>438150</xdr:colOff>
      <xdr:row>342</xdr:row>
      <xdr:rowOff>95250</xdr:rowOff>
    </xdr:from>
    <xdr:to>
      <xdr:col>6</xdr:col>
      <xdr:colOff>142875</xdr:colOff>
      <xdr:row>342</xdr:row>
      <xdr:rowOff>95250</xdr:rowOff>
    </xdr:to>
    <xdr:sp macro="" textlink="">
      <xdr:nvSpPr>
        <xdr:cNvPr id="216" name="Line 2908">
          <a:extLst>
            <a:ext uri="{FF2B5EF4-FFF2-40B4-BE49-F238E27FC236}">
              <a16:creationId xmlns:a16="http://schemas.microsoft.com/office/drawing/2014/main" id="{00000000-0008-0000-0100-0000D8000000}"/>
            </a:ext>
          </a:extLst>
        </xdr:cNvPr>
        <xdr:cNvSpPr>
          <a:spLocks noChangeShapeType="1"/>
        </xdr:cNvSpPr>
      </xdr:nvSpPr>
      <xdr:spPr bwMode="auto">
        <a:xfrm>
          <a:off x="3343275" y="69589650"/>
          <a:ext cx="2381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xdr:twoCellAnchor>
    <xdr:from>
      <xdr:col>5</xdr:col>
      <xdr:colOff>457200</xdr:colOff>
      <xdr:row>341</xdr:row>
      <xdr:rowOff>123825</xdr:rowOff>
    </xdr:from>
    <xdr:to>
      <xdr:col>6</xdr:col>
      <xdr:colOff>142875</xdr:colOff>
      <xdr:row>341</xdr:row>
      <xdr:rowOff>123825</xdr:rowOff>
    </xdr:to>
    <xdr:sp macro="" textlink="">
      <xdr:nvSpPr>
        <xdr:cNvPr id="217" name="Line 2902">
          <a:extLst>
            <a:ext uri="{FF2B5EF4-FFF2-40B4-BE49-F238E27FC236}">
              <a16:creationId xmlns:a16="http://schemas.microsoft.com/office/drawing/2014/main" id="{00000000-0008-0000-0100-0000D9000000}"/>
            </a:ext>
          </a:extLst>
        </xdr:cNvPr>
        <xdr:cNvSpPr>
          <a:spLocks noChangeShapeType="1"/>
        </xdr:cNvSpPr>
      </xdr:nvSpPr>
      <xdr:spPr bwMode="auto">
        <a:xfrm>
          <a:off x="3362325" y="69427725"/>
          <a:ext cx="2190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xdr:twoCellAnchor>
    <xdr:from>
      <xdr:col>5</xdr:col>
      <xdr:colOff>455543</xdr:colOff>
      <xdr:row>340</xdr:row>
      <xdr:rowOff>124240</xdr:rowOff>
    </xdr:from>
    <xdr:to>
      <xdr:col>6</xdr:col>
      <xdr:colOff>141218</xdr:colOff>
      <xdr:row>340</xdr:row>
      <xdr:rowOff>124240</xdr:rowOff>
    </xdr:to>
    <xdr:sp macro="" textlink="">
      <xdr:nvSpPr>
        <xdr:cNvPr id="218" name="Line 2902">
          <a:extLst>
            <a:ext uri="{FF2B5EF4-FFF2-40B4-BE49-F238E27FC236}">
              <a16:creationId xmlns:a16="http://schemas.microsoft.com/office/drawing/2014/main" id="{00000000-0008-0000-0100-0000DA000000}"/>
            </a:ext>
          </a:extLst>
        </xdr:cNvPr>
        <xdr:cNvSpPr>
          <a:spLocks noChangeShapeType="1"/>
        </xdr:cNvSpPr>
      </xdr:nvSpPr>
      <xdr:spPr bwMode="auto">
        <a:xfrm>
          <a:off x="3360668" y="69237640"/>
          <a:ext cx="2190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xdr:twoCellAnchor>
    <xdr:from>
      <xdr:col>5</xdr:col>
      <xdr:colOff>455543</xdr:colOff>
      <xdr:row>340</xdr:row>
      <xdr:rowOff>124240</xdr:rowOff>
    </xdr:from>
    <xdr:to>
      <xdr:col>6</xdr:col>
      <xdr:colOff>141218</xdr:colOff>
      <xdr:row>340</xdr:row>
      <xdr:rowOff>124240</xdr:rowOff>
    </xdr:to>
    <xdr:sp macro="" textlink="">
      <xdr:nvSpPr>
        <xdr:cNvPr id="219" name="Line 2902">
          <a:extLst>
            <a:ext uri="{FF2B5EF4-FFF2-40B4-BE49-F238E27FC236}">
              <a16:creationId xmlns:a16="http://schemas.microsoft.com/office/drawing/2014/main" id="{00000000-0008-0000-0100-0000DB000000}"/>
            </a:ext>
          </a:extLst>
        </xdr:cNvPr>
        <xdr:cNvSpPr>
          <a:spLocks noChangeShapeType="1"/>
        </xdr:cNvSpPr>
      </xdr:nvSpPr>
      <xdr:spPr bwMode="auto">
        <a:xfrm>
          <a:off x="3360668" y="69237640"/>
          <a:ext cx="2190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xdr:twoCellAnchor>
    <xdr:from>
      <xdr:col>5</xdr:col>
      <xdr:colOff>455543</xdr:colOff>
      <xdr:row>340</xdr:row>
      <xdr:rowOff>124240</xdr:rowOff>
    </xdr:from>
    <xdr:to>
      <xdr:col>6</xdr:col>
      <xdr:colOff>141218</xdr:colOff>
      <xdr:row>340</xdr:row>
      <xdr:rowOff>124240</xdr:rowOff>
    </xdr:to>
    <xdr:sp macro="" textlink="">
      <xdr:nvSpPr>
        <xdr:cNvPr id="220" name="Line 2902">
          <a:extLst>
            <a:ext uri="{FF2B5EF4-FFF2-40B4-BE49-F238E27FC236}">
              <a16:creationId xmlns:a16="http://schemas.microsoft.com/office/drawing/2014/main" id="{00000000-0008-0000-0100-0000DC000000}"/>
            </a:ext>
          </a:extLst>
        </xdr:cNvPr>
        <xdr:cNvSpPr>
          <a:spLocks noChangeShapeType="1"/>
        </xdr:cNvSpPr>
      </xdr:nvSpPr>
      <xdr:spPr bwMode="auto">
        <a:xfrm>
          <a:off x="3360668" y="69237640"/>
          <a:ext cx="2190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xdr:twoCellAnchor>
    <xdr:from>
      <xdr:col>5</xdr:col>
      <xdr:colOff>438150</xdr:colOff>
      <xdr:row>342</xdr:row>
      <xdr:rowOff>95250</xdr:rowOff>
    </xdr:from>
    <xdr:to>
      <xdr:col>6</xdr:col>
      <xdr:colOff>142875</xdr:colOff>
      <xdr:row>342</xdr:row>
      <xdr:rowOff>95250</xdr:rowOff>
    </xdr:to>
    <xdr:sp macro="" textlink="">
      <xdr:nvSpPr>
        <xdr:cNvPr id="221" name="Line 2908">
          <a:extLst>
            <a:ext uri="{FF2B5EF4-FFF2-40B4-BE49-F238E27FC236}">
              <a16:creationId xmlns:a16="http://schemas.microsoft.com/office/drawing/2014/main" id="{00000000-0008-0000-0100-0000DD000000}"/>
            </a:ext>
          </a:extLst>
        </xdr:cNvPr>
        <xdr:cNvSpPr>
          <a:spLocks noChangeShapeType="1"/>
        </xdr:cNvSpPr>
      </xdr:nvSpPr>
      <xdr:spPr bwMode="auto">
        <a:xfrm>
          <a:off x="3343275" y="69589650"/>
          <a:ext cx="2381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xdr:twoCellAnchor>
    <xdr:from>
      <xdr:col>5</xdr:col>
      <xdr:colOff>457200</xdr:colOff>
      <xdr:row>341</xdr:row>
      <xdr:rowOff>123825</xdr:rowOff>
    </xdr:from>
    <xdr:to>
      <xdr:col>6</xdr:col>
      <xdr:colOff>142875</xdr:colOff>
      <xdr:row>341</xdr:row>
      <xdr:rowOff>123825</xdr:rowOff>
    </xdr:to>
    <xdr:sp macro="" textlink="">
      <xdr:nvSpPr>
        <xdr:cNvPr id="222" name="Line 2902">
          <a:extLst>
            <a:ext uri="{FF2B5EF4-FFF2-40B4-BE49-F238E27FC236}">
              <a16:creationId xmlns:a16="http://schemas.microsoft.com/office/drawing/2014/main" id="{00000000-0008-0000-0100-0000DE000000}"/>
            </a:ext>
          </a:extLst>
        </xdr:cNvPr>
        <xdr:cNvSpPr>
          <a:spLocks noChangeShapeType="1"/>
        </xdr:cNvSpPr>
      </xdr:nvSpPr>
      <xdr:spPr bwMode="auto">
        <a:xfrm>
          <a:off x="3362325" y="69427725"/>
          <a:ext cx="2190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xdr:twoCellAnchor>
    <xdr:from>
      <xdr:col>5</xdr:col>
      <xdr:colOff>455543</xdr:colOff>
      <xdr:row>340</xdr:row>
      <xdr:rowOff>124240</xdr:rowOff>
    </xdr:from>
    <xdr:to>
      <xdr:col>6</xdr:col>
      <xdr:colOff>141218</xdr:colOff>
      <xdr:row>340</xdr:row>
      <xdr:rowOff>124240</xdr:rowOff>
    </xdr:to>
    <xdr:sp macro="" textlink="">
      <xdr:nvSpPr>
        <xdr:cNvPr id="223" name="Line 2902">
          <a:extLst>
            <a:ext uri="{FF2B5EF4-FFF2-40B4-BE49-F238E27FC236}">
              <a16:creationId xmlns:a16="http://schemas.microsoft.com/office/drawing/2014/main" id="{00000000-0008-0000-0100-0000DF000000}"/>
            </a:ext>
          </a:extLst>
        </xdr:cNvPr>
        <xdr:cNvSpPr>
          <a:spLocks noChangeShapeType="1"/>
        </xdr:cNvSpPr>
      </xdr:nvSpPr>
      <xdr:spPr bwMode="auto">
        <a:xfrm>
          <a:off x="3360668" y="69237640"/>
          <a:ext cx="2190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xdr:twoCellAnchor>
    <xdr:from>
      <xdr:col>5</xdr:col>
      <xdr:colOff>455543</xdr:colOff>
      <xdr:row>340</xdr:row>
      <xdr:rowOff>124240</xdr:rowOff>
    </xdr:from>
    <xdr:to>
      <xdr:col>6</xdr:col>
      <xdr:colOff>141218</xdr:colOff>
      <xdr:row>340</xdr:row>
      <xdr:rowOff>124240</xdr:rowOff>
    </xdr:to>
    <xdr:sp macro="" textlink="">
      <xdr:nvSpPr>
        <xdr:cNvPr id="224" name="Line 2902">
          <a:extLst>
            <a:ext uri="{FF2B5EF4-FFF2-40B4-BE49-F238E27FC236}">
              <a16:creationId xmlns:a16="http://schemas.microsoft.com/office/drawing/2014/main" id="{00000000-0008-0000-0100-0000E0000000}"/>
            </a:ext>
          </a:extLst>
        </xdr:cNvPr>
        <xdr:cNvSpPr>
          <a:spLocks noChangeShapeType="1"/>
        </xdr:cNvSpPr>
      </xdr:nvSpPr>
      <xdr:spPr bwMode="auto">
        <a:xfrm>
          <a:off x="3360668" y="69237640"/>
          <a:ext cx="2190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xdr:twoCellAnchor>
    <xdr:from>
      <xdr:col>5</xdr:col>
      <xdr:colOff>455543</xdr:colOff>
      <xdr:row>340</xdr:row>
      <xdr:rowOff>124240</xdr:rowOff>
    </xdr:from>
    <xdr:to>
      <xdr:col>6</xdr:col>
      <xdr:colOff>141218</xdr:colOff>
      <xdr:row>340</xdr:row>
      <xdr:rowOff>124240</xdr:rowOff>
    </xdr:to>
    <xdr:sp macro="" textlink="">
      <xdr:nvSpPr>
        <xdr:cNvPr id="225" name="Line 2902">
          <a:extLst>
            <a:ext uri="{FF2B5EF4-FFF2-40B4-BE49-F238E27FC236}">
              <a16:creationId xmlns:a16="http://schemas.microsoft.com/office/drawing/2014/main" id="{00000000-0008-0000-0100-0000E1000000}"/>
            </a:ext>
          </a:extLst>
        </xdr:cNvPr>
        <xdr:cNvSpPr>
          <a:spLocks noChangeShapeType="1"/>
        </xdr:cNvSpPr>
      </xdr:nvSpPr>
      <xdr:spPr bwMode="auto">
        <a:xfrm>
          <a:off x="3360668" y="69237640"/>
          <a:ext cx="2190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361950</xdr:colOff>
          <xdr:row>1</xdr:row>
          <xdr:rowOff>104775</xdr:rowOff>
        </xdr:from>
        <xdr:to>
          <xdr:col>8</xdr:col>
          <xdr:colOff>161925</xdr:colOff>
          <xdr:row>18</xdr:row>
          <xdr:rowOff>133350</xdr:rowOff>
        </xdr:to>
        <xdr:sp macro="" textlink="">
          <xdr:nvSpPr>
            <xdr:cNvPr id="340035" name="Object 67" hidden="1">
              <a:extLst>
                <a:ext uri="{63B3BB69-23CF-44E3-9099-C40C66FF867C}">
                  <a14:compatExt spid="_x0000_s340035"/>
                </a:ext>
                <a:ext uri="{FF2B5EF4-FFF2-40B4-BE49-F238E27FC236}">
                  <a16:creationId xmlns:a16="http://schemas.microsoft.com/office/drawing/2014/main" id="{00000000-0008-0000-0100-0000433005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8</xdr:row>
      <xdr:rowOff>0</xdr:rowOff>
    </xdr:from>
    <xdr:to>
      <xdr:col>6</xdr:col>
      <xdr:colOff>19050</xdr:colOff>
      <xdr:row>17</xdr:row>
      <xdr:rowOff>0</xdr:rowOff>
    </xdr:to>
    <xdr:sp macro="" textlink="">
      <xdr:nvSpPr>
        <xdr:cNvPr id="2" name="Lin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SpPr>
          <a:spLocks noChangeShapeType="1"/>
        </xdr:cNvSpPr>
      </xdr:nvSpPr>
      <xdr:spPr bwMode="auto">
        <a:xfrm>
          <a:off x="457200" y="1362075"/>
          <a:ext cx="3067050" cy="1457325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600075</xdr:colOff>
      <xdr:row>4</xdr:row>
      <xdr:rowOff>152400</xdr:rowOff>
    </xdr:from>
    <xdr:to>
      <xdr:col>13</xdr:col>
      <xdr:colOff>0</xdr:colOff>
      <xdr:row>4</xdr:row>
      <xdr:rowOff>152400</xdr:rowOff>
    </xdr:to>
    <xdr:sp macro="" textlink="">
      <xdr:nvSpPr>
        <xdr:cNvPr id="3" name="Line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>
          <a:spLocks noChangeShapeType="1"/>
        </xdr:cNvSpPr>
      </xdr:nvSpPr>
      <xdr:spPr bwMode="auto">
        <a:xfrm>
          <a:off x="1057275" y="866775"/>
          <a:ext cx="6467475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9525</xdr:colOff>
      <xdr:row>16</xdr:row>
      <xdr:rowOff>152400</xdr:rowOff>
    </xdr:from>
    <xdr:to>
      <xdr:col>12</xdr:col>
      <xdr:colOff>133350</xdr:colOff>
      <xdr:row>16</xdr:row>
      <xdr:rowOff>152400</xdr:rowOff>
    </xdr:to>
    <xdr:sp macro="" textlink="">
      <xdr:nvSpPr>
        <xdr:cNvPr id="4" name="Line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SpPr>
          <a:spLocks noChangeShapeType="1"/>
        </xdr:cNvSpPr>
      </xdr:nvSpPr>
      <xdr:spPr bwMode="auto">
        <a:xfrm>
          <a:off x="3514725" y="2809875"/>
          <a:ext cx="3533775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600075</xdr:colOff>
      <xdr:row>3</xdr:row>
      <xdr:rowOff>114300</xdr:rowOff>
    </xdr:from>
    <xdr:to>
      <xdr:col>2</xdr:col>
      <xdr:colOff>9525</xdr:colOff>
      <xdr:row>4</xdr:row>
      <xdr:rowOff>152400</xdr:rowOff>
    </xdr:to>
    <xdr:sp macro="" textlink="">
      <xdr:nvSpPr>
        <xdr:cNvPr id="5" name="Line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SpPr>
          <a:spLocks noChangeShapeType="1"/>
        </xdr:cNvSpPr>
      </xdr:nvSpPr>
      <xdr:spPr bwMode="auto">
        <a:xfrm flipH="1" flipV="1">
          <a:off x="457200" y="666750"/>
          <a:ext cx="619125" cy="200025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0</xdr:colOff>
      <xdr:row>4</xdr:row>
      <xdr:rowOff>142875</xdr:rowOff>
    </xdr:from>
    <xdr:to>
      <xdr:col>13</xdr:col>
      <xdr:colOff>0</xdr:colOff>
      <xdr:row>20</xdr:row>
      <xdr:rowOff>9525</xdr:rowOff>
    </xdr:to>
    <xdr:sp macro="" textlink="">
      <xdr:nvSpPr>
        <xdr:cNvPr id="6" name="Line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SpPr>
          <a:spLocks noChangeShapeType="1"/>
        </xdr:cNvSpPr>
      </xdr:nvSpPr>
      <xdr:spPr bwMode="auto">
        <a:xfrm>
          <a:off x="7524750" y="857250"/>
          <a:ext cx="0" cy="245745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180975</xdr:colOff>
      <xdr:row>19</xdr:row>
      <xdr:rowOff>0</xdr:rowOff>
    </xdr:from>
    <xdr:to>
      <xdr:col>12</xdr:col>
      <xdr:colOff>238125</xdr:colOff>
      <xdr:row>19</xdr:row>
      <xdr:rowOff>0</xdr:rowOff>
    </xdr:to>
    <xdr:sp macro="" textlink="">
      <xdr:nvSpPr>
        <xdr:cNvPr id="7" name="Line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SpPr>
          <a:spLocks noChangeShapeType="1"/>
        </xdr:cNvSpPr>
      </xdr:nvSpPr>
      <xdr:spPr bwMode="auto">
        <a:xfrm>
          <a:off x="3686175" y="3143250"/>
          <a:ext cx="346710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228600</xdr:colOff>
      <xdr:row>19</xdr:row>
      <xdr:rowOff>0</xdr:rowOff>
    </xdr:from>
    <xdr:to>
      <xdr:col>12</xdr:col>
      <xdr:colOff>457200</xdr:colOff>
      <xdr:row>20</xdr:row>
      <xdr:rowOff>9525</xdr:rowOff>
    </xdr:to>
    <xdr:sp macro="" textlink="">
      <xdr:nvSpPr>
        <xdr:cNvPr id="8" name="Line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SpPr>
          <a:spLocks noChangeShapeType="1"/>
        </xdr:cNvSpPr>
      </xdr:nvSpPr>
      <xdr:spPr bwMode="auto">
        <a:xfrm>
          <a:off x="7143750" y="3143250"/>
          <a:ext cx="228600" cy="17145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438150</xdr:colOff>
      <xdr:row>20</xdr:row>
      <xdr:rowOff>0</xdr:rowOff>
    </xdr:from>
    <xdr:to>
      <xdr:col>13</xdr:col>
      <xdr:colOff>0</xdr:colOff>
      <xdr:row>20</xdr:row>
      <xdr:rowOff>9525</xdr:rowOff>
    </xdr:to>
    <xdr:sp macro="" textlink="">
      <xdr:nvSpPr>
        <xdr:cNvPr id="9" name="Line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SpPr>
          <a:spLocks noChangeShapeType="1"/>
        </xdr:cNvSpPr>
      </xdr:nvSpPr>
      <xdr:spPr bwMode="auto">
        <a:xfrm flipV="1">
          <a:off x="7353300" y="3305175"/>
          <a:ext cx="171450" cy="9525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85725</xdr:colOff>
      <xdr:row>18</xdr:row>
      <xdr:rowOff>152400</xdr:rowOff>
    </xdr:from>
    <xdr:to>
      <xdr:col>6</xdr:col>
      <xdr:colOff>171450</xdr:colOff>
      <xdr:row>20</xdr:row>
      <xdr:rowOff>9525</xdr:rowOff>
    </xdr:to>
    <xdr:sp macro="" textlink="">
      <xdr:nvSpPr>
        <xdr:cNvPr id="10" name="Line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SpPr>
          <a:spLocks noChangeShapeType="1"/>
        </xdr:cNvSpPr>
      </xdr:nvSpPr>
      <xdr:spPr bwMode="auto">
        <a:xfrm flipH="1">
          <a:off x="3590925" y="3133725"/>
          <a:ext cx="85725" cy="180975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</xdr:col>
      <xdr:colOff>533400</xdr:colOff>
      <xdr:row>20</xdr:row>
      <xdr:rowOff>9525</xdr:rowOff>
    </xdr:from>
    <xdr:to>
      <xdr:col>6</xdr:col>
      <xdr:colOff>95250</xdr:colOff>
      <xdr:row>20</xdr:row>
      <xdr:rowOff>9525</xdr:rowOff>
    </xdr:to>
    <xdr:sp macro="" textlink="">
      <xdr:nvSpPr>
        <xdr:cNvPr id="11" name="Line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SpPr>
          <a:spLocks noChangeShapeType="1"/>
        </xdr:cNvSpPr>
      </xdr:nvSpPr>
      <xdr:spPr bwMode="auto">
        <a:xfrm>
          <a:off x="3429000" y="3314700"/>
          <a:ext cx="17145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</xdr:col>
      <xdr:colOff>542925</xdr:colOff>
      <xdr:row>17</xdr:row>
      <xdr:rowOff>152400</xdr:rowOff>
    </xdr:from>
    <xdr:to>
      <xdr:col>5</xdr:col>
      <xdr:colOff>542925</xdr:colOff>
      <xdr:row>20</xdr:row>
      <xdr:rowOff>9525</xdr:rowOff>
    </xdr:to>
    <xdr:sp macro="" textlink="">
      <xdr:nvSpPr>
        <xdr:cNvPr id="12" name="Line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SpPr>
          <a:spLocks noChangeShapeType="1"/>
        </xdr:cNvSpPr>
      </xdr:nvSpPr>
      <xdr:spPr bwMode="auto">
        <a:xfrm>
          <a:off x="3438525" y="2971800"/>
          <a:ext cx="0" cy="34290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9525</xdr:colOff>
      <xdr:row>16</xdr:row>
      <xdr:rowOff>152400</xdr:rowOff>
    </xdr:from>
    <xdr:to>
      <xdr:col>6</xdr:col>
      <xdr:colOff>9525</xdr:colOff>
      <xdr:row>18</xdr:row>
      <xdr:rowOff>9525</xdr:rowOff>
    </xdr:to>
    <xdr:sp macro="" textlink="">
      <xdr:nvSpPr>
        <xdr:cNvPr id="13" name="Line 12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SpPr>
          <a:spLocks noChangeShapeType="1"/>
        </xdr:cNvSpPr>
      </xdr:nvSpPr>
      <xdr:spPr bwMode="auto">
        <a:xfrm>
          <a:off x="3514725" y="2809875"/>
          <a:ext cx="0" cy="180975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</xdr:col>
      <xdr:colOff>552450</xdr:colOff>
      <xdr:row>18</xdr:row>
      <xdr:rowOff>0</xdr:rowOff>
    </xdr:from>
    <xdr:to>
      <xdr:col>6</xdr:col>
      <xdr:colOff>28575</xdr:colOff>
      <xdr:row>18</xdr:row>
      <xdr:rowOff>0</xdr:rowOff>
    </xdr:to>
    <xdr:sp macro="" textlink="">
      <xdr:nvSpPr>
        <xdr:cNvPr id="14" name="Line 13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SpPr>
          <a:spLocks noChangeShapeType="1"/>
        </xdr:cNvSpPr>
      </xdr:nvSpPr>
      <xdr:spPr bwMode="auto">
        <a:xfrm>
          <a:off x="3448050" y="2981325"/>
          <a:ext cx="85725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0</xdr:colOff>
      <xdr:row>4</xdr:row>
      <xdr:rowOff>142875</xdr:rowOff>
    </xdr:from>
    <xdr:to>
      <xdr:col>2</xdr:col>
      <xdr:colOff>0</xdr:colOff>
      <xdr:row>30</xdr:row>
      <xdr:rowOff>152400</xdr:rowOff>
    </xdr:to>
    <xdr:sp macro="" textlink="">
      <xdr:nvSpPr>
        <xdr:cNvPr id="15" name="Line 14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SpPr>
          <a:spLocks noChangeShapeType="1"/>
        </xdr:cNvSpPr>
      </xdr:nvSpPr>
      <xdr:spPr bwMode="auto">
        <a:xfrm>
          <a:off x="1066800" y="857250"/>
          <a:ext cx="0" cy="42195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4</xdr:row>
      <xdr:rowOff>152400</xdr:rowOff>
    </xdr:from>
    <xdr:to>
      <xdr:col>6</xdr:col>
      <xdr:colOff>0</xdr:colOff>
      <xdr:row>30</xdr:row>
      <xdr:rowOff>9525</xdr:rowOff>
    </xdr:to>
    <xdr:sp macro="" textlink="">
      <xdr:nvSpPr>
        <xdr:cNvPr id="16" name="Line 15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SpPr>
          <a:spLocks noChangeShapeType="1"/>
        </xdr:cNvSpPr>
      </xdr:nvSpPr>
      <xdr:spPr bwMode="auto">
        <a:xfrm>
          <a:off x="3505200" y="866775"/>
          <a:ext cx="0" cy="40671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9</xdr:col>
      <xdr:colOff>19050</xdr:colOff>
      <xdr:row>5</xdr:row>
      <xdr:rowOff>0</xdr:rowOff>
    </xdr:from>
    <xdr:to>
      <xdr:col>9</xdr:col>
      <xdr:colOff>19050</xdr:colOff>
      <xdr:row>29</xdr:row>
      <xdr:rowOff>114300</xdr:rowOff>
    </xdr:to>
    <xdr:sp macro="" textlink="">
      <xdr:nvSpPr>
        <xdr:cNvPr id="17" name="Line 17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SpPr>
          <a:spLocks noChangeShapeType="1"/>
        </xdr:cNvSpPr>
      </xdr:nvSpPr>
      <xdr:spPr bwMode="auto">
        <a:xfrm flipH="1">
          <a:off x="5353050" y="876300"/>
          <a:ext cx="0" cy="40005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0</xdr:colOff>
      <xdr:row>20</xdr:row>
      <xdr:rowOff>0</xdr:rowOff>
    </xdr:from>
    <xdr:to>
      <xdr:col>13</xdr:col>
      <xdr:colOff>0</xdr:colOff>
      <xdr:row>30</xdr:row>
      <xdr:rowOff>142875</xdr:rowOff>
    </xdr:to>
    <xdr:sp macro="" textlink="">
      <xdr:nvSpPr>
        <xdr:cNvPr id="18" name="Line 18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SpPr>
          <a:spLocks noChangeShapeType="1"/>
        </xdr:cNvSpPr>
      </xdr:nvSpPr>
      <xdr:spPr bwMode="auto">
        <a:xfrm>
          <a:off x="7524750" y="3305175"/>
          <a:ext cx="0" cy="17621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0</xdr:colOff>
      <xdr:row>15</xdr:row>
      <xdr:rowOff>76200</xdr:rowOff>
    </xdr:from>
    <xdr:to>
      <xdr:col>13</xdr:col>
      <xdr:colOff>361950</xdr:colOff>
      <xdr:row>16</xdr:row>
      <xdr:rowOff>152400</xdr:rowOff>
    </xdr:to>
    <xdr:sp macro="" textlink="">
      <xdr:nvSpPr>
        <xdr:cNvPr id="19" name="Line 19">
          <a:extLst>
            <a:ext uri="{FF2B5EF4-FFF2-40B4-BE49-F238E27FC236}">
              <a16:creationId xmlns:a16="http://schemas.microsoft.com/office/drawing/2014/main" id="{00000000-0008-0000-0200-000013000000}"/>
            </a:ext>
          </a:extLst>
        </xdr:cNvPr>
        <xdr:cNvSpPr>
          <a:spLocks noChangeShapeType="1"/>
        </xdr:cNvSpPr>
      </xdr:nvSpPr>
      <xdr:spPr bwMode="auto">
        <a:xfrm flipV="1">
          <a:off x="7524750" y="2571750"/>
          <a:ext cx="361950" cy="2381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352425</xdr:colOff>
      <xdr:row>12</xdr:row>
      <xdr:rowOff>95250</xdr:rowOff>
    </xdr:from>
    <xdr:to>
      <xdr:col>14</xdr:col>
      <xdr:colOff>152400</xdr:colOff>
      <xdr:row>13</xdr:row>
      <xdr:rowOff>133350</xdr:rowOff>
    </xdr:to>
    <xdr:sp macro="" textlink="">
      <xdr:nvSpPr>
        <xdr:cNvPr id="20" name="Line 20"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SpPr>
          <a:spLocks noChangeShapeType="1"/>
        </xdr:cNvSpPr>
      </xdr:nvSpPr>
      <xdr:spPr bwMode="auto">
        <a:xfrm flipV="1">
          <a:off x="7877175" y="2105025"/>
          <a:ext cx="409575" cy="2000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14</xdr:col>
      <xdr:colOff>161925</xdr:colOff>
      <xdr:row>12</xdr:row>
      <xdr:rowOff>104775</xdr:rowOff>
    </xdr:from>
    <xdr:to>
      <xdr:col>14</xdr:col>
      <xdr:colOff>504825</xdr:colOff>
      <xdr:row>12</xdr:row>
      <xdr:rowOff>104775</xdr:rowOff>
    </xdr:to>
    <xdr:sp macro="" textlink="">
      <xdr:nvSpPr>
        <xdr:cNvPr id="21" name="Line 21"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SpPr>
          <a:spLocks noChangeShapeType="1"/>
        </xdr:cNvSpPr>
      </xdr:nvSpPr>
      <xdr:spPr bwMode="auto">
        <a:xfrm>
          <a:off x="8296275" y="2114550"/>
          <a:ext cx="3429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352425</xdr:colOff>
      <xdr:row>12</xdr:row>
      <xdr:rowOff>47625</xdr:rowOff>
    </xdr:from>
    <xdr:to>
      <xdr:col>13</xdr:col>
      <xdr:colOff>352425</xdr:colOff>
      <xdr:row>16</xdr:row>
      <xdr:rowOff>76200</xdr:rowOff>
    </xdr:to>
    <xdr:sp macro="" textlink="">
      <xdr:nvSpPr>
        <xdr:cNvPr id="22" name="Line 22">
          <a:extLst>
            <a:ext uri="{FF2B5EF4-FFF2-40B4-BE49-F238E27FC236}">
              <a16:creationId xmlns:a16="http://schemas.microsoft.com/office/drawing/2014/main" id="{00000000-0008-0000-0200-000016000000}"/>
            </a:ext>
          </a:extLst>
        </xdr:cNvPr>
        <xdr:cNvSpPr>
          <a:spLocks noChangeShapeType="1"/>
        </xdr:cNvSpPr>
      </xdr:nvSpPr>
      <xdr:spPr bwMode="auto">
        <a:xfrm>
          <a:off x="7877175" y="2057400"/>
          <a:ext cx="0" cy="676275"/>
        </a:xfrm>
        <a:prstGeom prst="line">
          <a:avLst/>
        </a:prstGeom>
        <a:noFill/>
        <a:ln w="9525">
          <a:solidFill>
            <a:srgbClr val="000000"/>
          </a:solidFill>
          <a:prstDash val="lgDashDotDot"/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14</xdr:col>
      <xdr:colOff>85725</xdr:colOff>
      <xdr:row>11</xdr:row>
      <xdr:rowOff>152400</xdr:rowOff>
    </xdr:from>
    <xdr:to>
      <xdr:col>14</xdr:col>
      <xdr:colOff>238125</xdr:colOff>
      <xdr:row>12</xdr:row>
      <xdr:rowOff>85725</xdr:rowOff>
    </xdr:to>
    <xdr:sp macro="" textlink="">
      <xdr:nvSpPr>
        <xdr:cNvPr id="23" name="AutoShape 23">
          <a:extLst>
            <a:ext uri="{FF2B5EF4-FFF2-40B4-BE49-F238E27FC236}">
              <a16:creationId xmlns:a16="http://schemas.microsoft.com/office/drawing/2014/main" id="{00000000-0008-0000-0200-000017000000}"/>
            </a:ext>
          </a:extLst>
        </xdr:cNvPr>
        <xdr:cNvSpPr>
          <a:spLocks noChangeArrowheads="1"/>
        </xdr:cNvSpPr>
      </xdr:nvSpPr>
      <xdr:spPr bwMode="auto">
        <a:xfrm>
          <a:off x="8220075" y="2000250"/>
          <a:ext cx="152400" cy="95250"/>
        </a:xfrm>
        <a:prstGeom prst="flowChartMerge">
          <a:avLst/>
        </a:prstGeom>
        <a:solidFill>
          <a:srgbClr val="FFFFFF"/>
        </a:solidFill>
        <a:ln w="19050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12</xdr:col>
      <xdr:colOff>533400</xdr:colOff>
      <xdr:row>4</xdr:row>
      <xdr:rowOff>28575</xdr:rowOff>
    </xdr:from>
    <xdr:to>
      <xdr:col>13</xdr:col>
      <xdr:colOff>76200</xdr:colOff>
      <xdr:row>4</xdr:row>
      <xdr:rowOff>123825</xdr:rowOff>
    </xdr:to>
    <xdr:sp macro="" textlink="">
      <xdr:nvSpPr>
        <xdr:cNvPr id="24" name="AutoShape 24">
          <a:extLst>
            <a:ext uri="{FF2B5EF4-FFF2-40B4-BE49-F238E27FC236}">
              <a16:creationId xmlns:a16="http://schemas.microsoft.com/office/drawing/2014/main" id="{00000000-0008-0000-0200-000018000000}"/>
            </a:ext>
          </a:extLst>
        </xdr:cNvPr>
        <xdr:cNvSpPr>
          <a:spLocks noChangeArrowheads="1"/>
        </xdr:cNvSpPr>
      </xdr:nvSpPr>
      <xdr:spPr bwMode="auto">
        <a:xfrm>
          <a:off x="7448550" y="742950"/>
          <a:ext cx="152400" cy="95250"/>
        </a:xfrm>
        <a:prstGeom prst="flowChartMerge">
          <a:avLst/>
        </a:prstGeom>
        <a:solidFill>
          <a:srgbClr val="FFFFFF"/>
        </a:solidFill>
        <a:ln w="19050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8</xdr:col>
      <xdr:colOff>552450</xdr:colOff>
      <xdr:row>4</xdr:row>
      <xdr:rowOff>57150</xdr:rowOff>
    </xdr:from>
    <xdr:to>
      <xdr:col>9</xdr:col>
      <xdr:colOff>95250</xdr:colOff>
      <xdr:row>4</xdr:row>
      <xdr:rowOff>152400</xdr:rowOff>
    </xdr:to>
    <xdr:sp macro="" textlink="">
      <xdr:nvSpPr>
        <xdr:cNvPr id="25" name="AutoShape 25">
          <a:extLst>
            <a:ext uri="{FF2B5EF4-FFF2-40B4-BE49-F238E27FC236}">
              <a16:creationId xmlns:a16="http://schemas.microsoft.com/office/drawing/2014/main" id="{00000000-0008-0000-0200-000019000000}"/>
            </a:ext>
          </a:extLst>
        </xdr:cNvPr>
        <xdr:cNvSpPr>
          <a:spLocks noChangeArrowheads="1"/>
        </xdr:cNvSpPr>
      </xdr:nvSpPr>
      <xdr:spPr bwMode="auto">
        <a:xfrm>
          <a:off x="5276850" y="771525"/>
          <a:ext cx="152400" cy="95250"/>
        </a:xfrm>
        <a:prstGeom prst="flowChartMerge">
          <a:avLst/>
        </a:prstGeom>
        <a:solidFill>
          <a:srgbClr val="FFFFFF"/>
        </a:solidFill>
        <a:ln w="19050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</xdr:col>
      <xdr:colOff>552450</xdr:colOff>
      <xdr:row>4</xdr:row>
      <xdr:rowOff>38100</xdr:rowOff>
    </xdr:from>
    <xdr:to>
      <xdr:col>2</xdr:col>
      <xdr:colOff>95250</xdr:colOff>
      <xdr:row>4</xdr:row>
      <xdr:rowOff>133350</xdr:rowOff>
    </xdr:to>
    <xdr:sp macro="" textlink="">
      <xdr:nvSpPr>
        <xdr:cNvPr id="26" name="AutoShape 27">
          <a:extLst>
            <a:ext uri="{FF2B5EF4-FFF2-40B4-BE49-F238E27FC236}">
              <a16:creationId xmlns:a16="http://schemas.microsoft.com/office/drawing/2014/main" id="{00000000-0008-0000-0200-00001A000000}"/>
            </a:ext>
          </a:extLst>
        </xdr:cNvPr>
        <xdr:cNvSpPr>
          <a:spLocks noChangeArrowheads="1"/>
        </xdr:cNvSpPr>
      </xdr:nvSpPr>
      <xdr:spPr bwMode="auto">
        <a:xfrm>
          <a:off x="1009650" y="752475"/>
          <a:ext cx="152400" cy="95250"/>
        </a:xfrm>
        <a:prstGeom prst="flowChartMerge">
          <a:avLst/>
        </a:prstGeom>
        <a:solidFill>
          <a:srgbClr val="FFFFFF"/>
        </a:solidFill>
        <a:ln w="19050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8</xdr:col>
      <xdr:colOff>552450</xdr:colOff>
      <xdr:row>16</xdr:row>
      <xdr:rowOff>47625</xdr:rowOff>
    </xdr:from>
    <xdr:to>
      <xdr:col>9</xdr:col>
      <xdr:colOff>95250</xdr:colOff>
      <xdr:row>16</xdr:row>
      <xdr:rowOff>142875</xdr:rowOff>
    </xdr:to>
    <xdr:sp macro="" textlink="">
      <xdr:nvSpPr>
        <xdr:cNvPr id="27" name="AutoShape 29">
          <a:extLst>
            <a:ext uri="{FF2B5EF4-FFF2-40B4-BE49-F238E27FC236}">
              <a16:creationId xmlns:a16="http://schemas.microsoft.com/office/drawing/2014/main" id="{00000000-0008-0000-0200-00001B000000}"/>
            </a:ext>
          </a:extLst>
        </xdr:cNvPr>
        <xdr:cNvSpPr>
          <a:spLocks noChangeArrowheads="1"/>
        </xdr:cNvSpPr>
      </xdr:nvSpPr>
      <xdr:spPr bwMode="auto">
        <a:xfrm>
          <a:off x="5276850" y="2705100"/>
          <a:ext cx="152400" cy="95250"/>
        </a:xfrm>
        <a:prstGeom prst="flowChartMerge">
          <a:avLst/>
        </a:prstGeom>
        <a:solidFill>
          <a:srgbClr val="FFFFFF"/>
        </a:solidFill>
        <a:ln w="19050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</xdr:col>
      <xdr:colOff>533400</xdr:colOff>
      <xdr:row>4</xdr:row>
      <xdr:rowOff>38100</xdr:rowOff>
    </xdr:from>
    <xdr:to>
      <xdr:col>6</xdr:col>
      <xdr:colOff>76200</xdr:colOff>
      <xdr:row>4</xdr:row>
      <xdr:rowOff>133350</xdr:rowOff>
    </xdr:to>
    <xdr:sp macro="" textlink="">
      <xdr:nvSpPr>
        <xdr:cNvPr id="28" name="AutoShape 30">
          <a:extLst>
            <a:ext uri="{FF2B5EF4-FFF2-40B4-BE49-F238E27FC236}">
              <a16:creationId xmlns:a16="http://schemas.microsoft.com/office/drawing/2014/main" id="{00000000-0008-0000-0200-00001C000000}"/>
            </a:ext>
          </a:extLst>
        </xdr:cNvPr>
        <xdr:cNvSpPr>
          <a:spLocks noChangeArrowheads="1"/>
        </xdr:cNvSpPr>
      </xdr:nvSpPr>
      <xdr:spPr bwMode="auto">
        <a:xfrm>
          <a:off x="3429000" y="752475"/>
          <a:ext cx="152400" cy="95250"/>
        </a:xfrm>
        <a:prstGeom prst="flowChartMerge">
          <a:avLst/>
        </a:prstGeom>
        <a:solidFill>
          <a:srgbClr val="FFFFFF"/>
        </a:solidFill>
        <a:ln w="19050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</xdr:col>
      <xdr:colOff>9525</xdr:colOff>
      <xdr:row>11</xdr:row>
      <xdr:rowOff>19050</xdr:rowOff>
    </xdr:from>
    <xdr:to>
      <xdr:col>5</xdr:col>
      <xdr:colOff>533400</xdr:colOff>
      <xdr:row>17</xdr:row>
      <xdr:rowOff>152400</xdr:rowOff>
    </xdr:to>
    <xdr:sp macro="" textlink="">
      <xdr:nvSpPr>
        <xdr:cNvPr id="29" name="Line 31">
          <a:extLst>
            <a:ext uri="{FF2B5EF4-FFF2-40B4-BE49-F238E27FC236}">
              <a16:creationId xmlns:a16="http://schemas.microsoft.com/office/drawing/2014/main" id="{00000000-0008-0000-0200-00001D000000}"/>
            </a:ext>
          </a:extLst>
        </xdr:cNvPr>
        <xdr:cNvSpPr>
          <a:spLocks noChangeShapeType="1"/>
        </xdr:cNvSpPr>
      </xdr:nvSpPr>
      <xdr:spPr bwMode="auto">
        <a:xfrm>
          <a:off x="1076325" y="1866900"/>
          <a:ext cx="2352675" cy="110490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523875</xdr:colOff>
      <xdr:row>15</xdr:row>
      <xdr:rowOff>0</xdr:rowOff>
    </xdr:from>
    <xdr:to>
      <xdr:col>12</xdr:col>
      <xdr:colOff>600075</xdr:colOff>
      <xdr:row>15</xdr:row>
      <xdr:rowOff>0</xdr:rowOff>
    </xdr:to>
    <xdr:sp macro="" textlink="">
      <xdr:nvSpPr>
        <xdr:cNvPr id="30" name="Line 33">
          <a:extLst>
            <a:ext uri="{FF2B5EF4-FFF2-40B4-BE49-F238E27FC236}">
              <a16:creationId xmlns:a16="http://schemas.microsoft.com/office/drawing/2014/main" id="{00000000-0008-0000-0200-00001E000000}"/>
            </a:ext>
          </a:extLst>
        </xdr:cNvPr>
        <xdr:cNvSpPr>
          <a:spLocks noChangeShapeType="1"/>
        </xdr:cNvSpPr>
      </xdr:nvSpPr>
      <xdr:spPr bwMode="auto">
        <a:xfrm flipH="1">
          <a:off x="7439025" y="2495550"/>
          <a:ext cx="7620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123825</xdr:colOff>
      <xdr:row>15</xdr:row>
      <xdr:rowOff>0</xdr:rowOff>
    </xdr:from>
    <xdr:to>
      <xdr:col>12</xdr:col>
      <xdr:colOff>533400</xdr:colOff>
      <xdr:row>16</xdr:row>
      <xdr:rowOff>152400</xdr:rowOff>
    </xdr:to>
    <xdr:sp macro="" textlink="">
      <xdr:nvSpPr>
        <xdr:cNvPr id="31" name="Line 34">
          <a:extLst>
            <a:ext uri="{FF2B5EF4-FFF2-40B4-BE49-F238E27FC236}">
              <a16:creationId xmlns:a16="http://schemas.microsoft.com/office/drawing/2014/main" id="{00000000-0008-0000-0200-00001F000000}"/>
            </a:ext>
          </a:extLst>
        </xdr:cNvPr>
        <xdr:cNvSpPr>
          <a:spLocks noChangeShapeType="1"/>
        </xdr:cNvSpPr>
      </xdr:nvSpPr>
      <xdr:spPr bwMode="auto">
        <a:xfrm flipH="1">
          <a:off x="7038975" y="2495550"/>
          <a:ext cx="409575" cy="314325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475689</xdr:colOff>
      <xdr:row>24</xdr:row>
      <xdr:rowOff>47625</xdr:rowOff>
    </xdr:from>
    <xdr:to>
      <xdr:col>13</xdr:col>
      <xdr:colOff>85164</xdr:colOff>
      <xdr:row>24</xdr:row>
      <xdr:rowOff>47625</xdr:rowOff>
    </xdr:to>
    <xdr:sp macro="" textlink="">
      <xdr:nvSpPr>
        <xdr:cNvPr id="32" name="Line 35">
          <a:extLst>
            <a:ext uri="{FF2B5EF4-FFF2-40B4-BE49-F238E27FC236}">
              <a16:creationId xmlns:a16="http://schemas.microsoft.com/office/drawing/2014/main" id="{00000000-0008-0000-0200-000020000000}"/>
            </a:ext>
          </a:extLst>
        </xdr:cNvPr>
        <xdr:cNvSpPr>
          <a:spLocks noChangeShapeType="1"/>
        </xdr:cNvSpPr>
      </xdr:nvSpPr>
      <xdr:spPr bwMode="auto">
        <a:xfrm>
          <a:off x="932889" y="4000500"/>
          <a:ext cx="66770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133350</xdr:colOff>
      <xdr:row>4</xdr:row>
      <xdr:rowOff>76200</xdr:rowOff>
    </xdr:from>
    <xdr:to>
      <xdr:col>7</xdr:col>
      <xdr:colOff>133350</xdr:colOff>
      <xdr:row>30</xdr:row>
      <xdr:rowOff>19050</xdr:rowOff>
    </xdr:to>
    <xdr:sp macro="" textlink="">
      <xdr:nvSpPr>
        <xdr:cNvPr id="33" name="Line 36">
          <a:extLst>
            <a:ext uri="{FF2B5EF4-FFF2-40B4-BE49-F238E27FC236}">
              <a16:creationId xmlns:a16="http://schemas.microsoft.com/office/drawing/2014/main" id="{00000000-0008-0000-0200-000021000000}"/>
            </a:ext>
          </a:extLst>
        </xdr:cNvPr>
        <xdr:cNvSpPr>
          <a:spLocks noChangeShapeType="1"/>
        </xdr:cNvSpPr>
      </xdr:nvSpPr>
      <xdr:spPr bwMode="auto">
        <a:xfrm>
          <a:off x="4248150" y="790575"/>
          <a:ext cx="0" cy="4152900"/>
        </a:xfrm>
        <a:prstGeom prst="line">
          <a:avLst/>
        </a:prstGeom>
        <a:noFill/>
        <a:ln w="9525">
          <a:solidFill>
            <a:srgbClr val="000000"/>
          </a:solidFill>
          <a:prstDash val="sysDot"/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6</xdr:row>
      <xdr:rowOff>95250</xdr:rowOff>
    </xdr:from>
    <xdr:to>
      <xdr:col>6</xdr:col>
      <xdr:colOff>0</xdr:colOff>
      <xdr:row>15</xdr:row>
      <xdr:rowOff>104775</xdr:rowOff>
    </xdr:to>
    <xdr:sp macro="" textlink="">
      <xdr:nvSpPr>
        <xdr:cNvPr id="34" name="Line 38">
          <a:extLst>
            <a:ext uri="{FF2B5EF4-FFF2-40B4-BE49-F238E27FC236}">
              <a16:creationId xmlns:a16="http://schemas.microsoft.com/office/drawing/2014/main" id="{00000000-0008-0000-0200-000022000000}"/>
            </a:ext>
          </a:extLst>
        </xdr:cNvPr>
        <xdr:cNvSpPr>
          <a:spLocks noChangeShapeType="1"/>
        </xdr:cNvSpPr>
      </xdr:nvSpPr>
      <xdr:spPr bwMode="auto">
        <a:xfrm>
          <a:off x="457200" y="1133475"/>
          <a:ext cx="3048000" cy="1466850"/>
        </a:xfrm>
        <a:prstGeom prst="line">
          <a:avLst/>
        </a:prstGeom>
        <a:noFill/>
        <a:ln w="1587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333375</xdr:colOff>
      <xdr:row>9</xdr:row>
      <xdr:rowOff>104775</xdr:rowOff>
    </xdr:from>
    <xdr:to>
      <xdr:col>3</xdr:col>
      <xdr:colOff>123825</xdr:colOff>
      <xdr:row>10</xdr:row>
      <xdr:rowOff>133350</xdr:rowOff>
    </xdr:to>
    <xdr:sp macro="" textlink="">
      <xdr:nvSpPr>
        <xdr:cNvPr id="35" name="Line 39">
          <a:extLst>
            <a:ext uri="{FF2B5EF4-FFF2-40B4-BE49-F238E27FC236}">
              <a16:creationId xmlns:a16="http://schemas.microsoft.com/office/drawing/2014/main" id="{00000000-0008-0000-0200-000023000000}"/>
            </a:ext>
          </a:extLst>
        </xdr:cNvPr>
        <xdr:cNvSpPr>
          <a:spLocks noChangeShapeType="1"/>
        </xdr:cNvSpPr>
      </xdr:nvSpPr>
      <xdr:spPr bwMode="auto">
        <a:xfrm>
          <a:off x="1400175" y="1628775"/>
          <a:ext cx="400050" cy="1905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371475</xdr:colOff>
      <xdr:row>10</xdr:row>
      <xdr:rowOff>28575</xdr:rowOff>
    </xdr:from>
    <xdr:to>
      <xdr:col>2</xdr:col>
      <xdr:colOff>590550</xdr:colOff>
      <xdr:row>10</xdr:row>
      <xdr:rowOff>133350</xdr:rowOff>
    </xdr:to>
    <xdr:sp macro="" textlink="">
      <xdr:nvSpPr>
        <xdr:cNvPr id="36" name="Line 40">
          <a:extLst>
            <a:ext uri="{FF2B5EF4-FFF2-40B4-BE49-F238E27FC236}">
              <a16:creationId xmlns:a16="http://schemas.microsoft.com/office/drawing/2014/main" id="{00000000-0008-0000-0200-000024000000}"/>
            </a:ext>
          </a:extLst>
        </xdr:cNvPr>
        <xdr:cNvSpPr>
          <a:spLocks noChangeShapeType="1"/>
        </xdr:cNvSpPr>
      </xdr:nvSpPr>
      <xdr:spPr bwMode="auto">
        <a:xfrm>
          <a:off x="1438275" y="1714500"/>
          <a:ext cx="219075" cy="104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409575</xdr:colOff>
      <xdr:row>10</xdr:row>
      <xdr:rowOff>95250</xdr:rowOff>
    </xdr:from>
    <xdr:to>
      <xdr:col>2</xdr:col>
      <xdr:colOff>523875</xdr:colOff>
      <xdr:row>10</xdr:row>
      <xdr:rowOff>152400</xdr:rowOff>
    </xdr:to>
    <xdr:sp macro="" textlink="">
      <xdr:nvSpPr>
        <xdr:cNvPr id="37" name="Line 41">
          <a:extLst>
            <a:ext uri="{FF2B5EF4-FFF2-40B4-BE49-F238E27FC236}">
              <a16:creationId xmlns:a16="http://schemas.microsoft.com/office/drawing/2014/main" id="{00000000-0008-0000-0200-000025000000}"/>
            </a:ext>
          </a:extLst>
        </xdr:cNvPr>
        <xdr:cNvSpPr>
          <a:spLocks noChangeShapeType="1"/>
        </xdr:cNvSpPr>
      </xdr:nvSpPr>
      <xdr:spPr bwMode="auto">
        <a:xfrm>
          <a:off x="1476375" y="1781175"/>
          <a:ext cx="114300" cy="571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409575</xdr:colOff>
      <xdr:row>12</xdr:row>
      <xdr:rowOff>114300</xdr:rowOff>
    </xdr:from>
    <xdr:to>
      <xdr:col>14</xdr:col>
      <xdr:colOff>152400</xdr:colOff>
      <xdr:row>12</xdr:row>
      <xdr:rowOff>114300</xdr:rowOff>
    </xdr:to>
    <xdr:sp macro="" textlink="">
      <xdr:nvSpPr>
        <xdr:cNvPr id="38" name="Line 42">
          <a:extLst>
            <a:ext uri="{FF2B5EF4-FFF2-40B4-BE49-F238E27FC236}">
              <a16:creationId xmlns:a16="http://schemas.microsoft.com/office/drawing/2014/main" id="{00000000-0008-0000-0200-000026000000}"/>
            </a:ext>
          </a:extLst>
        </xdr:cNvPr>
        <xdr:cNvSpPr>
          <a:spLocks noChangeShapeType="1"/>
        </xdr:cNvSpPr>
      </xdr:nvSpPr>
      <xdr:spPr bwMode="auto">
        <a:xfrm flipH="1">
          <a:off x="2695575" y="2124075"/>
          <a:ext cx="5591175" cy="0"/>
        </a:xfrm>
        <a:prstGeom prst="line">
          <a:avLst/>
        </a:prstGeom>
        <a:noFill/>
        <a:ln w="9525">
          <a:solidFill>
            <a:srgbClr val="000000"/>
          </a:solidFill>
          <a:prstDash val="lgDash"/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266700</xdr:colOff>
      <xdr:row>13</xdr:row>
      <xdr:rowOff>0</xdr:rowOff>
    </xdr:from>
    <xdr:to>
      <xdr:col>12</xdr:col>
      <xdr:colOff>9525</xdr:colOff>
      <xdr:row>13</xdr:row>
      <xdr:rowOff>0</xdr:rowOff>
    </xdr:to>
    <xdr:sp macro="" textlink="">
      <xdr:nvSpPr>
        <xdr:cNvPr id="39" name="Line 43">
          <a:extLst>
            <a:ext uri="{FF2B5EF4-FFF2-40B4-BE49-F238E27FC236}">
              <a16:creationId xmlns:a16="http://schemas.microsoft.com/office/drawing/2014/main" id="{00000000-0008-0000-0200-000027000000}"/>
            </a:ext>
          </a:extLst>
        </xdr:cNvPr>
        <xdr:cNvSpPr>
          <a:spLocks noChangeShapeType="1"/>
        </xdr:cNvSpPr>
      </xdr:nvSpPr>
      <xdr:spPr bwMode="auto">
        <a:xfrm>
          <a:off x="6134100" y="2171700"/>
          <a:ext cx="7905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447675</xdr:colOff>
      <xdr:row>13</xdr:row>
      <xdr:rowOff>47625</xdr:rowOff>
    </xdr:from>
    <xdr:to>
      <xdr:col>11</xdr:col>
      <xdr:colOff>400050</xdr:colOff>
      <xdr:row>13</xdr:row>
      <xdr:rowOff>47625</xdr:rowOff>
    </xdr:to>
    <xdr:sp macro="" textlink="">
      <xdr:nvSpPr>
        <xdr:cNvPr id="40" name="Line 44">
          <a:extLst>
            <a:ext uri="{FF2B5EF4-FFF2-40B4-BE49-F238E27FC236}">
              <a16:creationId xmlns:a16="http://schemas.microsoft.com/office/drawing/2014/main" id="{00000000-0008-0000-0200-000028000000}"/>
            </a:ext>
          </a:extLst>
        </xdr:cNvPr>
        <xdr:cNvSpPr>
          <a:spLocks noChangeShapeType="1"/>
        </xdr:cNvSpPr>
      </xdr:nvSpPr>
      <xdr:spPr bwMode="auto">
        <a:xfrm>
          <a:off x="6315075" y="2219325"/>
          <a:ext cx="4572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11</xdr:col>
      <xdr:colOff>95250</xdr:colOff>
      <xdr:row>13</xdr:row>
      <xdr:rowOff>85725</xdr:rowOff>
    </xdr:from>
    <xdr:to>
      <xdr:col>11</xdr:col>
      <xdr:colOff>314325</xdr:colOff>
      <xdr:row>13</xdr:row>
      <xdr:rowOff>85725</xdr:rowOff>
    </xdr:to>
    <xdr:sp macro="" textlink="">
      <xdr:nvSpPr>
        <xdr:cNvPr id="41" name="Line 45">
          <a:extLst>
            <a:ext uri="{FF2B5EF4-FFF2-40B4-BE49-F238E27FC236}">
              <a16:creationId xmlns:a16="http://schemas.microsoft.com/office/drawing/2014/main" id="{00000000-0008-0000-0200-000029000000}"/>
            </a:ext>
          </a:extLst>
        </xdr:cNvPr>
        <xdr:cNvSpPr>
          <a:spLocks noChangeShapeType="1"/>
        </xdr:cNvSpPr>
      </xdr:nvSpPr>
      <xdr:spPr bwMode="auto">
        <a:xfrm>
          <a:off x="6467475" y="2257425"/>
          <a:ext cx="2190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11</xdr:col>
      <xdr:colOff>142875</xdr:colOff>
      <xdr:row>12</xdr:row>
      <xdr:rowOff>9525</xdr:rowOff>
    </xdr:from>
    <xdr:to>
      <xdr:col>11</xdr:col>
      <xdr:colOff>295275</xdr:colOff>
      <xdr:row>12</xdr:row>
      <xdr:rowOff>104775</xdr:rowOff>
    </xdr:to>
    <xdr:sp macro="" textlink="">
      <xdr:nvSpPr>
        <xdr:cNvPr id="42" name="AutoShape 46">
          <a:extLst>
            <a:ext uri="{FF2B5EF4-FFF2-40B4-BE49-F238E27FC236}">
              <a16:creationId xmlns:a16="http://schemas.microsoft.com/office/drawing/2014/main" id="{00000000-0008-0000-0200-00002A000000}"/>
            </a:ext>
          </a:extLst>
        </xdr:cNvPr>
        <xdr:cNvSpPr>
          <a:spLocks noChangeArrowheads="1"/>
        </xdr:cNvSpPr>
      </xdr:nvSpPr>
      <xdr:spPr bwMode="auto">
        <a:xfrm>
          <a:off x="6515100" y="2019300"/>
          <a:ext cx="152400" cy="95250"/>
        </a:xfrm>
        <a:prstGeom prst="flowChartMerge">
          <a:avLst/>
        </a:prstGeom>
        <a:solidFill>
          <a:srgbClr val="FFFFFF"/>
        </a:solidFill>
        <a:ln w="19050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13</xdr:col>
      <xdr:colOff>9525</xdr:colOff>
      <xdr:row>7</xdr:row>
      <xdr:rowOff>9525</xdr:rowOff>
    </xdr:from>
    <xdr:to>
      <xdr:col>14</xdr:col>
      <xdr:colOff>438150</xdr:colOff>
      <xdr:row>7</xdr:row>
      <xdr:rowOff>9525</xdr:rowOff>
    </xdr:to>
    <xdr:sp macro="" textlink="">
      <xdr:nvSpPr>
        <xdr:cNvPr id="43" name="Line 47">
          <a:extLst>
            <a:ext uri="{FF2B5EF4-FFF2-40B4-BE49-F238E27FC236}">
              <a16:creationId xmlns:a16="http://schemas.microsoft.com/office/drawing/2014/main" id="{00000000-0008-0000-0200-00002B000000}"/>
            </a:ext>
          </a:extLst>
        </xdr:cNvPr>
        <xdr:cNvSpPr>
          <a:spLocks noChangeShapeType="1"/>
        </xdr:cNvSpPr>
      </xdr:nvSpPr>
      <xdr:spPr bwMode="auto">
        <a:xfrm>
          <a:off x="7534275" y="1209675"/>
          <a:ext cx="1038225" cy="0"/>
        </a:xfrm>
        <a:prstGeom prst="line">
          <a:avLst/>
        </a:prstGeom>
        <a:noFill/>
        <a:ln w="1587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9525</xdr:colOff>
      <xdr:row>7</xdr:row>
      <xdr:rowOff>9525</xdr:rowOff>
    </xdr:from>
    <xdr:to>
      <xdr:col>12</xdr:col>
      <xdr:colOff>600075</xdr:colOff>
      <xdr:row>15</xdr:row>
      <xdr:rowOff>114300</xdr:rowOff>
    </xdr:to>
    <xdr:sp macro="" textlink="">
      <xdr:nvSpPr>
        <xdr:cNvPr id="44" name="Freeform 48">
          <a:extLst>
            <a:ext uri="{FF2B5EF4-FFF2-40B4-BE49-F238E27FC236}">
              <a16:creationId xmlns:a16="http://schemas.microsoft.com/office/drawing/2014/main" id="{00000000-0008-0000-0200-00002C000000}"/>
            </a:ext>
          </a:extLst>
        </xdr:cNvPr>
        <xdr:cNvSpPr>
          <a:spLocks/>
        </xdr:cNvSpPr>
      </xdr:nvSpPr>
      <xdr:spPr bwMode="auto">
        <a:xfrm>
          <a:off x="3514725" y="1209675"/>
          <a:ext cx="4000500" cy="1400175"/>
        </a:xfrm>
        <a:custGeom>
          <a:avLst/>
          <a:gdLst>
            <a:gd name="T0" fmla="*/ 410 w 410"/>
            <a:gd name="T1" fmla="*/ 0 h 143"/>
            <a:gd name="T2" fmla="*/ 395 w 410"/>
            <a:gd name="T3" fmla="*/ 6 h 143"/>
            <a:gd name="T4" fmla="*/ 384 w 410"/>
            <a:gd name="T5" fmla="*/ 10 h 143"/>
            <a:gd name="T6" fmla="*/ 375 w 410"/>
            <a:gd name="T7" fmla="*/ 11 h 143"/>
            <a:gd name="T8" fmla="*/ 370 w 410"/>
            <a:gd name="T9" fmla="*/ 18 h 143"/>
            <a:gd name="T10" fmla="*/ 353 w 410"/>
            <a:gd name="T11" fmla="*/ 18 h 143"/>
            <a:gd name="T12" fmla="*/ 341 w 410"/>
            <a:gd name="T13" fmla="*/ 26 h 143"/>
            <a:gd name="T14" fmla="*/ 328 w 410"/>
            <a:gd name="T15" fmla="*/ 29 h 143"/>
            <a:gd name="T16" fmla="*/ 320 w 410"/>
            <a:gd name="T17" fmla="*/ 34 h 143"/>
            <a:gd name="T18" fmla="*/ 306 w 410"/>
            <a:gd name="T19" fmla="*/ 37 h 143"/>
            <a:gd name="T20" fmla="*/ 300 w 410"/>
            <a:gd name="T21" fmla="*/ 43 h 143"/>
            <a:gd name="T22" fmla="*/ 286 w 410"/>
            <a:gd name="T23" fmla="*/ 45 h 143"/>
            <a:gd name="T24" fmla="*/ 274 w 410"/>
            <a:gd name="T25" fmla="*/ 51 h 143"/>
            <a:gd name="T26" fmla="*/ 253 w 410"/>
            <a:gd name="T27" fmla="*/ 58 h 143"/>
            <a:gd name="T28" fmla="*/ 245 w 410"/>
            <a:gd name="T29" fmla="*/ 69 h 143"/>
            <a:gd name="T30" fmla="*/ 228 w 410"/>
            <a:gd name="T31" fmla="*/ 69 h 143"/>
            <a:gd name="T32" fmla="*/ 207 w 410"/>
            <a:gd name="T33" fmla="*/ 79 h 143"/>
            <a:gd name="T34" fmla="*/ 191 w 410"/>
            <a:gd name="T35" fmla="*/ 79 h 143"/>
            <a:gd name="T36" fmla="*/ 178 w 410"/>
            <a:gd name="T37" fmla="*/ 89 h 143"/>
            <a:gd name="T38" fmla="*/ 163 w 410"/>
            <a:gd name="T39" fmla="*/ 90 h 143"/>
            <a:gd name="T40" fmla="*/ 154 w 410"/>
            <a:gd name="T41" fmla="*/ 99 h 143"/>
            <a:gd name="T42" fmla="*/ 138 w 410"/>
            <a:gd name="T43" fmla="*/ 103 h 143"/>
            <a:gd name="T44" fmla="*/ 123 w 410"/>
            <a:gd name="T45" fmla="*/ 110 h 143"/>
            <a:gd name="T46" fmla="*/ 114 w 410"/>
            <a:gd name="T47" fmla="*/ 109 h 143"/>
            <a:gd name="T48" fmla="*/ 97 w 410"/>
            <a:gd name="T49" fmla="*/ 118 h 143"/>
            <a:gd name="T50" fmla="*/ 82 w 410"/>
            <a:gd name="T51" fmla="*/ 118 h 143"/>
            <a:gd name="T52" fmla="*/ 65 w 410"/>
            <a:gd name="T53" fmla="*/ 125 h 143"/>
            <a:gd name="T54" fmla="*/ 51 w 410"/>
            <a:gd name="T55" fmla="*/ 129 h 143"/>
            <a:gd name="T56" fmla="*/ 44 w 410"/>
            <a:gd name="T57" fmla="*/ 133 h 143"/>
            <a:gd name="T58" fmla="*/ 29 w 410"/>
            <a:gd name="T59" fmla="*/ 135 h 143"/>
            <a:gd name="T60" fmla="*/ 22 w 410"/>
            <a:gd name="T61" fmla="*/ 138 h 143"/>
            <a:gd name="T62" fmla="*/ 6 w 410"/>
            <a:gd name="T63" fmla="*/ 141 h 143"/>
            <a:gd name="T64" fmla="*/ 0 w 410"/>
            <a:gd name="T65" fmla="*/ 143 h 143"/>
            <a:gd name="T66" fmla="*/ 0 60000 65536"/>
            <a:gd name="T67" fmla="*/ 0 60000 65536"/>
            <a:gd name="T68" fmla="*/ 0 60000 65536"/>
            <a:gd name="T69" fmla="*/ 0 60000 65536"/>
            <a:gd name="T70" fmla="*/ 0 60000 65536"/>
            <a:gd name="T71" fmla="*/ 0 60000 65536"/>
            <a:gd name="T72" fmla="*/ 0 60000 65536"/>
            <a:gd name="T73" fmla="*/ 0 60000 65536"/>
            <a:gd name="T74" fmla="*/ 0 60000 65536"/>
            <a:gd name="T75" fmla="*/ 0 60000 65536"/>
            <a:gd name="T76" fmla="*/ 0 60000 65536"/>
            <a:gd name="T77" fmla="*/ 0 60000 65536"/>
            <a:gd name="T78" fmla="*/ 0 60000 65536"/>
            <a:gd name="T79" fmla="*/ 0 60000 65536"/>
            <a:gd name="T80" fmla="*/ 0 60000 65536"/>
            <a:gd name="T81" fmla="*/ 0 60000 65536"/>
            <a:gd name="T82" fmla="*/ 0 60000 65536"/>
            <a:gd name="T83" fmla="*/ 0 60000 65536"/>
            <a:gd name="T84" fmla="*/ 0 60000 65536"/>
            <a:gd name="T85" fmla="*/ 0 60000 65536"/>
            <a:gd name="T86" fmla="*/ 0 60000 65536"/>
            <a:gd name="T87" fmla="*/ 0 60000 65536"/>
            <a:gd name="T88" fmla="*/ 0 60000 65536"/>
            <a:gd name="T89" fmla="*/ 0 60000 65536"/>
            <a:gd name="T90" fmla="*/ 0 60000 65536"/>
            <a:gd name="T91" fmla="*/ 0 60000 65536"/>
            <a:gd name="T92" fmla="*/ 0 60000 65536"/>
            <a:gd name="T93" fmla="*/ 0 60000 65536"/>
            <a:gd name="T94" fmla="*/ 0 60000 65536"/>
            <a:gd name="T95" fmla="*/ 0 60000 65536"/>
            <a:gd name="T96" fmla="*/ 0 60000 65536"/>
            <a:gd name="T97" fmla="*/ 0 60000 65536"/>
            <a:gd name="T98" fmla="*/ 0 60000 65536"/>
            <a:gd name="T99" fmla="*/ 0 w 410"/>
            <a:gd name="T100" fmla="*/ 0 h 143"/>
            <a:gd name="T101" fmla="*/ 410 w 410"/>
            <a:gd name="T102" fmla="*/ 143 h 143"/>
          </a:gdLst>
          <a:ahLst/>
          <a:cxnLst>
            <a:cxn ang="T66">
              <a:pos x="T0" y="T1"/>
            </a:cxn>
            <a:cxn ang="T67">
              <a:pos x="T2" y="T3"/>
            </a:cxn>
            <a:cxn ang="T68">
              <a:pos x="T4" y="T5"/>
            </a:cxn>
            <a:cxn ang="T69">
              <a:pos x="T6" y="T7"/>
            </a:cxn>
            <a:cxn ang="T70">
              <a:pos x="T8" y="T9"/>
            </a:cxn>
            <a:cxn ang="T71">
              <a:pos x="T10" y="T11"/>
            </a:cxn>
            <a:cxn ang="T72">
              <a:pos x="T12" y="T13"/>
            </a:cxn>
            <a:cxn ang="T73">
              <a:pos x="T14" y="T15"/>
            </a:cxn>
            <a:cxn ang="T74">
              <a:pos x="T16" y="T17"/>
            </a:cxn>
            <a:cxn ang="T75">
              <a:pos x="T18" y="T19"/>
            </a:cxn>
            <a:cxn ang="T76">
              <a:pos x="T20" y="T21"/>
            </a:cxn>
            <a:cxn ang="T77">
              <a:pos x="T22" y="T23"/>
            </a:cxn>
            <a:cxn ang="T78">
              <a:pos x="T24" y="T25"/>
            </a:cxn>
            <a:cxn ang="T79">
              <a:pos x="T26" y="T27"/>
            </a:cxn>
            <a:cxn ang="T80">
              <a:pos x="T28" y="T29"/>
            </a:cxn>
            <a:cxn ang="T81">
              <a:pos x="T30" y="T31"/>
            </a:cxn>
            <a:cxn ang="T82">
              <a:pos x="T32" y="T33"/>
            </a:cxn>
            <a:cxn ang="T83">
              <a:pos x="T34" y="T35"/>
            </a:cxn>
            <a:cxn ang="T84">
              <a:pos x="T36" y="T37"/>
            </a:cxn>
            <a:cxn ang="T85">
              <a:pos x="T38" y="T39"/>
            </a:cxn>
            <a:cxn ang="T86">
              <a:pos x="T40" y="T41"/>
            </a:cxn>
            <a:cxn ang="T87">
              <a:pos x="T42" y="T43"/>
            </a:cxn>
            <a:cxn ang="T88">
              <a:pos x="T44" y="T45"/>
            </a:cxn>
            <a:cxn ang="T89">
              <a:pos x="T46" y="T47"/>
            </a:cxn>
            <a:cxn ang="T90">
              <a:pos x="T48" y="T49"/>
            </a:cxn>
            <a:cxn ang="T91">
              <a:pos x="T50" y="T51"/>
            </a:cxn>
            <a:cxn ang="T92">
              <a:pos x="T52" y="T53"/>
            </a:cxn>
            <a:cxn ang="T93">
              <a:pos x="T54" y="T55"/>
            </a:cxn>
            <a:cxn ang="T94">
              <a:pos x="T56" y="T57"/>
            </a:cxn>
            <a:cxn ang="T95">
              <a:pos x="T58" y="T59"/>
            </a:cxn>
            <a:cxn ang="T96">
              <a:pos x="T60" y="T61"/>
            </a:cxn>
            <a:cxn ang="T97">
              <a:pos x="T62" y="T63"/>
            </a:cxn>
            <a:cxn ang="T98">
              <a:pos x="T64" y="T65"/>
            </a:cxn>
          </a:cxnLst>
          <a:rect l="T99" t="T100" r="T101" b="T102"/>
          <a:pathLst>
            <a:path w="410" h="143">
              <a:moveTo>
                <a:pt x="410" y="0"/>
              </a:moveTo>
              <a:cubicBezTo>
                <a:pt x="404" y="2"/>
                <a:pt x="399" y="4"/>
                <a:pt x="395" y="6"/>
              </a:cubicBezTo>
              <a:cubicBezTo>
                <a:pt x="391" y="8"/>
                <a:pt x="387" y="9"/>
                <a:pt x="384" y="10"/>
              </a:cubicBezTo>
              <a:cubicBezTo>
                <a:pt x="381" y="11"/>
                <a:pt x="377" y="10"/>
                <a:pt x="375" y="11"/>
              </a:cubicBezTo>
              <a:cubicBezTo>
                <a:pt x="373" y="12"/>
                <a:pt x="374" y="17"/>
                <a:pt x="370" y="18"/>
              </a:cubicBezTo>
              <a:cubicBezTo>
                <a:pt x="366" y="19"/>
                <a:pt x="358" y="17"/>
                <a:pt x="353" y="18"/>
              </a:cubicBezTo>
              <a:cubicBezTo>
                <a:pt x="348" y="19"/>
                <a:pt x="345" y="24"/>
                <a:pt x="341" y="26"/>
              </a:cubicBezTo>
              <a:cubicBezTo>
                <a:pt x="337" y="28"/>
                <a:pt x="331" y="28"/>
                <a:pt x="328" y="29"/>
              </a:cubicBezTo>
              <a:cubicBezTo>
                <a:pt x="325" y="30"/>
                <a:pt x="324" y="33"/>
                <a:pt x="320" y="34"/>
              </a:cubicBezTo>
              <a:cubicBezTo>
                <a:pt x="316" y="35"/>
                <a:pt x="309" y="35"/>
                <a:pt x="306" y="37"/>
              </a:cubicBezTo>
              <a:cubicBezTo>
                <a:pt x="303" y="39"/>
                <a:pt x="303" y="42"/>
                <a:pt x="300" y="43"/>
              </a:cubicBezTo>
              <a:cubicBezTo>
                <a:pt x="297" y="44"/>
                <a:pt x="290" y="44"/>
                <a:pt x="286" y="45"/>
              </a:cubicBezTo>
              <a:cubicBezTo>
                <a:pt x="282" y="46"/>
                <a:pt x="279" y="49"/>
                <a:pt x="274" y="51"/>
              </a:cubicBezTo>
              <a:cubicBezTo>
                <a:pt x="269" y="53"/>
                <a:pt x="258" y="55"/>
                <a:pt x="253" y="58"/>
              </a:cubicBezTo>
              <a:cubicBezTo>
                <a:pt x="248" y="61"/>
                <a:pt x="249" y="67"/>
                <a:pt x="245" y="69"/>
              </a:cubicBezTo>
              <a:cubicBezTo>
                <a:pt x="241" y="71"/>
                <a:pt x="234" y="67"/>
                <a:pt x="228" y="69"/>
              </a:cubicBezTo>
              <a:cubicBezTo>
                <a:pt x="222" y="71"/>
                <a:pt x="213" y="77"/>
                <a:pt x="207" y="79"/>
              </a:cubicBezTo>
              <a:cubicBezTo>
                <a:pt x="201" y="81"/>
                <a:pt x="196" y="77"/>
                <a:pt x="191" y="79"/>
              </a:cubicBezTo>
              <a:cubicBezTo>
                <a:pt x="186" y="81"/>
                <a:pt x="183" y="87"/>
                <a:pt x="178" y="89"/>
              </a:cubicBezTo>
              <a:cubicBezTo>
                <a:pt x="173" y="91"/>
                <a:pt x="167" y="88"/>
                <a:pt x="163" y="90"/>
              </a:cubicBezTo>
              <a:cubicBezTo>
                <a:pt x="159" y="92"/>
                <a:pt x="158" y="97"/>
                <a:pt x="154" y="99"/>
              </a:cubicBezTo>
              <a:cubicBezTo>
                <a:pt x="150" y="101"/>
                <a:pt x="143" y="101"/>
                <a:pt x="138" y="103"/>
              </a:cubicBezTo>
              <a:cubicBezTo>
                <a:pt x="133" y="105"/>
                <a:pt x="127" y="109"/>
                <a:pt x="123" y="110"/>
              </a:cubicBezTo>
              <a:cubicBezTo>
                <a:pt x="119" y="111"/>
                <a:pt x="118" y="108"/>
                <a:pt x="114" y="109"/>
              </a:cubicBezTo>
              <a:cubicBezTo>
                <a:pt x="110" y="110"/>
                <a:pt x="102" y="117"/>
                <a:pt x="97" y="118"/>
              </a:cubicBezTo>
              <a:cubicBezTo>
                <a:pt x="92" y="119"/>
                <a:pt x="87" y="117"/>
                <a:pt x="82" y="118"/>
              </a:cubicBezTo>
              <a:cubicBezTo>
                <a:pt x="77" y="119"/>
                <a:pt x="70" y="123"/>
                <a:pt x="65" y="125"/>
              </a:cubicBezTo>
              <a:cubicBezTo>
                <a:pt x="60" y="127"/>
                <a:pt x="54" y="128"/>
                <a:pt x="51" y="129"/>
              </a:cubicBezTo>
              <a:cubicBezTo>
                <a:pt x="48" y="130"/>
                <a:pt x="48" y="132"/>
                <a:pt x="44" y="133"/>
              </a:cubicBezTo>
              <a:cubicBezTo>
                <a:pt x="40" y="134"/>
                <a:pt x="33" y="134"/>
                <a:pt x="29" y="135"/>
              </a:cubicBezTo>
              <a:cubicBezTo>
                <a:pt x="25" y="136"/>
                <a:pt x="26" y="137"/>
                <a:pt x="22" y="138"/>
              </a:cubicBezTo>
              <a:cubicBezTo>
                <a:pt x="18" y="139"/>
                <a:pt x="10" y="140"/>
                <a:pt x="6" y="141"/>
              </a:cubicBezTo>
              <a:cubicBezTo>
                <a:pt x="2" y="142"/>
                <a:pt x="2" y="142"/>
                <a:pt x="0" y="143"/>
              </a:cubicBezTo>
            </a:path>
          </a:pathLst>
        </a:custGeom>
        <a:noFill/>
        <a:ln w="1587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7</xdr:col>
      <xdr:colOff>47625</xdr:colOff>
      <xdr:row>13</xdr:row>
      <xdr:rowOff>114300</xdr:rowOff>
    </xdr:from>
    <xdr:to>
      <xdr:col>7</xdr:col>
      <xdr:colOff>200025</xdr:colOff>
      <xdr:row>14</xdr:row>
      <xdr:rowOff>47625</xdr:rowOff>
    </xdr:to>
    <xdr:sp macro="" textlink="">
      <xdr:nvSpPr>
        <xdr:cNvPr id="45" name="AutoShape 49">
          <a:extLst>
            <a:ext uri="{FF2B5EF4-FFF2-40B4-BE49-F238E27FC236}">
              <a16:creationId xmlns:a16="http://schemas.microsoft.com/office/drawing/2014/main" id="{00000000-0008-0000-0200-00002D000000}"/>
            </a:ext>
          </a:extLst>
        </xdr:cNvPr>
        <xdr:cNvSpPr>
          <a:spLocks noChangeArrowheads="1"/>
        </xdr:cNvSpPr>
      </xdr:nvSpPr>
      <xdr:spPr bwMode="auto">
        <a:xfrm>
          <a:off x="4162425" y="2286000"/>
          <a:ext cx="152400" cy="95250"/>
        </a:xfrm>
        <a:prstGeom prst="flowChartMerge">
          <a:avLst/>
        </a:prstGeom>
        <a:solidFill>
          <a:srgbClr val="FFFFFF"/>
        </a:solidFill>
        <a:ln w="19050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13</xdr:col>
      <xdr:colOff>523875</xdr:colOff>
      <xdr:row>6</xdr:row>
      <xdr:rowOff>47625</xdr:rowOff>
    </xdr:from>
    <xdr:to>
      <xdr:col>14</xdr:col>
      <xdr:colOff>66675</xdr:colOff>
      <xdr:row>6</xdr:row>
      <xdr:rowOff>142875</xdr:rowOff>
    </xdr:to>
    <xdr:sp macro="" textlink="">
      <xdr:nvSpPr>
        <xdr:cNvPr id="46" name="AutoShape 50">
          <a:extLst>
            <a:ext uri="{FF2B5EF4-FFF2-40B4-BE49-F238E27FC236}">
              <a16:creationId xmlns:a16="http://schemas.microsoft.com/office/drawing/2014/main" id="{00000000-0008-0000-0200-00002E000000}"/>
            </a:ext>
          </a:extLst>
        </xdr:cNvPr>
        <xdr:cNvSpPr>
          <a:spLocks noChangeArrowheads="1"/>
        </xdr:cNvSpPr>
      </xdr:nvSpPr>
      <xdr:spPr bwMode="auto">
        <a:xfrm>
          <a:off x="8048625" y="1085850"/>
          <a:ext cx="152400" cy="95250"/>
        </a:xfrm>
        <a:prstGeom prst="flowChartMerge">
          <a:avLst/>
        </a:prstGeom>
        <a:solidFill>
          <a:srgbClr val="FFFFFF"/>
        </a:solidFill>
        <a:ln w="19050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13</xdr:col>
      <xdr:colOff>438150</xdr:colOff>
      <xdr:row>7</xdr:row>
      <xdr:rowOff>47625</xdr:rowOff>
    </xdr:from>
    <xdr:to>
      <xdr:col>14</xdr:col>
      <xdr:colOff>228600</xdr:colOff>
      <xdr:row>7</xdr:row>
      <xdr:rowOff>47625</xdr:rowOff>
    </xdr:to>
    <xdr:sp macro="" textlink="">
      <xdr:nvSpPr>
        <xdr:cNvPr id="47" name="Line 51">
          <a:extLst>
            <a:ext uri="{FF2B5EF4-FFF2-40B4-BE49-F238E27FC236}">
              <a16:creationId xmlns:a16="http://schemas.microsoft.com/office/drawing/2014/main" id="{00000000-0008-0000-0200-00002F000000}"/>
            </a:ext>
          </a:extLst>
        </xdr:cNvPr>
        <xdr:cNvSpPr>
          <a:spLocks noChangeShapeType="1"/>
        </xdr:cNvSpPr>
      </xdr:nvSpPr>
      <xdr:spPr bwMode="auto">
        <a:xfrm>
          <a:off x="7962900" y="1247775"/>
          <a:ext cx="4000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552450</xdr:colOff>
      <xdr:row>7</xdr:row>
      <xdr:rowOff>95250</xdr:rowOff>
    </xdr:from>
    <xdr:to>
      <xdr:col>14</xdr:col>
      <xdr:colOff>142875</xdr:colOff>
      <xdr:row>7</xdr:row>
      <xdr:rowOff>95250</xdr:rowOff>
    </xdr:to>
    <xdr:sp macro="" textlink="">
      <xdr:nvSpPr>
        <xdr:cNvPr id="48" name="Line 52">
          <a:extLst>
            <a:ext uri="{FF2B5EF4-FFF2-40B4-BE49-F238E27FC236}">
              <a16:creationId xmlns:a16="http://schemas.microsoft.com/office/drawing/2014/main" id="{00000000-0008-0000-0200-000030000000}"/>
            </a:ext>
          </a:extLst>
        </xdr:cNvPr>
        <xdr:cNvSpPr>
          <a:spLocks noChangeShapeType="1"/>
        </xdr:cNvSpPr>
      </xdr:nvSpPr>
      <xdr:spPr bwMode="auto">
        <a:xfrm>
          <a:off x="8077200" y="1295400"/>
          <a:ext cx="2000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14</xdr:col>
      <xdr:colOff>28575</xdr:colOff>
      <xdr:row>7</xdr:row>
      <xdr:rowOff>142875</xdr:rowOff>
    </xdr:from>
    <xdr:to>
      <xdr:col>14</xdr:col>
      <xdr:colOff>85725</xdr:colOff>
      <xdr:row>7</xdr:row>
      <xdr:rowOff>142875</xdr:rowOff>
    </xdr:to>
    <xdr:sp macro="" textlink="">
      <xdr:nvSpPr>
        <xdr:cNvPr id="49" name="Line 53">
          <a:extLst>
            <a:ext uri="{FF2B5EF4-FFF2-40B4-BE49-F238E27FC236}">
              <a16:creationId xmlns:a16="http://schemas.microsoft.com/office/drawing/2014/main" id="{00000000-0008-0000-0200-000031000000}"/>
            </a:ext>
          </a:extLst>
        </xdr:cNvPr>
        <xdr:cNvSpPr>
          <a:spLocks noChangeShapeType="1"/>
        </xdr:cNvSpPr>
      </xdr:nvSpPr>
      <xdr:spPr bwMode="auto">
        <a:xfrm>
          <a:off x="8162925" y="1343025"/>
          <a:ext cx="571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9525</xdr:colOff>
      <xdr:row>2</xdr:row>
      <xdr:rowOff>57150</xdr:rowOff>
    </xdr:from>
    <xdr:to>
      <xdr:col>1</xdr:col>
      <xdr:colOff>19050</xdr:colOff>
      <xdr:row>9</xdr:row>
      <xdr:rowOff>133350</xdr:rowOff>
    </xdr:to>
    <xdr:sp macro="" textlink="">
      <xdr:nvSpPr>
        <xdr:cNvPr id="50" name="Line 54">
          <a:extLst>
            <a:ext uri="{FF2B5EF4-FFF2-40B4-BE49-F238E27FC236}">
              <a16:creationId xmlns:a16="http://schemas.microsoft.com/office/drawing/2014/main" id="{00000000-0008-0000-0200-000032000000}"/>
            </a:ext>
          </a:extLst>
        </xdr:cNvPr>
        <xdr:cNvSpPr>
          <a:spLocks noChangeShapeType="1"/>
        </xdr:cNvSpPr>
      </xdr:nvSpPr>
      <xdr:spPr bwMode="auto">
        <a:xfrm flipH="1">
          <a:off x="466725" y="447675"/>
          <a:ext cx="9525" cy="1209675"/>
        </a:xfrm>
        <a:prstGeom prst="line">
          <a:avLst/>
        </a:prstGeom>
        <a:noFill/>
        <a:ln w="9525">
          <a:solidFill>
            <a:srgbClr val="000000"/>
          </a:solidFill>
          <a:prstDash val="lgDashDotDot"/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9525</xdr:colOff>
      <xdr:row>8</xdr:row>
      <xdr:rowOff>152400</xdr:rowOff>
    </xdr:from>
    <xdr:to>
      <xdr:col>2</xdr:col>
      <xdr:colOff>0</xdr:colOff>
      <xdr:row>10</xdr:row>
      <xdr:rowOff>95250</xdr:rowOff>
    </xdr:to>
    <xdr:sp macro="" textlink="">
      <xdr:nvSpPr>
        <xdr:cNvPr id="51" name="Line 55">
          <a:extLst>
            <a:ext uri="{FF2B5EF4-FFF2-40B4-BE49-F238E27FC236}">
              <a16:creationId xmlns:a16="http://schemas.microsoft.com/office/drawing/2014/main" id="{00000000-0008-0000-0200-000033000000}"/>
            </a:ext>
          </a:extLst>
        </xdr:cNvPr>
        <xdr:cNvSpPr>
          <a:spLocks noChangeShapeType="1"/>
        </xdr:cNvSpPr>
      </xdr:nvSpPr>
      <xdr:spPr bwMode="auto">
        <a:xfrm>
          <a:off x="466725" y="1514475"/>
          <a:ext cx="600075" cy="26670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561975</xdr:colOff>
      <xdr:row>22</xdr:row>
      <xdr:rowOff>0</xdr:rowOff>
    </xdr:from>
    <xdr:to>
      <xdr:col>13</xdr:col>
      <xdr:colOff>38100</xdr:colOff>
      <xdr:row>22</xdr:row>
      <xdr:rowOff>9525</xdr:rowOff>
    </xdr:to>
    <xdr:sp macro="" textlink="">
      <xdr:nvSpPr>
        <xdr:cNvPr id="52" name="Line 57">
          <a:extLst>
            <a:ext uri="{FF2B5EF4-FFF2-40B4-BE49-F238E27FC236}">
              <a16:creationId xmlns:a16="http://schemas.microsoft.com/office/drawing/2014/main" id="{00000000-0008-0000-0200-000034000000}"/>
            </a:ext>
          </a:extLst>
        </xdr:cNvPr>
        <xdr:cNvSpPr>
          <a:spLocks noChangeShapeType="1"/>
        </xdr:cNvSpPr>
      </xdr:nvSpPr>
      <xdr:spPr bwMode="auto">
        <a:xfrm>
          <a:off x="1019175" y="3629025"/>
          <a:ext cx="6543675" cy="95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0</xdr:colOff>
      <xdr:row>19</xdr:row>
      <xdr:rowOff>0</xdr:rowOff>
    </xdr:from>
    <xdr:to>
      <xdr:col>14</xdr:col>
      <xdr:colOff>180975</xdr:colOff>
      <xdr:row>19</xdr:row>
      <xdr:rowOff>0</xdr:rowOff>
    </xdr:to>
    <xdr:sp macro="" textlink="">
      <xdr:nvSpPr>
        <xdr:cNvPr id="53" name="Line 63">
          <a:extLst>
            <a:ext uri="{FF2B5EF4-FFF2-40B4-BE49-F238E27FC236}">
              <a16:creationId xmlns:a16="http://schemas.microsoft.com/office/drawing/2014/main" id="{00000000-0008-0000-0200-000035000000}"/>
            </a:ext>
          </a:extLst>
        </xdr:cNvPr>
        <xdr:cNvSpPr>
          <a:spLocks noChangeShapeType="1"/>
        </xdr:cNvSpPr>
      </xdr:nvSpPr>
      <xdr:spPr bwMode="auto">
        <a:xfrm>
          <a:off x="7524750" y="3143250"/>
          <a:ext cx="7905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276225</xdr:colOff>
      <xdr:row>6</xdr:row>
      <xdr:rowOff>123825</xdr:rowOff>
    </xdr:from>
    <xdr:to>
      <xdr:col>13</xdr:col>
      <xdr:colOff>276225</xdr:colOff>
      <xdr:row>19</xdr:row>
      <xdr:rowOff>38100</xdr:rowOff>
    </xdr:to>
    <xdr:sp macro="" textlink="">
      <xdr:nvSpPr>
        <xdr:cNvPr id="54" name="Line 64">
          <a:extLst>
            <a:ext uri="{FF2B5EF4-FFF2-40B4-BE49-F238E27FC236}">
              <a16:creationId xmlns:a16="http://schemas.microsoft.com/office/drawing/2014/main" id="{00000000-0008-0000-0200-000036000000}"/>
            </a:ext>
          </a:extLst>
        </xdr:cNvPr>
        <xdr:cNvSpPr>
          <a:spLocks noChangeShapeType="1"/>
        </xdr:cNvSpPr>
      </xdr:nvSpPr>
      <xdr:spPr bwMode="auto">
        <a:xfrm>
          <a:off x="7800975" y="1162050"/>
          <a:ext cx="0" cy="20193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</xdr:col>
      <xdr:colOff>523875</xdr:colOff>
      <xdr:row>19</xdr:row>
      <xdr:rowOff>0</xdr:rowOff>
    </xdr:from>
    <xdr:to>
      <xdr:col>9</xdr:col>
      <xdr:colOff>114300</xdr:colOff>
      <xdr:row>19</xdr:row>
      <xdr:rowOff>95250</xdr:rowOff>
    </xdr:to>
    <xdr:sp macro="" textlink="">
      <xdr:nvSpPr>
        <xdr:cNvPr id="55" name="AutoShape 65">
          <a:extLst>
            <a:ext uri="{FF2B5EF4-FFF2-40B4-BE49-F238E27FC236}">
              <a16:creationId xmlns:a16="http://schemas.microsoft.com/office/drawing/2014/main" id="{00000000-0008-0000-0200-000037000000}"/>
            </a:ext>
          </a:extLst>
        </xdr:cNvPr>
        <xdr:cNvSpPr>
          <a:spLocks noChangeArrowheads="1"/>
        </xdr:cNvSpPr>
      </xdr:nvSpPr>
      <xdr:spPr bwMode="auto">
        <a:xfrm>
          <a:off x="5248275" y="3143250"/>
          <a:ext cx="200025" cy="95250"/>
        </a:xfrm>
        <a:prstGeom prst="flowChartExtract">
          <a:avLst/>
        </a:prstGeom>
        <a:solidFill>
          <a:srgbClr val="FFFFFF"/>
        </a:solidFill>
        <a:ln w="19050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14</xdr:col>
      <xdr:colOff>152400</xdr:colOff>
      <xdr:row>12</xdr:row>
      <xdr:rowOff>76200</xdr:rowOff>
    </xdr:from>
    <xdr:to>
      <xdr:col>14</xdr:col>
      <xdr:colOff>152400</xdr:colOff>
      <xdr:row>19</xdr:row>
      <xdr:rowOff>38100</xdr:rowOff>
    </xdr:to>
    <xdr:sp macro="" textlink="">
      <xdr:nvSpPr>
        <xdr:cNvPr id="56" name="Line 66">
          <a:extLst>
            <a:ext uri="{FF2B5EF4-FFF2-40B4-BE49-F238E27FC236}">
              <a16:creationId xmlns:a16="http://schemas.microsoft.com/office/drawing/2014/main" id="{00000000-0008-0000-0200-000038000000}"/>
            </a:ext>
          </a:extLst>
        </xdr:cNvPr>
        <xdr:cNvSpPr>
          <a:spLocks noChangeShapeType="1"/>
        </xdr:cNvSpPr>
      </xdr:nvSpPr>
      <xdr:spPr bwMode="auto">
        <a:xfrm>
          <a:off x="8286750" y="2085975"/>
          <a:ext cx="0" cy="10953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523875</xdr:colOff>
      <xdr:row>19</xdr:row>
      <xdr:rowOff>11206</xdr:rowOff>
    </xdr:from>
    <xdr:to>
      <xdr:col>14</xdr:col>
      <xdr:colOff>114300</xdr:colOff>
      <xdr:row>19</xdr:row>
      <xdr:rowOff>106456</xdr:rowOff>
    </xdr:to>
    <xdr:sp macro="" textlink="">
      <xdr:nvSpPr>
        <xdr:cNvPr id="57" name="AutoShape 67">
          <a:extLst>
            <a:ext uri="{FF2B5EF4-FFF2-40B4-BE49-F238E27FC236}">
              <a16:creationId xmlns:a16="http://schemas.microsoft.com/office/drawing/2014/main" id="{00000000-0008-0000-0200-000039000000}"/>
            </a:ext>
          </a:extLst>
        </xdr:cNvPr>
        <xdr:cNvSpPr>
          <a:spLocks noChangeArrowheads="1"/>
        </xdr:cNvSpPr>
      </xdr:nvSpPr>
      <xdr:spPr bwMode="auto">
        <a:xfrm>
          <a:off x="8048625" y="3154456"/>
          <a:ext cx="200025" cy="95250"/>
        </a:xfrm>
        <a:prstGeom prst="flowChartExtract">
          <a:avLst/>
        </a:prstGeom>
        <a:solidFill>
          <a:srgbClr val="FFFFFF"/>
        </a:solidFill>
        <a:ln w="19050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7</xdr:col>
      <xdr:colOff>142875</xdr:colOff>
      <xdr:row>14</xdr:row>
      <xdr:rowOff>38100</xdr:rowOff>
    </xdr:from>
    <xdr:to>
      <xdr:col>8</xdr:col>
      <xdr:colOff>133350</xdr:colOff>
      <xdr:row>14</xdr:row>
      <xdr:rowOff>38100</xdr:rowOff>
    </xdr:to>
    <xdr:sp macro="" textlink="">
      <xdr:nvSpPr>
        <xdr:cNvPr id="58" name="Line 68">
          <a:extLst>
            <a:ext uri="{FF2B5EF4-FFF2-40B4-BE49-F238E27FC236}">
              <a16:creationId xmlns:a16="http://schemas.microsoft.com/office/drawing/2014/main" id="{00000000-0008-0000-0200-00003A000000}"/>
            </a:ext>
          </a:extLst>
        </xdr:cNvPr>
        <xdr:cNvSpPr>
          <a:spLocks noChangeShapeType="1"/>
        </xdr:cNvSpPr>
      </xdr:nvSpPr>
      <xdr:spPr bwMode="auto">
        <a:xfrm>
          <a:off x="4257675" y="2371725"/>
          <a:ext cx="6000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</xdr:col>
      <xdr:colOff>0</xdr:colOff>
      <xdr:row>14</xdr:row>
      <xdr:rowOff>9525</xdr:rowOff>
    </xdr:from>
    <xdr:to>
      <xdr:col>8</xdr:col>
      <xdr:colOff>0</xdr:colOff>
      <xdr:row>17</xdr:row>
      <xdr:rowOff>85725</xdr:rowOff>
    </xdr:to>
    <xdr:sp macro="" textlink="">
      <xdr:nvSpPr>
        <xdr:cNvPr id="59" name="Line 69">
          <a:extLst>
            <a:ext uri="{FF2B5EF4-FFF2-40B4-BE49-F238E27FC236}">
              <a16:creationId xmlns:a16="http://schemas.microsoft.com/office/drawing/2014/main" id="{00000000-0008-0000-0200-00003B000000}"/>
            </a:ext>
          </a:extLst>
        </xdr:cNvPr>
        <xdr:cNvSpPr>
          <a:spLocks noChangeShapeType="1"/>
        </xdr:cNvSpPr>
      </xdr:nvSpPr>
      <xdr:spPr bwMode="auto">
        <a:xfrm>
          <a:off x="4724400" y="2343150"/>
          <a:ext cx="0" cy="5619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571500</xdr:colOff>
      <xdr:row>13</xdr:row>
      <xdr:rowOff>152400</xdr:rowOff>
    </xdr:from>
    <xdr:to>
      <xdr:col>8</xdr:col>
      <xdr:colOff>47625</xdr:colOff>
      <xdr:row>14</xdr:row>
      <xdr:rowOff>66675</xdr:rowOff>
    </xdr:to>
    <xdr:sp macro="" textlink="">
      <xdr:nvSpPr>
        <xdr:cNvPr id="60" name="Line 70">
          <a:extLst>
            <a:ext uri="{FF2B5EF4-FFF2-40B4-BE49-F238E27FC236}">
              <a16:creationId xmlns:a16="http://schemas.microsoft.com/office/drawing/2014/main" id="{00000000-0008-0000-0200-00003C000000}"/>
            </a:ext>
          </a:extLst>
        </xdr:cNvPr>
        <xdr:cNvSpPr>
          <a:spLocks noChangeShapeType="1"/>
        </xdr:cNvSpPr>
      </xdr:nvSpPr>
      <xdr:spPr bwMode="auto">
        <a:xfrm flipH="1">
          <a:off x="4686300" y="2324100"/>
          <a:ext cx="85725" cy="762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30</xdr:row>
      <xdr:rowOff>95250</xdr:rowOff>
    </xdr:from>
    <xdr:to>
      <xdr:col>13</xdr:col>
      <xdr:colOff>0</xdr:colOff>
      <xdr:row>30</xdr:row>
      <xdr:rowOff>95250</xdr:rowOff>
    </xdr:to>
    <xdr:sp macro="" textlink="">
      <xdr:nvSpPr>
        <xdr:cNvPr id="61" name="Line 72">
          <a:extLst>
            <a:ext uri="{FF2B5EF4-FFF2-40B4-BE49-F238E27FC236}">
              <a16:creationId xmlns:a16="http://schemas.microsoft.com/office/drawing/2014/main" id="{00000000-0008-0000-0200-00003D000000}"/>
            </a:ext>
          </a:extLst>
        </xdr:cNvPr>
        <xdr:cNvSpPr>
          <a:spLocks noChangeShapeType="1"/>
        </xdr:cNvSpPr>
      </xdr:nvSpPr>
      <xdr:spPr bwMode="auto">
        <a:xfrm>
          <a:off x="3505200" y="5019675"/>
          <a:ext cx="401955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32</xdr:row>
      <xdr:rowOff>152400</xdr:rowOff>
    </xdr:from>
    <xdr:to>
      <xdr:col>13</xdr:col>
      <xdr:colOff>0</xdr:colOff>
      <xdr:row>32</xdr:row>
      <xdr:rowOff>152400</xdr:rowOff>
    </xdr:to>
    <xdr:sp macro="" textlink="">
      <xdr:nvSpPr>
        <xdr:cNvPr id="62" name="Line 73">
          <a:extLst>
            <a:ext uri="{FF2B5EF4-FFF2-40B4-BE49-F238E27FC236}">
              <a16:creationId xmlns:a16="http://schemas.microsoft.com/office/drawing/2014/main" id="{00000000-0008-0000-0200-00003E000000}"/>
            </a:ext>
          </a:extLst>
        </xdr:cNvPr>
        <xdr:cNvSpPr>
          <a:spLocks noChangeShapeType="1"/>
        </xdr:cNvSpPr>
      </xdr:nvSpPr>
      <xdr:spPr bwMode="auto">
        <a:xfrm>
          <a:off x="3505200" y="5400675"/>
          <a:ext cx="4019550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30</xdr:row>
      <xdr:rowOff>95250</xdr:rowOff>
    </xdr:from>
    <xdr:to>
      <xdr:col>6</xdr:col>
      <xdr:colOff>0</xdr:colOff>
      <xdr:row>32</xdr:row>
      <xdr:rowOff>152400</xdr:rowOff>
    </xdr:to>
    <xdr:sp macro="" textlink="">
      <xdr:nvSpPr>
        <xdr:cNvPr id="63" name="Line 75">
          <a:extLst>
            <a:ext uri="{FF2B5EF4-FFF2-40B4-BE49-F238E27FC236}">
              <a16:creationId xmlns:a16="http://schemas.microsoft.com/office/drawing/2014/main" id="{00000000-0008-0000-0200-00003F000000}"/>
            </a:ext>
          </a:extLst>
        </xdr:cNvPr>
        <xdr:cNvSpPr>
          <a:spLocks noChangeShapeType="1"/>
        </xdr:cNvSpPr>
      </xdr:nvSpPr>
      <xdr:spPr bwMode="auto">
        <a:xfrm>
          <a:off x="3505200" y="5019675"/>
          <a:ext cx="0" cy="3810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142875</xdr:colOff>
      <xdr:row>30</xdr:row>
      <xdr:rowOff>95250</xdr:rowOff>
    </xdr:from>
    <xdr:to>
      <xdr:col>7</xdr:col>
      <xdr:colOff>142875</xdr:colOff>
      <xdr:row>32</xdr:row>
      <xdr:rowOff>114300</xdr:rowOff>
    </xdr:to>
    <xdr:sp macro="" textlink="">
      <xdr:nvSpPr>
        <xdr:cNvPr id="64" name="Line 77">
          <a:extLst>
            <a:ext uri="{FF2B5EF4-FFF2-40B4-BE49-F238E27FC236}">
              <a16:creationId xmlns:a16="http://schemas.microsoft.com/office/drawing/2014/main" id="{00000000-0008-0000-0200-000040000000}"/>
            </a:ext>
          </a:extLst>
        </xdr:cNvPr>
        <xdr:cNvSpPr>
          <a:spLocks noChangeShapeType="1"/>
        </xdr:cNvSpPr>
      </xdr:nvSpPr>
      <xdr:spPr bwMode="auto">
        <a:xfrm flipV="1">
          <a:off x="4257675" y="5019675"/>
          <a:ext cx="0" cy="3429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30</xdr:row>
      <xdr:rowOff>95250</xdr:rowOff>
    </xdr:from>
    <xdr:to>
      <xdr:col>6</xdr:col>
      <xdr:colOff>0</xdr:colOff>
      <xdr:row>32</xdr:row>
      <xdr:rowOff>152400</xdr:rowOff>
    </xdr:to>
    <xdr:sp macro="" textlink="">
      <xdr:nvSpPr>
        <xdr:cNvPr id="65" name="Line 78">
          <a:extLst>
            <a:ext uri="{FF2B5EF4-FFF2-40B4-BE49-F238E27FC236}">
              <a16:creationId xmlns:a16="http://schemas.microsoft.com/office/drawing/2014/main" id="{00000000-0008-0000-0200-000041000000}"/>
            </a:ext>
          </a:extLst>
        </xdr:cNvPr>
        <xdr:cNvSpPr>
          <a:spLocks noChangeShapeType="1"/>
        </xdr:cNvSpPr>
      </xdr:nvSpPr>
      <xdr:spPr bwMode="auto">
        <a:xfrm flipV="1">
          <a:off x="3505200" y="5019675"/>
          <a:ext cx="0" cy="3810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9525</xdr:colOff>
      <xdr:row>30</xdr:row>
      <xdr:rowOff>85725</xdr:rowOff>
    </xdr:from>
    <xdr:to>
      <xdr:col>13</xdr:col>
      <xdr:colOff>9525</xdr:colOff>
      <xdr:row>33</xdr:row>
      <xdr:rowOff>0</xdr:rowOff>
    </xdr:to>
    <xdr:sp macro="" textlink="">
      <xdr:nvSpPr>
        <xdr:cNvPr id="66" name="Line 79">
          <a:extLst>
            <a:ext uri="{FF2B5EF4-FFF2-40B4-BE49-F238E27FC236}">
              <a16:creationId xmlns:a16="http://schemas.microsoft.com/office/drawing/2014/main" id="{00000000-0008-0000-0200-000042000000}"/>
            </a:ext>
          </a:extLst>
        </xdr:cNvPr>
        <xdr:cNvSpPr>
          <a:spLocks noChangeShapeType="1"/>
        </xdr:cNvSpPr>
      </xdr:nvSpPr>
      <xdr:spPr bwMode="auto">
        <a:xfrm flipV="1">
          <a:off x="7534275" y="5010150"/>
          <a:ext cx="0" cy="4000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428625</xdr:colOff>
      <xdr:row>25</xdr:row>
      <xdr:rowOff>123825</xdr:rowOff>
    </xdr:from>
    <xdr:to>
      <xdr:col>6</xdr:col>
      <xdr:colOff>0</xdr:colOff>
      <xdr:row>30</xdr:row>
      <xdr:rowOff>85725</xdr:rowOff>
    </xdr:to>
    <xdr:sp macro="" textlink="">
      <xdr:nvSpPr>
        <xdr:cNvPr id="67" name="Line 80">
          <a:extLst>
            <a:ext uri="{FF2B5EF4-FFF2-40B4-BE49-F238E27FC236}">
              <a16:creationId xmlns:a16="http://schemas.microsoft.com/office/drawing/2014/main" id="{00000000-0008-0000-0200-000043000000}"/>
            </a:ext>
          </a:extLst>
        </xdr:cNvPr>
        <xdr:cNvSpPr>
          <a:spLocks noChangeShapeType="1"/>
        </xdr:cNvSpPr>
      </xdr:nvSpPr>
      <xdr:spPr bwMode="auto">
        <a:xfrm flipH="1" flipV="1">
          <a:off x="2105025" y="4238625"/>
          <a:ext cx="1400175" cy="771525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438150</xdr:colOff>
      <xdr:row>25</xdr:row>
      <xdr:rowOff>133350</xdr:rowOff>
    </xdr:from>
    <xdr:to>
      <xdr:col>6</xdr:col>
      <xdr:colOff>0</xdr:colOff>
      <xdr:row>32</xdr:row>
      <xdr:rowOff>152400</xdr:rowOff>
    </xdr:to>
    <xdr:sp macro="" textlink="">
      <xdr:nvSpPr>
        <xdr:cNvPr id="68" name="Line 81">
          <a:extLst>
            <a:ext uri="{FF2B5EF4-FFF2-40B4-BE49-F238E27FC236}">
              <a16:creationId xmlns:a16="http://schemas.microsoft.com/office/drawing/2014/main" id="{00000000-0008-0000-0200-000044000000}"/>
            </a:ext>
          </a:extLst>
        </xdr:cNvPr>
        <xdr:cNvSpPr>
          <a:spLocks noChangeShapeType="1"/>
        </xdr:cNvSpPr>
      </xdr:nvSpPr>
      <xdr:spPr bwMode="auto">
        <a:xfrm flipH="1" flipV="1">
          <a:off x="2114550" y="4248150"/>
          <a:ext cx="1390650" cy="1152525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114300</xdr:colOff>
      <xdr:row>19</xdr:row>
      <xdr:rowOff>0</xdr:rowOff>
    </xdr:from>
    <xdr:to>
      <xdr:col>7</xdr:col>
      <xdr:colOff>152400</xdr:colOff>
      <xdr:row>19</xdr:row>
      <xdr:rowOff>47625</xdr:rowOff>
    </xdr:to>
    <xdr:sp macro="" textlink="">
      <xdr:nvSpPr>
        <xdr:cNvPr id="69" name="AutoShape 82">
          <a:extLst>
            <a:ext uri="{FF2B5EF4-FFF2-40B4-BE49-F238E27FC236}">
              <a16:creationId xmlns:a16="http://schemas.microsoft.com/office/drawing/2014/main" id="{00000000-0008-0000-0200-000045000000}"/>
            </a:ext>
          </a:extLst>
        </xdr:cNvPr>
        <xdr:cNvSpPr>
          <a:spLocks noChangeArrowheads="1"/>
        </xdr:cNvSpPr>
      </xdr:nvSpPr>
      <xdr:spPr bwMode="auto">
        <a:xfrm>
          <a:off x="4229100" y="3143250"/>
          <a:ext cx="38100" cy="47625"/>
        </a:xfrm>
        <a:prstGeom prst="flowChartConnector">
          <a:avLst/>
        </a:prstGeom>
        <a:solidFill>
          <a:srgbClr val="FFFFFF"/>
        </a:solidFill>
        <a:ln w="19050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7</xdr:col>
      <xdr:colOff>590550</xdr:colOff>
      <xdr:row>16</xdr:row>
      <xdr:rowOff>95250</xdr:rowOff>
    </xdr:from>
    <xdr:to>
      <xdr:col>8</xdr:col>
      <xdr:colOff>47625</xdr:colOff>
      <xdr:row>17</xdr:row>
      <xdr:rowOff>9525</xdr:rowOff>
    </xdr:to>
    <xdr:sp macro="" textlink="">
      <xdr:nvSpPr>
        <xdr:cNvPr id="70" name="Line 83">
          <a:extLst>
            <a:ext uri="{FF2B5EF4-FFF2-40B4-BE49-F238E27FC236}">
              <a16:creationId xmlns:a16="http://schemas.microsoft.com/office/drawing/2014/main" id="{00000000-0008-0000-0200-000046000000}"/>
            </a:ext>
          </a:extLst>
        </xdr:cNvPr>
        <xdr:cNvSpPr>
          <a:spLocks noChangeShapeType="1"/>
        </xdr:cNvSpPr>
      </xdr:nvSpPr>
      <xdr:spPr bwMode="auto">
        <a:xfrm flipH="1">
          <a:off x="4705350" y="2752725"/>
          <a:ext cx="66675" cy="762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11</xdr:col>
      <xdr:colOff>28575</xdr:colOff>
      <xdr:row>74</xdr:row>
      <xdr:rowOff>76200</xdr:rowOff>
    </xdr:from>
    <xdr:to>
      <xdr:col>12</xdr:col>
      <xdr:colOff>171450</xdr:colOff>
      <xdr:row>79</xdr:row>
      <xdr:rowOff>0</xdr:rowOff>
    </xdr:to>
    <xdr:sp macro="" textlink="">
      <xdr:nvSpPr>
        <xdr:cNvPr id="71" name="AutoShape 90">
          <a:extLst>
            <a:ext uri="{FF2B5EF4-FFF2-40B4-BE49-F238E27FC236}">
              <a16:creationId xmlns:a16="http://schemas.microsoft.com/office/drawing/2014/main" id="{00000000-0008-0000-0200-000047000000}"/>
            </a:ext>
          </a:extLst>
        </xdr:cNvPr>
        <xdr:cNvSpPr>
          <a:spLocks noChangeArrowheads="1"/>
        </xdr:cNvSpPr>
      </xdr:nvSpPr>
      <xdr:spPr bwMode="auto">
        <a:xfrm>
          <a:off x="6400800" y="13401675"/>
          <a:ext cx="685800" cy="733425"/>
        </a:xfrm>
        <a:custGeom>
          <a:avLst/>
          <a:gdLst>
            <a:gd name="T0" fmla="*/ 342900 w 21600"/>
            <a:gd name="T1" fmla="*/ 0 h 21600"/>
            <a:gd name="T2" fmla="*/ 100425 w 21600"/>
            <a:gd name="T3" fmla="*/ 107399 h 21600"/>
            <a:gd name="T4" fmla="*/ 0 w 21600"/>
            <a:gd name="T5" fmla="*/ 366713 h 21600"/>
            <a:gd name="T6" fmla="*/ 100425 w 21600"/>
            <a:gd name="T7" fmla="*/ 626026 h 21600"/>
            <a:gd name="T8" fmla="*/ 342900 w 21600"/>
            <a:gd name="T9" fmla="*/ 733425 h 21600"/>
            <a:gd name="T10" fmla="*/ 585375 w 21600"/>
            <a:gd name="T11" fmla="*/ 626026 h 21600"/>
            <a:gd name="T12" fmla="*/ 685800 w 21600"/>
            <a:gd name="T13" fmla="*/ 366713 h 21600"/>
            <a:gd name="T14" fmla="*/ 585375 w 21600"/>
            <a:gd name="T15" fmla="*/ 107399 h 21600"/>
            <a:gd name="T16" fmla="*/ 0 60000 65536"/>
            <a:gd name="T17" fmla="*/ 0 60000 65536"/>
            <a:gd name="T18" fmla="*/ 0 60000 65536"/>
            <a:gd name="T19" fmla="*/ 0 60000 65536"/>
            <a:gd name="T20" fmla="*/ 0 60000 65536"/>
            <a:gd name="T21" fmla="*/ 0 60000 65536"/>
            <a:gd name="T22" fmla="*/ 0 60000 65536"/>
            <a:gd name="T23" fmla="*/ 0 60000 65536"/>
            <a:gd name="T24" fmla="*/ 3163 w 21600"/>
            <a:gd name="T25" fmla="*/ 3163 h 21600"/>
            <a:gd name="T26" fmla="*/ 18437 w 21600"/>
            <a:gd name="T27" fmla="*/ 18437 h 21600"/>
          </a:gdLst>
          <a:ahLst/>
          <a:cxnLst>
            <a:cxn ang="T16">
              <a:pos x="T0" y="T1"/>
            </a:cxn>
            <a:cxn ang="T17">
              <a:pos x="T2" y="T3"/>
            </a:cxn>
            <a:cxn ang="T18">
              <a:pos x="T4" y="T5"/>
            </a:cxn>
            <a:cxn ang="T19">
              <a:pos x="T6" y="T7"/>
            </a:cxn>
            <a:cxn ang="T20">
              <a:pos x="T8" y="T9"/>
            </a:cxn>
            <a:cxn ang="T21">
              <a:pos x="T10" y="T11"/>
            </a:cxn>
            <a:cxn ang="T22">
              <a:pos x="T12" y="T13"/>
            </a:cxn>
            <a:cxn ang="T23">
              <a:pos x="T14" y="T15"/>
            </a:cxn>
          </a:cxnLst>
          <a:rect l="T24" t="T25" r="T26" b="T27"/>
          <a:pathLst>
            <a:path w="21600" h="21600">
              <a:moveTo>
                <a:pt x="0" y="10800"/>
              </a:moveTo>
              <a:cubicBezTo>
                <a:pt x="0" y="4835"/>
                <a:pt x="4835" y="0"/>
                <a:pt x="10800" y="0"/>
              </a:cubicBezTo>
              <a:cubicBezTo>
                <a:pt x="16765" y="0"/>
                <a:pt x="21600" y="4835"/>
                <a:pt x="21600" y="10800"/>
              </a:cubicBezTo>
              <a:cubicBezTo>
                <a:pt x="21600" y="16765"/>
                <a:pt x="16765" y="21600"/>
                <a:pt x="10800" y="21600"/>
              </a:cubicBezTo>
              <a:cubicBezTo>
                <a:pt x="4835" y="21600"/>
                <a:pt x="0" y="16765"/>
                <a:pt x="0" y="10800"/>
              </a:cubicBezTo>
              <a:close/>
              <a:moveTo>
                <a:pt x="5400" y="10800"/>
              </a:moveTo>
              <a:cubicBezTo>
                <a:pt x="5400" y="13782"/>
                <a:pt x="7818" y="16200"/>
                <a:pt x="10800" y="16200"/>
              </a:cubicBezTo>
              <a:cubicBezTo>
                <a:pt x="13782" y="16200"/>
                <a:pt x="16200" y="13782"/>
                <a:pt x="16200" y="10800"/>
              </a:cubicBezTo>
              <a:cubicBezTo>
                <a:pt x="16200" y="7818"/>
                <a:pt x="13782" y="5400"/>
                <a:pt x="10800" y="5400"/>
              </a:cubicBezTo>
              <a:cubicBezTo>
                <a:pt x="7818" y="5400"/>
                <a:pt x="5400" y="7818"/>
                <a:pt x="5400" y="10800"/>
              </a:cubicBezTo>
              <a:close/>
            </a:path>
          </a:pathLst>
        </a:custGeom>
        <a:solidFill>
          <a:srgbClr val="FFFFFF">
            <a:alpha val="98038"/>
          </a:srgbClr>
        </a:solidFill>
        <a:ln w="19050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11</xdr:col>
      <xdr:colOff>428625</xdr:colOff>
      <xdr:row>75</xdr:row>
      <xdr:rowOff>85725</xdr:rowOff>
    </xdr:from>
    <xdr:to>
      <xdr:col>13</xdr:col>
      <xdr:colOff>57150</xdr:colOff>
      <xdr:row>75</xdr:row>
      <xdr:rowOff>85725</xdr:rowOff>
    </xdr:to>
    <xdr:sp macro="" textlink="">
      <xdr:nvSpPr>
        <xdr:cNvPr id="72" name="Line 91">
          <a:extLst>
            <a:ext uri="{FF2B5EF4-FFF2-40B4-BE49-F238E27FC236}">
              <a16:creationId xmlns:a16="http://schemas.microsoft.com/office/drawing/2014/main" id="{00000000-0008-0000-0200-000048000000}"/>
            </a:ext>
          </a:extLst>
        </xdr:cNvPr>
        <xdr:cNvSpPr>
          <a:spLocks noChangeShapeType="1"/>
        </xdr:cNvSpPr>
      </xdr:nvSpPr>
      <xdr:spPr bwMode="auto">
        <a:xfrm>
          <a:off x="6800850" y="13573125"/>
          <a:ext cx="7810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11</xdr:col>
      <xdr:colOff>381000</xdr:colOff>
      <xdr:row>77</xdr:row>
      <xdr:rowOff>133350</xdr:rowOff>
    </xdr:from>
    <xdr:to>
      <xdr:col>13</xdr:col>
      <xdr:colOff>76200</xdr:colOff>
      <xdr:row>77</xdr:row>
      <xdr:rowOff>133350</xdr:rowOff>
    </xdr:to>
    <xdr:sp macro="" textlink="">
      <xdr:nvSpPr>
        <xdr:cNvPr id="73" name="Line 92">
          <a:extLst>
            <a:ext uri="{FF2B5EF4-FFF2-40B4-BE49-F238E27FC236}">
              <a16:creationId xmlns:a16="http://schemas.microsoft.com/office/drawing/2014/main" id="{00000000-0008-0000-0200-000049000000}"/>
            </a:ext>
          </a:extLst>
        </xdr:cNvPr>
        <xdr:cNvSpPr>
          <a:spLocks noChangeShapeType="1"/>
        </xdr:cNvSpPr>
      </xdr:nvSpPr>
      <xdr:spPr bwMode="auto">
        <a:xfrm>
          <a:off x="6753225" y="13944600"/>
          <a:ext cx="8477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9525</xdr:colOff>
      <xdr:row>75</xdr:row>
      <xdr:rowOff>38100</xdr:rowOff>
    </xdr:from>
    <xdr:to>
      <xdr:col>13</xdr:col>
      <xdr:colOff>9525</xdr:colOff>
      <xdr:row>78</xdr:row>
      <xdr:rowOff>38100</xdr:rowOff>
    </xdr:to>
    <xdr:sp macro="" textlink="">
      <xdr:nvSpPr>
        <xdr:cNvPr id="74" name="Line 93">
          <a:extLst>
            <a:ext uri="{FF2B5EF4-FFF2-40B4-BE49-F238E27FC236}">
              <a16:creationId xmlns:a16="http://schemas.microsoft.com/office/drawing/2014/main" id="{00000000-0008-0000-0200-00004A000000}"/>
            </a:ext>
          </a:extLst>
        </xdr:cNvPr>
        <xdr:cNvSpPr>
          <a:spLocks noChangeShapeType="1"/>
        </xdr:cNvSpPr>
      </xdr:nvSpPr>
      <xdr:spPr bwMode="auto">
        <a:xfrm>
          <a:off x="7534275" y="13525500"/>
          <a:ext cx="0" cy="485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11</xdr:col>
      <xdr:colOff>19050</xdr:colOff>
      <xdr:row>72</xdr:row>
      <xdr:rowOff>152400</xdr:rowOff>
    </xdr:from>
    <xdr:to>
      <xdr:col>11</xdr:col>
      <xdr:colOff>19050</xdr:colOff>
      <xdr:row>76</xdr:row>
      <xdr:rowOff>104775</xdr:rowOff>
    </xdr:to>
    <xdr:sp macro="" textlink="">
      <xdr:nvSpPr>
        <xdr:cNvPr id="75" name="Line 94">
          <a:extLst>
            <a:ext uri="{FF2B5EF4-FFF2-40B4-BE49-F238E27FC236}">
              <a16:creationId xmlns:a16="http://schemas.microsoft.com/office/drawing/2014/main" id="{00000000-0008-0000-0200-00004B000000}"/>
            </a:ext>
          </a:extLst>
        </xdr:cNvPr>
        <xdr:cNvSpPr>
          <a:spLocks noChangeShapeType="1"/>
        </xdr:cNvSpPr>
      </xdr:nvSpPr>
      <xdr:spPr bwMode="auto">
        <a:xfrm>
          <a:off x="6391275" y="13154025"/>
          <a:ext cx="0" cy="6000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161925</xdr:colOff>
      <xdr:row>72</xdr:row>
      <xdr:rowOff>152400</xdr:rowOff>
    </xdr:from>
    <xdr:to>
      <xdr:col>12</xdr:col>
      <xdr:colOff>161925</xdr:colOff>
      <xdr:row>76</xdr:row>
      <xdr:rowOff>133350</xdr:rowOff>
    </xdr:to>
    <xdr:sp macro="" textlink="">
      <xdr:nvSpPr>
        <xdr:cNvPr id="76" name="Line 95">
          <a:extLst>
            <a:ext uri="{FF2B5EF4-FFF2-40B4-BE49-F238E27FC236}">
              <a16:creationId xmlns:a16="http://schemas.microsoft.com/office/drawing/2014/main" id="{00000000-0008-0000-0200-00004C000000}"/>
            </a:ext>
          </a:extLst>
        </xdr:cNvPr>
        <xdr:cNvSpPr>
          <a:spLocks noChangeShapeType="1"/>
        </xdr:cNvSpPr>
      </xdr:nvSpPr>
      <xdr:spPr bwMode="auto">
        <a:xfrm>
          <a:off x="7077075" y="13154025"/>
          <a:ext cx="0" cy="6286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571500</xdr:colOff>
      <xdr:row>73</xdr:row>
      <xdr:rowOff>47625</xdr:rowOff>
    </xdr:from>
    <xdr:to>
      <xdr:col>12</xdr:col>
      <xdr:colOff>238125</xdr:colOff>
      <xdr:row>73</xdr:row>
      <xdr:rowOff>47625</xdr:rowOff>
    </xdr:to>
    <xdr:sp macro="" textlink="">
      <xdr:nvSpPr>
        <xdr:cNvPr id="77" name="Line 96">
          <a:extLst>
            <a:ext uri="{FF2B5EF4-FFF2-40B4-BE49-F238E27FC236}">
              <a16:creationId xmlns:a16="http://schemas.microsoft.com/office/drawing/2014/main" id="{00000000-0008-0000-0200-00004D000000}"/>
            </a:ext>
          </a:extLst>
        </xdr:cNvPr>
        <xdr:cNvSpPr>
          <a:spLocks noChangeShapeType="1"/>
        </xdr:cNvSpPr>
      </xdr:nvSpPr>
      <xdr:spPr bwMode="auto">
        <a:xfrm>
          <a:off x="6372225" y="13211175"/>
          <a:ext cx="7810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561975</xdr:colOff>
      <xdr:row>77</xdr:row>
      <xdr:rowOff>9525</xdr:rowOff>
    </xdr:from>
    <xdr:to>
      <xdr:col>11</xdr:col>
      <xdr:colOff>9525</xdr:colOff>
      <xdr:row>77</xdr:row>
      <xdr:rowOff>104775</xdr:rowOff>
    </xdr:to>
    <xdr:sp macro="" textlink="">
      <xdr:nvSpPr>
        <xdr:cNvPr id="78" name="Line 97">
          <a:extLst>
            <a:ext uri="{FF2B5EF4-FFF2-40B4-BE49-F238E27FC236}">
              <a16:creationId xmlns:a16="http://schemas.microsoft.com/office/drawing/2014/main" id="{00000000-0008-0000-0200-00004E000000}"/>
            </a:ext>
          </a:extLst>
        </xdr:cNvPr>
        <xdr:cNvSpPr>
          <a:spLocks noChangeShapeType="1"/>
        </xdr:cNvSpPr>
      </xdr:nvSpPr>
      <xdr:spPr bwMode="auto">
        <a:xfrm flipH="1">
          <a:off x="6372225" y="13820775"/>
          <a:ext cx="9525" cy="952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590550</xdr:colOff>
      <xdr:row>77</xdr:row>
      <xdr:rowOff>114300</xdr:rowOff>
    </xdr:from>
    <xdr:to>
      <xdr:col>11</xdr:col>
      <xdr:colOff>47625</xdr:colOff>
      <xdr:row>78</xdr:row>
      <xdr:rowOff>19050</xdr:rowOff>
    </xdr:to>
    <xdr:sp macro="" textlink="">
      <xdr:nvSpPr>
        <xdr:cNvPr id="79" name="Line 98">
          <a:extLst>
            <a:ext uri="{FF2B5EF4-FFF2-40B4-BE49-F238E27FC236}">
              <a16:creationId xmlns:a16="http://schemas.microsoft.com/office/drawing/2014/main" id="{00000000-0008-0000-0200-00004F000000}"/>
            </a:ext>
          </a:extLst>
        </xdr:cNvPr>
        <xdr:cNvSpPr>
          <a:spLocks noChangeShapeType="1"/>
        </xdr:cNvSpPr>
      </xdr:nvSpPr>
      <xdr:spPr bwMode="auto">
        <a:xfrm flipH="1">
          <a:off x="6372225" y="13925550"/>
          <a:ext cx="47625" cy="666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11</xdr:col>
      <xdr:colOff>28575</xdr:colOff>
      <xdr:row>78</xdr:row>
      <xdr:rowOff>47625</xdr:rowOff>
    </xdr:from>
    <xdr:to>
      <xdr:col>11</xdr:col>
      <xdr:colOff>104775</xdr:colOff>
      <xdr:row>78</xdr:row>
      <xdr:rowOff>123825</xdr:rowOff>
    </xdr:to>
    <xdr:sp macro="" textlink="">
      <xdr:nvSpPr>
        <xdr:cNvPr id="80" name="Line 99">
          <a:extLst>
            <a:ext uri="{FF2B5EF4-FFF2-40B4-BE49-F238E27FC236}">
              <a16:creationId xmlns:a16="http://schemas.microsoft.com/office/drawing/2014/main" id="{00000000-0008-0000-0200-000050000000}"/>
            </a:ext>
          </a:extLst>
        </xdr:cNvPr>
        <xdr:cNvSpPr>
          <a:spLocks noChangeShapeType="1"/>
        </xdr:cNvSpPr>
      </xdr:nvSpPr>
      <xdr:spPr bwMode="auto">
        <a:xfrm flipH="1">
          <a:off x="6400800" y="14020800"/>
          <a:ext cx="76200" cy="762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504825</xdr:colOff>
      <xdr:row>77</xdr:row>
      <xdr:rowOff>57150</xdr:rowOff>
    </xdr:from>
    <xdr:to>
      <xdr:col>11</xdr:col>
      <xdr:colOff>57150</xdr:colOff>
      <xdr:row>77</xdr:row>
      <xdr:rowOff>114300</xdr:rowOff>
    </xdr:to>
    <xdr:sp macro="" textlink="">
      <xdr:nvSpPr>
        <xdr:cNvPr id="81" name="Line 100">
          <a:extLst>
            <a:ext uri="{FF2B5EF4-FFF2-40B4-BE49-F238E27FC236}">
              <a16:creationId xmlns:a16="http://schemas.microsoft.com/office/drawing/2014/main" id="{00000000-0008-0000-0200-000051000000}"/>
            </a:ext>
          </a:extLst>
        </xdr:cNvPr>
        <xdr:cNvSpPr>
          <a:spLocks noChangeShapeType="1"/>
        </xdr:cNvSpPr>
      </xdr:nvSpPr>
      <xdr:spPr bwMode="auto">
        <a:xfrm>
          <a:off x="6372225" y="13868400"/>
          <a:ext cx="57150" cy="571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542925</xdr:colOff>
      <xdr:row>77</xdr:row>
      <xdr:rowOff>142875</xdr:rowOff>
    </xdr:from>
    <xdr:to>
      <xdr:col>11</xdr:col>
      <xdr:colOff>114300</xdr:colOff>
      <xdr:row>78</xdr:row>
      <xdr:rowOff>47625</xdr:rowOff>
    </xdr:to>
    <xdr:sp macro="" textlink="">
      <xdr:nvSpPr>
        <xdr:cNvPr id="82" name="Line 101">
          <a:extLst>
            <a:ext uri="{FF2B5EF4-FFF2-40B4-BE49-F238E27FC236}">
              <a16:creationId xmlns:a16="http://schemas.microsoft.com/office/drawing/2014/main" id="{00000000-0008-0000-0200-000052000000}"/>
            </a:ext>
          </a:extLst>
        </xdr:cNvPr>
        <xdr:cNvSpPr>
          <a:spLocks noChangeShapeType="1"/>
        </xdr:cNvSpPr>
      </xdr:nvSpPr>
      <xdr:spPr bwMode="auto">
        <a:xfrm>
          <a:off x="6372225" y="13954125"/>
          <a:ext cx="114300" cy="666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11</xdr:col>
      <xdr:colOff>9525</xdr:colOff>
      <xdr:row>78</xdr:row>
      <xdr:rowOff>85725</xdr:rowOff>
    </xdr:from>
    <xdr:to>
      <xdr:col>11</xdr:col>
      <xdr:colOff>171450</xdr:colOff>
      <xdr:row>78</xdr:row>
      <xdr:rowOff>133350</xdr:rowOff>
    </xdr:to>
    <xdr:sp macro="" textlink="">
      <xdr:nvSpPr>
        <xdr:cNvPr id="83" name="Line 102">
          <a:extLst>
            <a:ext uri="{FF2B5EF4-FFF2-40B4-BE49-F238E27FC236}">
              <a16:creationId xmlns:a16="http://schemas.microsoft.com/office/drawing/2014/main" id="{00000000-0008-0000-0200-000053000000}"/>
            </a:ext>
          </a:extLst>
        </xdr:cNvPr>
        <xdr:cNvSpPr>
          <a:spLocks noChangeShapeType="1"/>
        </xdr:cNvSpPr>
      </xdr:nvSpPr>
      <xdr:spPr bwMode="auto">
        <a:xfrm>
          <a:off x="6381750" y="14058900"/>
          <a:ext cx="161925" cy="47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38100</xdr:colOff>
      <xdr:row>77</xdr:row>
      <xdr:rowOff>142875</xdr:rowOff>
    </xdr:from>
    <xdr:to>
      <xdr:col>10</xdr:col>
      <xdr:colOff>504825</xdr:colOff>
      <xdr:row>77</xdr:row>
      <xdr:rowOff>142875</xdr:rowOff>
    </xdr:to>
    <xdr:sp macro="" textlink="">
      <xdr:nvSpPr>
        <xdr:cNvPr id="84" name="Line 103">
          <a:extLst>
            <a:ext uri="{FF2B5EF4-FFF2-40B4-BE49-F238E27FC236}">
              <a16:creationId xmlns:a16="http://schemas.microsoft.com/office/drawing/2014/main" id="{00000000-0008-0000-0200-000054000000}"/>
            </a:ext>
          </a:extLst>
        </xdr:cNvPr>
        <xdr:cNvSpPr>
          <a:spLocks noChangeShapeType="1"/>
        </xdr:cNvSpPr>
      </xdr:nvSpPr>
      <xdr:spPr bwMode="auto">
        <a:xfrm>
          <a:off x="5905500" y="13954125"/>
          <a:ext cx="4667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76200</xdr:colOff>
      <xdr:row>74</xdr:row>
      <xdr:rowOff>9525</xdr:rowOff>
    </xdr:from>
    <xdr:to>
      <xdr:col>13</xdr:col>
      <xdr:colOff>9525</xdr:colOff>
      <xdr:row>76</xdr:row>
      <xdr:rowOff>114300</xdr:rowOff>
    </xdr:to>
    <xdr:sp macro="" textlink="">
      <xdr:nvSpPr>
        <xdr:cNvPr id="85" name="Line 104">
          <a:extLst>
            <a:ext uri="{FF2B5EF4-FFF2-40B4-BE49-F238E27FC236}">
              <a16:creationId xmlns:a16="http://schemas.microsoft.com/office/drawing/2014/main" id="{00000000-0008-0000-0200-000055000000}"/>
            </a:ext>
          </a:extLst>
        </xdr:cNvPr>
        <xdr:cNvSpPr>
          <a:spLocks noChangeShapeType="1"/>
        </xdr:cNvSpPr>
      </xdr:nvSpPr>
      <xdr:spPr bwMode="auto">
        <a:xfrm flipH="1">
          <a:off x="6991350" y="13335000"/>
          <a:ext cx="542925" cy="428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9525</xdr:colOff>
      <xdr:row>74</xdr:row>
      <xdr:rowOff>9525</xdr:rowOff>
    </xdr:from>
    <xdr:to>
      <xdr:col>14</xdr:col>
      <xdr:colOff>142875</xdr:colOff>
      <xdr:row>74</xdr:row>
      <xdr:rowOff>9525</xdr:rowOff>
    </xdr:to>
    <xdr:sp macro="" textlink="">
      <xdr:nvSpPr>
        <xdr:cNvPr id="86" name="Line 105">
          <a:extLst>
            <a:ext uri="{FF2B5EF4-FFF2-40B4-BE49-F238E27FC236}">
              <a16:creationId xmlns:a16="http://schemas.microsoft.com/office/drawing/2014/main" id="{00000000-0008-0000-0200-000056000000}"/>
            </a:ext>
          </a:extLst>
        </xdr:cNvPr>
        <xdr:cNvSpPr>
          <a:spLocks noChangeShapeType="1"/>
        </xdr:cNvSpPr>
      </xdr:nvSpPr>
      <xdr:spPr bwMode="auto">
        <a:xfrm>
          <a:off x="7534275" y="13335000"/>
          <a:ext cx="7429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11</xdr:col>
      <xdr:colOff>419100</xdr:colOff>
      <xdr:row>76</xdr:row>
      <xdr:rowOff>152400</xdr:rowOff>
    </xdr:from>
    <xdr:to>
      <xdr:col>12</xdr:col>
      <xdr:colOff>219075</xdr:colOff>
      <xdr:row>81</xdr:row>
      <xdr:rowOff>0</xdr:rowOff>
    </xdr:to>
    <xdr:sp macro="" textlink="">
      <xdr:nvSpPr>
        <xdr:cNvPr id="87" name="Line 106">
          <a:extLst>
            <a:ext uri="{FF2B5EF4-FFF2-40B4-BE49-F238E27FC236}">
              <a16:creationId xmlns:a16="http://schemas.microsoft.com/office/drawing/2014/main" id="{00000000-0008-0000-0200-000057000000}"/>
            </a:ext>
          </a:extLst>
        </xdr:cNvPr>
        <xdr:cNvSpPr>
          <a:spLocks noChangeShapeType="1"/>
        </xdr:cNvSpPr>
      </xdr:nvSpPr>
      <xdr:spPr bwMode="auto">
        <a:xfrm flipH="1" flipV="1">
          <a:off x="6791325" y="13801725"/>
          <a:ext cx="342900" cy="6572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219075</xdr:colOff>
      <xdr:row>81</xdr:row>
      <xdr:rowOff>0</xdr:rowOff>
    </xdr:from>
    <xdr:to>
      <xdr:col>14</xdr:col>
      <xdr:colOff>28575</xdr:colOff>
      <xdr:row>81</xdr:row>
      <xdr:rowOff>0</xdr:rowOff>
    </xdr:to>
    <xdr:sp macro="" textlink="">
      <xdr:nvSpPr>
        <xdr:cNvPr id="88" name="Line 107">
          <a:extLst>
            <a:ext uri="{FF2B5EF4-FFF2-40B4-BE49-F238E27FC236}">
              <a16:creationId xmlns:a16="http://schemas.microsoft.com/office/drawing/2014/main" id="{00000000-0008-0000-0200-000058000000}"/>
            </a:ext>
          </a:extLst>
        </xdr:cNvPr>
        <xdr:cNvSpPr>
          <a:spLocks noChangeShapeType="1"/>
        </xdr:cNvSpPr>
      </xdr:nvSpPr>
      <xdr:spPr bwMode="auto">
        <a:xfrm>
          <a:off x="7134225" y="14458950"/>
          <a:ext cx="10287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600075</xdr:colOff>
      <xdr:row>126</xdr:row>
      <xdr:rowOff>0</xdr:rowOff>
    </xdr:from>
    <xdr:to>
      <xdr:col>10</xdr:col>
      <xdr:colOff>38100</xdr:colOff>
      <xdr:row>126</xdr:row>
      <xdr:rowOff>0</xdr:rowOff>
    </xdr:to>
    <xdr:sp macro="" textlink="">
      <xdr:nvSpPr>
        <xdr:cNvPr id="89" name="Line 108">
          <a:extLst>
            <a:ext uri="{FF2B5EF4-FFF2-40B4-BE49-F238E27FC236}">
              <a16:creationId xmlns:a16="http://schemas.microsoft.com/office/drawing/2014/main" id="{00000000-0008-0000-0200-000059000000}"/>
            </a:ext>
          </a:extLst>
        </xdr:cNvPr>
        <xdr:cNvSpPr>
          <a:spLocks noChangeShapeType="1"/>
        </xdr:cNvSpPr>
      </xdr:nvSpPr>
      <xdr:spPr bwMode="auto">
        <a:xfrm>
          <a:off x="1666875" y="22126575"/>
          <a:ext cx="4238625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0</xdr:colOff>
      <xdr:row>131</xdr:row>
      <xdr:rowOff>152400</xdr:rowOff>
    </xdr:from>
    <xdr:to>
      <xdr:col>10</xdr:col>
      <xdr:colOff>9525</xdr:colOff>
      <xdr:row>131</xdr:row>
      <xdr:rowOff>152400</xdr:rowOff>
    </xdr:to>
    <xdr:sp macro="" textlink="">
      <xdr:nvSpPr>
        <xdr:cNvPr id="90" name="Line 109">
          <a:extLst>
            <a:ext uri="{FF2B5EF4-FFF2-40B4-BE49-F238E27FC236}">
              <a16:creationId xmlns:a16="http://schemas.microsoft.com/office/drawing/2014/main" id="{00000000-0008-0000-0200-00005A000000}"/>
            </a:ext>
          </a:extLst>
        </xdr:cNvPr>
        <xdr:cNvSpPr>
          <a:spLocks noChangeShapeType="1"/>
        </xdr:cNvSpPr>
      </xdr:nvSpPr>
      <xdr:spPr bwMode="auto">
        <a:xfrm>
          <a:off x="1676400" y="23126700"/>
          <a:ext cx="4200525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0</xdr:colOff>
      <xdr:row>124</xdr:row>
      <xdr:rowOff>152400</xdr:rowOff>
    </xdr:from>
    <xdr:to>
      <xdr:col>10</xdr:col>
      <xdr:colOff>0</xdr:colOff>
      <xdr:row>133</xdr:row>
      <xdr:rowOff>19050</xdr:rowOff>
    </xdr:to>
    <xdr:sp macro="" textlink="">
      <xdr:nvSpPr>
        <xdr:cNvPr id="91" name="Line 110">
          <a:extLst>
            <a:ext uri="{FF2B5EF4-FFF2-40B4-BE49-F238E27FC236}">
              <a16:creationId xmlns:a16="http://schemas.microsoft.com/office/drawing/2014/main" id="{00000000-0008-0000-0200-00005B000000}"/>
            </a:ext>
          </a:extLst>
        </xdr:cNvPr>
        <xdr:cNvSpPr>
          <a:spLocks noChangeShapeType="1"/>
        </xdr:cNvSpPr>
      </xdr:nvSpPr>
      <xdr:spPr bwMode="auto">
        <a:xfrm>
          <a:off x="5867400" y="21955125"/>
          <a:ext cx="0" cy="1362075"/>
        </a:xfrm>
        <a:prstGeom prst="line">
          <a:avLst/>
        </a:prstGeom>
        <a:noFill/>
        <a:ln w="9525">
          <a:solidFill>
            <a:srgbClr val="000000"/>
          </a:solidFill>
          <a:prstDash val="lgDashDot"/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600075</xdr:colOff>
      <xdr:row>124</xdr:row>
      <xdr:rowOff>152400</xdr:rowOff>
    </xdr:from>
    <xdr:to>
      <xdr:col>2</xdr:col>
      <xdr:colOff>600075</xdr:colOff>
      <xdr:row>133</xdr:row>
      <xdr:rowOff>0</xdr:rowOff>
    </xdr:to>
    <xdr:sp macro="" textlink="">
      <xdr:nvSpPr>
        <xdr:cNvPr id="92" name="Line 111">
          <a:extLst>
            <a:ext uri="{FF2B5EF4-FFF2-40B4-BE49-F238E27FC236}">
              <a16:creationId xmlns:a16="http://schemas.microsoft.com/office/drawing/2014/main" id="{00000000-0008-0000-0200-00005C000000}"/>
            </a:ext>
          </a:extLst>
        </xdr:cNvPr>
        <xdr:cNvSpPr>
          <a:spLocks noChangeShapeType="1"/>
        </xdr:cNvSpPr>
      </xdr:nvSpPr>
      <xdr:spPr bwMode="auto">
        <a:xfrm>
          <a:off x="1666875" y="21955125"/>
          <a:ext cx="0" cy="1343025"/>
        </a:xfrm>
        <a:prstGeom prst="line">
          <a:avLst/>
        </a:prstGeom>
        <a:noFill/>
        <a:ln w="9525">
          <a:solidFill>
            <a:srgbClr val="000000"/>
          </a:solidFill>
          <a:prstDash val="lgDashDotDot"/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600075</xdr:colOff>
      <xdr:row>128</xdr:row>
      <xdr:rowOff>9525</xdr:rowOff>
    </xdr:from>
    <xdr:to>
      <xdr:col>5</xdr:col>
      <xdr:colOff>352425</xdr:colOff>
      <xdr:row>128</xdr:row>
      <xdr:rowOff>9525</xdr:rowOff>
    </xdr:to>
    <xdr:sp macro="" textlink="">
      <xdr:nvSpPr>
        <xdr:cNvPr id="93" name="Line 112">
          <a:extLst>
            <a:ext uri="{FF2B5EF4-FFF2-40B4-BE49-F238E27FC236}">
              <a16:creationId xmlns:a16="http://schemas.microsoft.com/office/drawing/2014/main" id="{00000000-0008-0000-0200-00005D000000}"/>
            </a:ext>
          </a:extLst>
        </xdr:cNvPr>
        <xdr:cNvSpPr>
          <a:spLocks noChangeShapeType="1"/>
        </xdr:cNvSpPr>
      </xdr:nvSpPr>
      <xdr:spPr bwMode="auto">
        <a:xfrm>
          <a:off x="2886075" y="22459950"/>
          <a:ext cx="361950" cy="0"/>
        </a:xfrm>
        <a:prstGeom prst="line">
          <a:avLst/>
        </a:prstGeom>
        <a:noFill/>
        <a:ln w="571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</xdr:col>
      <xdr:colOff>9525</xdr:colOff>
      <xdr:row>128</xdr:row>
      <xdr:rowOff>9525</xdr:rowOff>
    </xdr:from>
    <xdr:to>
      <xdr:col>5</xdr:col>
      <xdr:colOff>9525</xdr:colOff>
      <xdr:row>149</xdr:row>
      <xdr:rowOff>123825</xdr:rowOff>
    </xdr:to>
    <xdr:sp macro="" textlink="">
      <xdr:nvSpPr>
        <xdr:cNvPr id="94" name="Line 113">
          <a:extLst>
            <a:ext uri="{FF2B5EF4-FFF2-40B4-BE49-F238E27FC236}">
              <a16:creationId xmlns:a16="http://schemas.microsoft.com/office/drawing/2014/main" id="{00000000-0008-0000-0200-00005E000000}"/>
            </a:ext>
          </a:extLst>
        </xdr:cNvPr>
        <xdr:cNvSpPr>
          <a:spLocks noChangeShapeType="1"/>
        </xdr:cNvSpPr>
      </xdr:nvSpPr>
      <xdr:spPr bwMode="auto">
        <a:xfrm>
          <a:off x="2905125" y="22459950"/>
          <a:ext cx="0" cy="3552825"/>
        </a:xfrm>
        <a:prstGeom prst="line">
          <a:avLst/>
        </a:prstGeom>
        <a:noFill/>
        <a:ln w="571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9</xdr:col>
      <xdr:colOff>0</xdr:colOff>
      <xdr:row>128</xdr:row>
      <xdr:rowOff>9525</xdr:rowOff>
    </xdr:from>
    <xdr:to>
      <xdr:col>9</xdr:col>
      <xdr:colOff>0</xdr:colOff>
      <xdr:row>149</xdr:row>
      <xdr:rowOff>123825</xdr:rowOff>
    </xdr:to>
    <xdr:sp macro="" textlink="">
      <xdr:nvSpPr>
        <xdr:cNvPr id="95" name="Line 116">
          <a:extLst>
            <a:ext uri="{FF2B5EF4-FFF2-40B4-BE49-F238E27FC236}">
              <a16:creationId xmlns:a16="http://schemas.microsoft.com/office/drawing/2014/main" id="{00000000-0008-0000-0200-00005F000000}"/>
            </a:ext>
          </a:extLst>
        </xdr:cNvPr>
        <xdr:cNvSpPr>
          <a:spLocks noChangeShapeType="1"/>
        </xdr:cNvSpPr>
      </xdr:nvSpPr>
      <xdr:spPr bwMode="auto">
        <a:xfrm>
          <a:off x="5334000" y="22459950"/>
          <a:ext cx="0" cy="3552825"/>
        </a:xfrm>
        <a:prstGeom prst="line">
          <a:avLst/>
        </a:prstGeom>
        <a:noFill/>
        <a:ln w="571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</xdr:col>
      <xdr:colOff>600075</xdr:colOff>
      <xdr:row>128</xdr:row>
      <xdr:rowOff>19050</xdr:rowOff>
    </xdr:from>
    <xdr:to>
      <xdr:col>9</xdr:col>
      <xdr:colOff>352425</xdr:colOff>
      <xdr:row>128</xdr:row>
      <xdr:rowOff>19050</xdr:rowOff>
    </xdr:to>
    <xdr:sp macro="" textlink="">
      <xdr:nvSpPr>
        <xdr:cNvPr id="96" name="Line 118">
          <a:extLst>
            <a:ext uri="{FF2B5EF4-FFF2-40B4-BE49-F238E27FC236}">
              <a16:creationId xmlns:a16="http://schemas.microsoft.com/office/drawing/2014/main" id="{00000000-0008-0000-0200-000060000000}"/>
            </a:ext>
          </a:extLst>
        </xdr:cNvPr>
        <xdr:cNvSpPr>
          <a:spLocks noChangeShapeType="1"/>
        </xdr:cNvSpPr>
      </xdr:nvSpPr>
      <xdr:spPr bwMode="auto">
        <a:xfrm>
          <a:off x="5324475" y="22469475"/>
          <a:ext cx="361950" cy="0"/>
        </a:xfrm>
        <a:prstGeom prst="line">
          <a:avLst/>
        </a:prstGeom>
        <a:noFill/>
        <a:ln w="571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476250</xdr:colOff>
      <xdr:row>145</xdr:row>
      <xdr:rowOff>0</xdr:rowOff>
    </xdr:from>
    <xdr:to>
      <xdr:col>9</xdr:col>
      <xdr:colOff>276225</xdr:colOff>
      <xdr:row>145</xdr:row>
      <xdr:rowOff>0</xdr:rowOff>
    </xdr:to>
    <xdr:sp macro="" textlink="">
      <xdr:nvSpPr>
        <xdr:cNvPr id="97" name="Line 119">
          <a:extLst>
            <a:ext uri="{FF2B5EF4-FFF2-40B4-BE49-F238E27FC236}">
              <a16:creationId xmlns:a16="http://schemas.microsoft.com/office/drawing/2014/main" id="{00000000-0008-0000-0200-000061000000}"/>
            </a:ext>
          </a:extLst>
        </xdr:cNvPr>
        <xdr:cNvSpPr>
          <a:spLocks noChangeShapeType="1"/>
        </xdr:cNvSpPr>
      </xdr:nvSpPr>
      <xdr:spPr bwMode="auto">
        <a:xfrm>
          <a:off x="2762250" y="25241250"/>
          <a:ext cx="28479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</xdr:col>
      <xdr:colOff>552450</xdr:colOff>
      <xdr:row>144</xdr:row>
      <xdr:rowOff>104775</xdr:rowOff>
    </xdr:from>
    <xdr:to>
      <xdr:col>9</xdr:col>
      <xdr:colOff>76200</xdr:colOff>
      <xdr:row>145</xdr:row>
      <xdr:rowOff>85725</xdr:rowOff>
    </xdr:to>
    <xdr:sp macro="" textlink="">
      <xdr:nvSpPr>
        <xdr:cNvPr id="98" name="Line 120">
          <a:extLst>
            <a:ext uri="{FF2B5EF4-FFF2-40B4-BE49-F238E27FC236}">
              <a16:creationId xmlns:a16="http://schemas.microsoft.com/office/drawing/2014/main" id="{00000000-0008-0000-0200-000062000000}"/>
            </a:ext>
          </a:extLst>
        </xdr:cNvPr>
        <xdr:cNvSpPr>
          <a:spLocks noChangeShapeType="1"/>
        </xdr:cNvSpPr>
      </xdr:nvSpPr>
      <xdr:spPr bwMode="auto">
        <a:xfrm flipH="1">
          <a:off x="5276850" y="25184100"/>
          <a:ext cx="133350" cy="1428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561975</xdr:colOff>
      <xdr:row>144</xdr:row>
      <xdr:rowOff>104775</xdr:rowOff>
    </xdr:from>
    <xdr:to>
      <xdr:col>5</xdr:col>
      <xdr:colOff>104775</xdr:colOff>
      <xdr:row>145</xdr:row>
      <xdr:rowOff>57150</xdr:rowOff>
    </xdr:to>
    <xdr:sp macro="" textlink="">
      <xdr:nvSpPr>
        <xdr:cNvPr id="99" name="Line 121">
          <a:extLst>
            <a:ext uri="{FF2B5EF4-FFF2-40B4-BE49-F238E27FC236}">
              <a16:creationId xmlns:a16="http://schemas.microsoft.com/office/drawing/2014/main" id="{00000000-0008-0000-0200-000063000000}"/>
            </a:ext>
          </a:extLst>
        </xdr:cNvPr>
        <xdr:cNvSpPr>
          <a:spLocks noChangeShapeType="1"/>
        </xdr:cNvSpPr>
      </xdr:nvSpPr>
      <xdr:spPr bwMode="auto">
        <a:xfrm flipH="1">
          <a:off x="2847975" y="25184100"/>
          <a:ext cx="152400" cy="1143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66675</xdr:colOff>
      <xdr:row>125</xdr:row>
      <xdr:rowOff>28575</xdr:rowOff>
    </xdr:from>
    <xdr:to>
      <xdr:col>4</xdr:col>
      <xdr:colOff>66675</xdr:colOff>
      <xdr:row>150</xdr:row>
      <xdr:rowOff>28575</xdr:rowOff>
    </xdr:to>
    <xdr:sp macro="" textlink="">
      <xdr:nvSpPr>
        <xdr:cNvPr id="100" name="Line 122">
          <a:extLst>
            <a:ext uri="{FF2B5EF4-FFF2-40B4-BE49-F238E27FC236}">
              <a16:creationId xmlns:a16="http://schemas.microsoft.com/office/drawing/2014/main" id="{00000000-0008-0000-0200-000064000000}"/>
            </a:ext>
          </a:extLst>
        </xdr:cNvPr>
        <xdr:cNvSpPr>
          <a:spLocks noChangeShapeType="1"/>
        </xdr:cNvSpPr>
      </xdr:nvSpPr>
      <xdr:spPr bwMode="auto">
        <a:xfrm>
          <a:off x="2352675" y="21993225"/>
          <a:ext cx="0" cy="40862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28575</xdr:colOff>
      <xdr:row>149</xdr:row>
      <xdr:rowOff>104775</xdr:rowOff>
    </xdr:from>
    <xdr:to>
      <xdr:col>5</xdr:col>
      <xdr:colOff>47625</xdr:colOff>
      <xdr:row>149</xdr:row>
      <xdr:rowOff>104775</xdr:rowOff>
    </xdr:to>
    <xdr:sp macro="" textlink="">
      <xdr:nvSpPr>
        <xdr:cNvPr id="101" name="Line 123">
          <a:extLst>
            <a:ext uri="{FF2B5EF4-FFF2-40B4-BE49-F238E27FC236}">
              <a16:creationId xmlns:a16="http://schemas.microsoft.com/office/drawing/2014/main" id="{00000000-0008-0000-0200-000065000000}"/>
            </a:ext>
          </a:extLst>
        </xdr:cNvPr>
        <xdr:cNvSpPr>
          <a:spLocks noChangeShapeType="1"/>
        </xdr:cNvSpPr>
      </xdr:nvSpPr>
      <xdr:spPr bwMode="auto">
        <a:xfrm>
          <a:off x="2314575" y="25993725"/>
          <a:ext cx="6286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19050</xdr:colOff>
      <xdr:row>149</xdr:row>
      <xdr:rowOff>66675</xdr:rowOff>
    </xdr:from>
    <xdr:to>
      <xdr:col>4</xdr:col>
      <xdr:colOff>123825</xdr:colOff>
      <xdr:row>149</xdr:row>
      <xdr:rowOff>142875</xdr:rowOff>
    </xdr:to>
    <xdr:sp macro="" textlink="">
      <xdr:nvSpPr>
        <xdr:cNvPr id="102" name="Line 124">
          <a:extLst>
            <a:ext uri="{FF2B5EF4-FFF2-40B4-BE49-F238E27FC236}">
              <a16:creationId xmlns:a16="http://schemas.microsoft.com/office/drawing/2014/main" id="{00000000-0008-0000-0200-000066000000}"/>
            </a:ext>
          </a:extLst>
        </xdr:cNvPr>
        <xdr:cNvSpPr>
          <a:spLocks noChangeShapeType="1"/>
        </xdr:cNvSpPr>
      </xdr:nvSpPr>
      <xdr:spPr bwMode="auto">
        <a:xfrm flipH="1">
          <a:off x="2305050" y="25955625"/>
          <a:ext cx="104775" cy="762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26894</xdr:colOff>
      <xdr:row>131</xdr:row>
      <xdr:rowOff>115981</xdr:rowOff>
    </xdr:from>
    <xdr:to>
      <xdr:col>4</xdr:col>
      <xdr:colOff>112619</xdr:colOff>
      <xdr:row>132</xdr:row>
      <xdr:rowOff>20731</xdr:rowOff>
    </xdr:to>
    <xdr:sp macro="" textlink="">
      <xdr:nvSpPr>
        <xdr:cNvPr id="103" name="Line 125">
          <a:extLst>
            <a:ext uri="{FF2B5EF4-FFF2-40B4-BE49-F238E27FC236}">
              <a16:creationId xmlns:a16="http://schemas.microsoft.com/office/drawing/2014/main" id="{00000000-0008-0000-0200-000067000000}"/>
            </a:ext>
          </a:extLst>
        </xdr:cNvPr>
        <xdr:cNvSpPr>
          <a:spLocks noChangeShapeType="1"/>
        </xdr:cNvSpPr>
      </xdr:nvSpPr>
      <xdr:spPr bwMode="auto">
        <a:xfrm flipH="1">
          <a:off x="2312894" y="23090281"/>
          <a:ext cx="85725" cy="666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19050</xdr:colOff>
      <xdr:row>125</xdr:row>
      <xdr:rowOff>95250</xdr:rowOff>
    </xdr:from>
    <xdr:to>
      <xdr:col>4</xdr:col>
      <xdr:colOff>123825</xdr:colOff>
      <xdr:row>126</xdr:row>
      <xdr:rowOff>28575</xdr:rowOff>
    </xdr:to>
    <xdr:sp macro="" textlink="">
      <xdr:nvSpPr>
        <xdr:cNvPr id="104" name="Line 126">
          <a:extLst>
            <a:ext uri="{FF2B5EF4-FFF2-40B4-BE49-F238E27FC236}">
              <a16:creationId xmlns:a16="http://schemas.microsoft.com/office/drawing/2014/main" id="{00000000-0008-0000-0200-000068000000}"/>
            </a:ext>
          </a:extLst>
        </xdr:cNvPr>
        <xdr:cNvSpPr>
          <a:spLocks noChangeShapeType="1"/>
        </xdr:cNvSpPr>
      </xdr:nvSpPr>
      <xdr:spPr bwMode="auto">
        <a:xfrm flipH="1">
          <a:off x="2305050" y="22059900"/>
          <a:ext cx="104775" cy="952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</xdr:col>
      <xdr:colOff>9525</xdr:colOff>
      <xdr:row>123</xdr:row>
      <xdr:rowOff>152400</xdr:rowOff>
    </xdr:from>
    <xdr:to>
      <xdr:col>5</xdr:col>
      <xdr:colOff>9525</xdr:colOff>
      <xdr:row>128</xdr:row>
      <xdr:rowOff>19050</xdr:rowOff>
    </xdr:to>
    <xdr:sp macro="" textlink="">
      <xdr:nvSpPr>
        <xdr:cNvPr id="105" name="Line 127">
          <a:extLst>
            <a:ext uri="{FF2B5EF4-FFF2-40B4-BE49-F238E27FC236}">
              <a16:creationId xmlns:a16="http://schemas.microsoft.com/office/drawing/2014/main" id="{00000000-0008-0000-0200-000069000000}"/>
            </a:ext>
          </a:extLst>
        </xdr:cNvPr>
        <xdr:cNvSpPr>
          <a:spLocks noChangeShapeType="1"/>
        </xdr:cNvSpPr>
      </xdr:nvSpPr>
      <xdr:spPr bwMode="auto">
        <a:xfrm>
          <a:off x="2905125" y="21793200"/>
          <a:ext cx="0" cy="6762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</xdr:col>
      <xdr:colOff>342900</xdr:colOff>
      <xdr:row>123</xdr:row>
      <xdr:rowOff>152400</xdr:rowOff>
    </xdr:from>
    <xdr:to>
      <xdr:col>5</xdr:col>
      <xdr:colOff>342900</xdr:colOff>
      <xdr:row>128</xdr:row>
      <xdr:rowOff>19050</xdr:rowOff>
    </xdr:to>
    <xdr:sp macro="" textlink="">
      <xdr:nvSpPr>
        <xdr:cNvPr id="106" name="Line 128">
          <a:extLst>
            <a:ext uri="{FF2B5EF4-FFF2-40B4-BE49-F238E27FC236}">
              <a16:creationId xmlns:a16="http://schemas.microsoft.com/office/drawing/2014/main" id="{00000000-0008-0000-0200-00006A000000}"/>
            </a:ext>
          </a:extLst>
        </xdr:cNvPr>
        <xdr:cNvSpPr>
          <a:spLocks noChangeShapeType="1"/>
        </xdr:cNvSpPr>
      </xdr:nvSpPr>
      <xdr:spPr bwMode="auto">
        <a:xfrm>
          <a:off x="3238500" y="21793200"/>
          <a:ext cx="0" cy="6762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552450</xdr:colOff>
      <xdr:row>124</xdr:row>
      <xdr:rowOff>38100</xdr:rowOff>
    </xdr:from>
    <xdr:to>
      <xdr:col>5</xdr:col>
      <xdr:colOff>409575</xdr:colOff>
      <xdr:row>124</xdr:row>
      <xdr:rowOff>38100</xdr:rowOff>
    </xdr:to>
    <xdr:sp macro="" textlink="">
      <xdr:nvSpPr>
        <xdr:cNvPr id="107" name="Line 129">
          <a:extLst>
            <a:ext uri="{FF2B5EF4-FFF2-40B4-BE49-F238E27FC236}">
              <a16:creationId xmlns:a16="http://schemas.microsoft.com/office/drawing/2014/main" id="{00000000-0008-0000-0200-00006B000000}"/>
            </a:ext>
          </a:extLst>
        </xdr:cNvPr>
        <xdr:cNvSpPr>
          <a:spLocks noChangeShapeType="1"/>
        </xdr:cNvSpPr>
      </xdr:nvSpPr>
      <xdr:spPr bwMode="auto">
        <a:xfrm>
          <a:off x="2838450" y="21840825"/>
          <a:ext cx="4667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0</xdr:colOff>
      <xdr:row>125</xdr:row>
      <xdr:rowOff>85725</xdr:rowOff>
    </xdr:from>
    <xdr:to>
      <xdr:col>7</xdr:col>
      <xdr:colOff>0</xdr:colOff>
      <xdr:row>132</xdr:row>
      <xdr:rowOff>57150</xdr:rowOff>
    </xdr:to>
    <xdr:sp macro="" textlink="">
      <xdr:nvSpPr>
        <xdr:cNvPr id="108" name="Line 130">
          <a:extLst>
            <a:ext uri="{FF2B5EF4-FFF2-40B4-BE49-F238E27FC236}">
              <a16:creationId xmlns:a16="http://schemas.microsoft.com/office/drawing/2014/main" id="{00000000-0008-0000-0200-00006C000000}"/>
            </a:ext>
          </a:extLst>
        </xdr:cNvPr>
        <xdr:cNvSpPr>
          <a:spLocks noChangeShapeType="1"/>
        </xdr:cNvSpPr>
      </xdr:nvSpPr>
      <xdr:spPr bwMode="auto">
        <a:xfrm>
          <a:off x="4114800" y="22050375"/>
          <a:ext cx="0" cy="11430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514350</xdr:colOff>
      <xdr:row>127</xdr:row>
      <xdr:rowOff>114300</xdr:rowOff>
    </xdr:from>
    <xdr:to>
      <xdr:col>4</xdr:col>
      <xdr:colOff>295275</xdr:colOff>
      <xdr:row>127</xdr:row>
      <xdr:rowOff>114300</xdr:rowOff>
    </xdr:to>
    <xdr:sp macro="" textlink="">
      <xdr:nvSpPr>
        <xdr:cNvPr id="109" name="Line 131">
          <a:extLst>
            <a:ext uri="{FF2B5EF4-FFF2-40B4-BE49-F238E27FC236}">
              <a16:creationId xmlns:a16="http://schemas.microsoft.com/office/drawing/2014/main" id="{00000000-0008-0000-0200-00006D000000}"/>
            </a:ext>
          </a:extLst>
        </xdr:cNvPr>
        <xdr:cNvSpPr>
          <a:spLocks noChangeShapeType="1"/>
        </xdr:cNvSpPr>
      </xdr:nvSpPr>
      <xdr:spPr bwMode="auto">
        <a:xfrm>
          <a:off x="2190750" y="22402800"/>
          <a:ext cx="3905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</xdr:col>
      <xdr:colOff>38100</xdr:colOff>
      <xdr:row>137</xdr:row>
      <xdr:rowOff>0</xdr:rowOff>
    </xdr:from>
    <xdr:to>
      <xdr:col>5</xdr:col>
      <xdr:colOff>590550</xdr:colOff>
      <xdr:row>137</xdr:row>
      <xdr:rowOff>0</xdr:rowOff>
    </xdr:to>
    <xdr:sp macro="" textlink="">
      <xdr:nvSpPr>
        <xdr:cNvPr id="110" name="Line 133">
          <a:extLst>
            <a:ext uri="{FF2B5EF4-FFF2-40B4-BE49-F238E27FC236}">
              <a16:creationId xmlns:a16="http://schemas.microsoft.com/office/drawing/2014/main" id="{00000000-0008-0000-0200-00006E000000}"/>
            </a:ext>
          </a:extLst>
        </xdr:cNvPr>
        <xdr:cNvSpPr>
          <a:spLocks noChangeShapeType="1"/>
        </xdr:cNvSpPr>
      </xdr:nvSpPr>
      <xdr:spPr bwMode="auto">
        <a:xfrm flipH="1">
          <a:off x="2933700" y="23945850"/>
          <a:ext cx="5524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571500</xdr:colOff>
      <xdr:row>136</xdr:row>
      <xdr:rowOff>152400</xdr:rowOff>
    </xdr:from>
    <xdr:to>
      <xdr:col>8</xdr:col>
      <xdr:colOff>581025</xdr:colOff>
      <xdr:row>136</xdr:row>
      <xdr:rowOff>152400</xdr:rowOff>
    </xdr:to>
    <xdr:sp macro="" textlink="">
      <xdr:nvSpPr>
        <xdr:cNvPr id="111" name="Line 134">
          <a:extLst>
            <a:ext uri="{FF2B5EF4-FFF2-40B4-BE49-F238E27FC236}">
              <a16:creationId xmlns:a16="http://schemas.microsoft.com/office/drawing/2014/main" id="{00000000-0008-0000-0200-00006F000000}"/>
            </a:ext>
          </a:extLst>
        </xdr:cNvPr>
        <xdr:cNvSpPr>
          <a:spLocks noChangeShapeType="1"/>
        </xdr:cNvSpPr>
      </xdr:nvSpPr>
      <xdr:spPr bwMode="auto">
        <a:xfrm>
          <a:off x="4686300" y="23936325"/>
          <a:ext cx="6191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114300</xdr:colOff>
      <xdr:row>19</xdr:row>
      <xdr:rowOff>0</xdr:rowOff>
    </xdr:from>
    <xdr:to>
      <xdr:col>10</xdr:col>
      <xdr:colOff>152400</xdr:colOff>
      <xdr:row>19</xdr:row>
      <xdr:rowOff>47625</xdr:rowOff>
    </xdr:to>
    <xdr:sp macro="" textlink="">
      <xdr:nvSpPr>
        <xdr:cNvPr id="112" name="AutoShape 135">
          <a:extLst>
            <a:ext uri="{FF2B5EF4-FFF2-40B4-BE49-F238E27FC236}">
              <a16:creationId xmlns:a16="http://schemas.microsoft.com/office/drawing/2014/main" id="{00000000-0008-0000-0200-000070000000}"/>
            </a:ext>
          </a:extLst>
        </xdr:cNvPr>
        <xdr:cNvSpPr>
          <a:spLocks noChangeArrowheads="1"/>
        </xdr:cNvSpPr>
      </xdr:nvSpPr>
      <xdr:spPr bwMode="auto">
        <a:xfrm>
          <a:off x="5981700" y="3143250"/>
          <a:ext cx="38100" cy="47625"/>
        </a:xfrm>
        <a:prstGeom prst="flowChartConnector">
          <a:avLst/>
        </a:prstGeom>
        <a:solidFill>
          <a:srgbClr val="FFFFFF"/>
        </a:solidFill>
        <a:ln w="19050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38100</xdr:colOff>
      <xdr:row>10</xdr:row>
      <xdr:rowOff>0</xdr:rowOff>
    </xdr:from>
    <xdr:to>
      <xdr:col>10</xdr:col>
      <xdr:colOff>190500</xdr:colOff>
      <xdr:row>10</xdr:row>
      <xdr:rowOff>95250</xdr:rowOff>
    </xdr:to>
    <xdr:sp macro="" textlink="">
      <xdr:nvSpPr>
        <xdr:cNvPr id="113" name="AutoShape 136">
          <a:extLst>
            <a:ext uri="{FF2B5EF4-FFF2-40B4-BE49-F238E27FC236}">
              <a16:creationId xmlns:a16="http://schemas.microsoft.com/office/drawing/2014/main" id="{00000000-0008-0000-0200-000071000000}"/>
            </a:ext>
          </a:extLst>
        </xdr:cNvPr>
        <xdr:cNvSpPr>
          <a:spLocks noChangeArrowheads="1"/>
        </xdr:cNvSpPr>
      </xdr:nvSpPr>
      <xdr:spPr bwMode="auto">
        <a:xfrm>
          <a:off x="5905500" y="1685925"/>
          <a:ext cx="152400" cy="95250"/>
        </a:xfrm>
        <a:prstGeom prst="flowChartMerge">
          <a:avLst/>
        </a:prstGeom>
        <a:solidFill>
          <a:srgbClr val="FFFFFF"/>
        </a:solidFill>
        <a:ln w="19050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10</xdr:col>
      <xdr:colOff>125506</xdr:colOff>
      <xdr:row>4</xdr:row>
      <xdr:rowOff>66675</xdr:rowOff>
    </xdr:from>
    <xdr:to>
      <xdr:col>10</xdr:col>
      <xdr:colOff>125506</xdr:colOff>
      <xdr:row>22</xdr:row>
      <xdr:rowOff>114300</xdr:rowOff>
    </xdr:to>
    <xdr:sp macro="" textlink="">
      <xdr:nvSpPr>
        <xdr:cNvPr id="114" name="Line 137">
          <a:extLst>
            <a:ext uri="{FF2B5EF4-FFF2-40B4-BE49-F238E27FC236}">
              <a16:creationId xmlns:a16="http://schemas.microsoft.com/office/drawing/2014/main" id="{00000000-0008-0000-0200-000072000000}"/>
            </a:ext>
          </a:extLst>
        </xdr:cNvPr>
        <xdr:cNvSpPr>
          <a:spLocks noChangeShapeType="1"/>
        </xdr:cNvSpPr>
      </xdr:nvSpPr>
      <xdr:spPr bwMode="auto">
        <a:xfrm>
          <a:off x="5992906" y="781050"/>
          <a:ext cx="0" cy="2962275"/>
        </a:xfrm>
        <a:prstGeom prst="line">
          <a:avLst/>
        </a:prstGeom>
        <a:noFill/>
        <a:ln w="9525">
          <a:solidFill>
            <a:srgbClr val="000000"/>
          </a:solidFill>
          <a:prstDash val="sysDot"/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</xdr:col>
      <xdr:colOff>185854</xdr:colOff>
      <xdr:row>109</xdr:row>
      <xdr:rowOff>148683</xdr:rowOff>
    </xdr:from>
    <xdr:to>
      <xdr:col>11</xdr:col>
      <xdr:colOff>133350</xdr:colOff>
      <xdr:row>109</xdr:row>
      <xdr:rowOff>152400</xdr:rowOff>
    </xdr:to>
    <xdr:sp macro="" textlink="">
      <xdr:nvSpPr>
        <xdr:cNvPr id="115" name="Line 138">
          <a:extLst>
            <a:ext uri="{FF2B5EF4-FFF2-40B4-BE49-F238E27FC236}">
              <a16:creationId xmlns:a16="http://schemas.microsoft.com/office/drawing/2014/main" id="{00000000-0008-0000-0200-000073000000}"/>
            </a:ext>
          </a:extLst>
        </xdr:cNvPr>
        <xdr:cNvSpPr>
          <a:spLocks noChangeShapeType="1"/>
        </xdr:cNvSpPr>
      </xdr:nvSpPr>
      <xdr:spPr bwMode="auto">
        <a:xfrm>
          <a:off x="3075878" y="18520317"/>
          <a:ext cx="3566996" cy="3717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</xdr:col>
      <xdr:colOff>180975</xdr:colOff>
      <xdr:row>112</xdr:row>
      <xdr:rowOff>0</xdr:rowOff>
    </xdr:from>
    <xdr:to>
      <xdr:col>11</xdr:col>
      <xdr:colOff>125452</xdr:colOff>
      <xdr:row>112</xdr:row>
      <xdr:rowOff>0</xdr:rowOff>
    </xdr:to>
    <xdr:sp macro="" textlink="">
      <xdr:nvSpPr>
        <xdr:cNvPr id="116" name="Line 139">
          <a:extLst>
            <a:ext uri="{FF2B5EF4-FFF2-40B4-BE49-F238E27FC236}">
              <a16:creationId xmlns:a16="http://schemas.microsoft.com/office/drawing/2014/main" id="{00000000-0008-0000-0200-000074000000}"/>
            </a:ext>
          </a:extLst>
        </xdr:cNvPr>
        <xdr:cNvSpPr>
          <a:spLocks noChangeShapeType="1"/>
        </xdr:cNvSpPr>
      </xdr:nvSpPr>
      <xdr:spPr bwMode="auto">
        <a:xfrm>
          <a:off x="3070999" y="18859500"/>
          <a:ext cx="3563977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</xdr:col>
      <xdr:colOff>190500</xdr:colOff>
      <xdr:row>109</xdr:row>
      <xdr:rowOff>144411</xdr:rowOff>
    </xdr:from>
    <xdr:to>
      <xdr:col>5</xdr:col>
      <xdr:colOff>190500</xdr:colOff>
      <xdr:row>112</xdr:row>
      <xdr:rowOff>3072</xdr:rowOff>
    </xdr:to>
    <xdr:sp macro="" textlink="">
      <xdr:nvSpPr>
        <xdr:cNvPr id="123" name="Line 146">
          <a:extLst>
            <a:ext uri="{FF2B5EF4-FFF2-40B4-BE49-F238E27FC236}">
              <a16:creationId xmlns:a16="http://schemas.microsoft.com/office/drawing/2014/main" id="{00000000-0008-0000-0200-00007B000000}"/>
            </a:ext>
          </a:extLst>
        </xdr:cNvPr>
        <xdr:cNvSpPr>
          <a:spLocks noChangeShapeType="1"/>
        </xdr:cNvSpPr>
      </xdr:nvSpPr>
      <xdr:spPr bwMode="auto">
        <a:xfrm flipH="1">
          <a:off x="3081798" y="18530734"/>
          <a:ext cx="0" cy="347201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11</xdr:col>
      <xdr:colOff>123824</xdr:colOff>
      <xdr:row>109</xdr:row>
      <xdr:rowOff>152400</xdr:rowOff>
    </xdr:from>
    <xdr:to>
      <xdr:col>11</xdr:col>
      <xdr:colOff>130098</xdr:colOff>
      <xdr:row>112</xdr:row>
      <xdr:rowOff>4646</xdr:rowOff>
    </xdr:to>
    <xdr:sp macro="" textlink="">
      <xdr:nvSpPr>
        <xdr:cNvPr id="125" name="Line 150">
          <a:extLst>
            <a:ext uri="{FF2B5EF4-FFF2-40B4-BE49-F238E27FC236}">
              <a16:creationId xmlns:a16="http://schemas.microsoft.com/office/drawing/2014/main" id="{00000000-0008-0000-0200-00007D000000}"/>
            </a:ext>
          </a:extLst>
        </xdr:cNvPr>
        <xdr:cNvSpPr>
          <a:spLocks noChangeShapeType="1"/>
        </xdr:cNvSpPr>
      </xdr:nvSpPr>
      <xdr:spPr bwMode="auto">
        <a:xfrm flipH="1" flipV="1">
          <a:off x="6633348" y="18524034"/>
          <a:ext cx="6274" cy="340112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114300</xdr:colOff>
      <xdr:row>112</xdr:row>
      <xdr:rowOff>0</xdr:rowOff>
    </xdr:from>
    <xdr:to>
      <xdr:col>6</xdr:col>
      <xdr:colOff>152400</xdr:colOff>
      <xdr:row>112</xdr:row>
      <xdr:rowOff>47625</xdr:rowOff>
    </xdr:to>
    <xdr:sp macro="" textlink="">
      <xdr:nvSpPr>
        <xdr:cNvPr id="127" name="AutoShape 156">
          <a:extLst>
            <a:ext uri="{FF2B5EF4-FFF2-40B4-BE49-F238E27FC236}">
              <a16:creationId xmlns:a16="http://schemas.microsoft.com/office/drawing/2014/main" id="{00000000-0008-0000-0200-00007F000000}"/>
            </a:ext>
          </a:extLst>
        </xdr:cNvPr>
        <xdr:cNvSpPr>
          <a:spLocks noChangeArrowheads="1"/>
        </xdr:cNvSpPr>
      </xdr:nvSpPr>
      <xdr:spPr bwMode="auto">
        <a:xfrm>
          <a:off x="3619500" y="19859625"/>
          <a:ext cx="38100" cy="47625"/>
        </a:xfrm>
        <a:prstGeom prst="flowChartConnector">
          <a:avLst/>
        </a:prstGeom>
        <a:solidFill>
          <a:srgbClr val="FFFFFF"/>
        </a:solidFill>
        <a:ln w="19050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</xdr:col>
      <xdr:colOff>114300</xdr:colOff>
      <xdr:row>112</xdr:row>
      <xdr:rowOff>0</xdr:rowOff>
    </xdr:from>
    <xdr:to>
      <xdr:col>9</xdr:col>
      <xdr:colOff>152400</xdr:colOff>
      <xdr:row>112</xdr:row>
      <xdr:rowOff>47625</xdr:rowOff>
    </xdr:to>
    <xdr:sp macro="" textlink="">
      <xdr:nvSpPr>
        <xdr:cNvPr id="128" name="AutoShape 158">
          <a:extLst>
            <a:ext uri="{FF2B5EF4-FFF2-40B4-BE49-F238E27FC236}">
              <a16:creationId xmlns:a16="http://schemas.microsoft.com/office/drawing/2014/main" id="{00000000-0008-0000-0200-000080000000}"/>
            </a:ext>
          </a:extLst>
        </xdr:cNvPr>
        <xdr:cNvSpPr>
          <a:spLocks noChangeArrowheads="1"/>
        </xdr:cNvSpPr>
      </xdr:nvSpPr>
      <xdr:spPr bwMode="auto">
        <a:xfrm>
          <a:off x="5448300" y="19859625"/>
          <a:ext cx="38100" cy="47625"/>
        </a:xfrm>
        <a:prstGeom prst="flowChartConnector">
          <a:avLst/>
        </a:prstGeom>
        <a:solidFill>
          <a:srgbClr val="FFFFFF"/>
        </a:solidFill>
        <a:ln w="19050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7</xdr:col>
      <xdr:colOff>582706</xdr:colOff>
      <xdr:row>109</xdr:row>
      <xdr:rowOff>142875</xdr:rowOff>
    </xdr:from>
    <xdr:to>
      <xdr:col>7</xdr:col>
      <xdr:colOff>582706</xdr:colOff>
      <xdr:row>112</xdr:row>
      <xdr:rowOff>38100</xdr:rowOff>
    </xdr:to>
    <xdr:sp macro="" textlink="">
      <xdr:nvSpPr>
        <xdr:cNvPr id="131" name="Line 161">
          <a:extLst>
            <a:ext uri="{FF2B5EF4-FFF2-40B4-BE49-F238E27FC236}">
              <a16:creationId xmlns:a16="http://schemas.microsoft.com/office/drawing/2014/main" id="{00000000-0008-0000-0200-000083000000}"/>
            </a:ext>
          </a:extLst>
        </xdr:cNvPr>
        <xdr:cNvSpPr>
          <a:spLocks noChangeShapeType="1"/>
        </xdr:cNvSpPr>
      </xdr:nvSpPr>
      <xdr:spPr bwMode="auto">
        <a:xfrm>
          <a:off x="4697506" y="19516725"/>
          <a:ext cx="0" cy="3810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352425</xdr:colOff>
      <xdr:row>116</xdr:row>
      <xdr:rowOff>9525</xdr:rowOff>
    </xdr:from>
    <xdr:to>
      <xdr:col>5</xdr:col>
      <xdr:colOff>371475</xdr:colOff>
      <xdr:row>116</xdr:row>
      <xdr:rowOff>9525</xdr:rowOff>
    </xdr:to>
    <xdr:sp macro="" textlink="">
      <xdr:nvSpPr>
        <xdr:cNvPr id="132" name="Line 172">
          <a:extLst>
            <a:ext uri="{FF2B5EF4-FFF2-40B4-BE49-F238E27FC236}">
              <a16:creationId xmlns:a16="http://schemas.microsoft.com/office/drawing/2014/main" id="{00000000-0008-0000-0200-000084000000}"/>
            </a:ext>
          </a:extLst>
        </xdr:cNvPr>
        <xdr:cNvSpPr>
          <a:spLocks noChangeShapeType="1"/>
        </xdr:cNvSpPr>
      </xdr:nvSpPr>
      <xdr:spPr bwMode="auto">
        <a:xfrm>
          <a:off x="2028825" y="20516850"/>
          <a:ext cx="12382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470648</xdr:colOff>
      <xdr:row>12</xdr:row>
      <xdr:rowOff>22411</xdr:rowOff>
    </xdr:from>
    <xdr:to>
      <xdr:col>6</xdr:col>
      <xdr:colOff>212913</xdr:colOff>
      <xdr:row>12</xdr:row>
      <xdr:rowOff>22411</xdr:rowOff>
    </xdr:to>
    <xdr:sp macro="" textlink="">
      <xdr:nvSpPr>
        <xdr:cNvPr id="133" name="Line 77">
          <a:extLst>
            <a:ext uri="{FF2B5EF4-FFF2-40B4-BE49-F238E27FC236}">
              <a16:creationId xmlns:a16="http://schemas.microsoft.com/office/drawing/2014/main" id="{00000000-0008-0000-0200-000085000000}"/>
            </a:ext>
          </a:extLst>
        </xdr:cNvPr>
        <xdr:cNvSpPr>
          <a:spLocks noChangeShapeType="1"/>
        </xdr:cNvSpPr>
      </xdr:nvSpPr>
      <xdr:spPr bwMode="auto">
        <a:xfrm flipV="1">
          <a:off x="2756648" y="2032186"/>
          <a:ext cx="96146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</xdr:col>
      <xdr:colOff>369793</xdr:colOff>
      <xdr:row>110</xdr:row>
      <xdr:rowOff>112059</xdr:rowOff>
    </xdr:from>
    <xdr:to>
      <xdr:col>5</xdr:col>
      <xdr:colOff>537882</xdr:colOff>
      <xdr:row>117</xdr:row>
      <xdr:rowOff>56030</xdr:rowOff>
    </xdr:to>
    <xdr:sp macro="" textlink="">
      <xdr:nvSpPr>
        <xdr:cNvPr id="134" name="Freeform 162">
          <a:extLst>
            <a:ext uri="{FF2B5EF4-FFF2-40B4-BE49-F238E27FC236}">
              <a16:creationId xmlns:a16="http://schemas.microsoft.com/office/drawing/2014/main" id="{00000000-0008-0000-0200-000086000000}"/>
            </a:ext>
          </a:extLst>
        </xdr:cNvPr>
        <xdr:cNvSpPr/>
      </xdr:nvSpPr>
      <xdr:spPr>
        <a:xfrm>
          <a:off x="3265393" y="19647834"/>
          <a:ext cx="168089" cy="1077446"/>
        </a:xfrm>
        <a:custGeom>
          <a:avLst/>
          <a:gdLst>
            <a:gd name="connsiteX0" fmla="*/ 168089 w 168089"/>
            <a:gd name="connsiteY0" fmla="*/ 0 h 1042147"/>
            <a:gd name="connsiteX1" fmla="*/ 0 w 168089"/>
            <a:gd name="connsiteY1" fmla="*/ 0 h 1042147"/>
            <a:gd name="connsiteX2" fmla="*/ 0 w 168089"/>
            <a:gd name="connsiteY2" fmla="*/ 1042147 h 104214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</a:cxnLst>
          <a:rect l="l" t="t" r="r" b="b"/>
          <a:pathLst>
            <a:path w="168089" h="1042147">
              <a:moveTo>
                <a:pt x="168089" y="0"/>
              </a:moveTo>
              <a:lnTo>
                <a:pt x="0" y="0"/>
              </a:lnTo>
              <a:lnTo>
                <a:pt x="0" y="1042147"/>
              </a:lnTo>
            </a:path>
          </a:pathLst>
        </a:custGeom>
        <a:noFill/>
        <a:ln w="3810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414616</xdr:colOff>
      <xdr:row>116</xdr:row>
      <xdr:rowOff>9525</xdr:rowOff>
    </xdr:from>
    <xdr:to>
      <xdr:col>6</xdr:col>
      <xdr:colOff>259416</xdr:colOff>
      <xdr:row>116</xdr:row>
      <xdr:rowOff>9525</xdr:rowOff>
    </xdr:to>
    <xdr:sp macro="" textlink="">
      <xdr:nvSpPr>
        <xdr:cNvPr id="135" name="Line 172">
          <a:extLst>
            <a:ext uri="{FF2B5EF4-FFF2-40B4-BE49-F238E27FC236}">
              <a16:creationId xmlns:a16="http://schemas.microsoft.com/office/drawing/2014/main" id="{00000000-0008-0000-0200-000087000000}"/>
            </a:ext>
          </a:extLst>
        </xdr:cNvPr>
        <xdr:cNvSpPr>
          <a:spLocks noChangeShapeType="1"/>
        </xdr:cNvSpPr>
      </xdr:nvSpPr>
      <xdr:spPr bwMode="auto">
        <a:xfrm>
          <a:off x="3310216" y="20516850"/>
          <a:ext cx="4544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257735</xdr:colOff>
      <xdr:row>110</xdr:row>
      <xdr:rowOff>112059</xdr:rowOff>
    </xdr:from>
    <xdr:to>
      <xdr:col>6</xdr:col>
      <xdr:colOff>425824</xdr:colOff>
      <xdr:row>117</xdr:row>
      <xdr:rowOff>56030</xdr:rowOff>
    </xdr:to>
    <xdr:sp macro="" textlink="">
      <xdr:nvSpPr>
        <xdr:cNvPr id="136" name="Freeform 164">
          <a:extLst>
            <a:ext uri="{FF2B5EF4-FFF2-40B4-BE49-F238E27FC236}">
              <a16:creationId xmlns:a16="http://schemas.microsoft.com/office/drawing/2014/main" id="{00000000-0008-0000-0200-000088000000}"/>
            </a:ext>
          </a:extLst>
        </xdr:cNvPr>
        <xdr:cNvSpPr/>
      </xdr:nvSpPr>
      <xdr:spPr>
        <a:xfrm>
          <a:off x="3762935" y="19647834"/>
          <a:ext cx="168089" cy="1077446"/>
        </a:xfrm>
        <a:custGeom>
          <a:avLst/>
          <a:gdLst>
            <a:gd name="connsiteX0" fmla="*/ 168089 w 168089"/>
            <a:gd name="connsiteY0" fmla="*/ 0 h 1042147"/>
            <a:gd name="connsiteX1" fmla="*/ 0 w 168089"/>
            <a:gd name="connsiteY1" fmla="*/ 0 h 1042147"/>
            <a:gd name="connsiteX2" fmla="*/ 0 w 168089"/>
            <a:gd name="connsiteY2" fmla="*/ 1042147 h 104214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</a:cxnLst>
          <a:rect l="l" t="t" r="r" b="b"/>
          <a:pathLst>
            <a:path w="168089" h="1042147">
              <a:moveTo>
                <a:pt x="168089" y="0"/>
              </a:moveTo>
              <a:lnTo>
                <a:pt x="0" y="0"/>
              </a:lnTo>
              <a:lnTo>
                <a:pt x="0" y="1042147"/>
              </a:lnTo>
            </a:path>
          </a:pathLst>
        </a:custGeom>
        <a:noFill/>
        <a:ln w="3810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291351</xdr:colOff>
      <xdr:row>116</xdr:row>
      <xdr:rowOff>9525</xdr:rowOff>
    </xdr:from>
    <xdr:to>
      <xdr:col>7</xdr:col>
      <xdr:colOff>136150</xdr:colOff>
      <xdr:row>116</xdr:row>
      <xdr:rowOff>9525</xdr:rowOff>
    </xdr:to>
    <xdr:sp macro="" textlink="">
      <xdr:nvSpPr>
        <xdr:cNvPr id="137" name="Line 172">
          <a:extLst>
            <a:ext uri="{FF2B5EF4-FFF2-40B4-BE49-F238E27FC236}">
              <a16:creationId xmlns:a16="http://schemas.microsoft.com/office/drawing/2014/main" id="{00000000-0008-0000-0200-000089000000}"/>
            </a:ext>
          </a:extLst>
        </xdr:cNvPr>
        <xdr:cNvSpPr>
          <a:spLocks noChangeShapeType="1"/>
        </xdr:cNvSpPr>
      </xdr:nvSpPr>
      <xdr:spPr bwMode="auto">
        <a:xfrm>
          <a:off x="3796551" y="20516850"/>
          <a:ext cx="454399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134469</xdr:colOff>
      <xdr:row>110</xdr:row>
      <xdr:rowOff>112059</xdr:rowOff>
    </xdr:from>
    <xdr:to>
      <xdr:col>7</xdr:col>
      <xdr:colOff>302558</xdr:colOff>
      <xdr:row>117</xdr:row>
      <xdr:rowOff>56030</xdr:rowOff>
    </xdr:to>
    <xdr:sp macro="" textlink="">
      <xdr:nvSpPr>
        <xdr:cNvPr id="138" name="Freeform 166">
          <a:extLst>
            <a:ext uri="{FF2B5EF4-FFF2-40B4-BE49-F238E27FC236}">
              <a16:creationId xmlns:a16="http://schemas.microsoft.com/office/drawing/2014/main" id="{00000000-0008-0000-0200-00008A000000}"/>
            </a:ext>
          </a:extLst>
        </xdr:cNvPr>
        <xdr:cNvSpPr/>
      </xdr:nvSpPr>
      <xdr:spPr>
        <a:xfrm>
          <a:off x="4249269" y="19647834"/>
          <a:ext cx="168089" cy="1077446"/>
        </a:xfrm>
        <a:custGeom>
          <a:avLst/>
          <a:gdLst>
            <a:gd name="connsiteX0" fmla="*/ 168089 w 168089"/>
            <a:gd name="connsiteY0" fmla="*/ 0 h 1042147"/>
            <a:gd name="connsiteX1" fmla="*/ 0 w 168089"/>
            <a:gd name="connsiteY1" fmla="*/ 0 h 1042147"/>
            <a:gd name="connsiteX2" fmla="*/ 0 w 168089"/>
            <a:gd name="connsiteY2" fmla="*/ 1042147 h 104214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</a:cxnLst>
          <a:rect l="l" t="t" r="r" b="b"/>
          <a:pathLst>
            <a:path w="168089" h="1042147">
              <a:moveTo>
                <a:pt x="168089" y="0"/>
              </a:moveTo>
              <a:lnTo>
                <a:pt x="0" y="0"/>
              </a:lnTo>
              <a:lnTo>
                <a:pt x="0" y="1042147"/>
              </a:lnTo>
            </a:path>
          </a:pathLst>
        </a:custGeom>
        <a:noFill/>
        <a:ln w="3810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190498</xdr:colOff>
      <xdr:row>116</xdr:row>
      <xdr:rowOff>9525</xdr:rowOff>
    </xdr:from>
    <xdr:to>
      <xdr:col>8</xdr:col>
      <xdr:colOff>35297</xdr:colOff>
      <xdr:row>116</xdr:row>
      <xdr:rowOff>9525</xdr:rowOff>
    </xdr:to>
    <xdr:sp macro="" textlink="">
      <xdr:nvSpPr>
        <xdr:cNvPr id="139" name="Line 172">
          <a:extLst>
            <a:ext uri="{FF2B5EF4-FFF2-40B4-BE49-F238E27FC236}">
              <a16:creationId xmlns:a16="http://schemas.microsoft.com/office/drawing/2014/main" id="{00000000-0008-0000-0200-00008B000000}"/>
            </a:ext>
          </a:extLst>
        </xdr:cNvPr>
        <xdr:cNvSpPr>
          <a:spLocks noChangeShapeType="1"/>
        </xdr:cNvSpPr>
      </xdr:nvSpPr>
      <xdr:spPr bwMode="auto">
        <a:xfrm>
          <a:off x="4305298" y="20516850"/>
          <a:ext cx="454399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</xdr:col>
      <xdr:colOff>33616</xdr:colOff>
      <xdr:row>110</xdr:row>
      <xdr:rowOff>112059</xdr:rowOff>
    </xdr:from>
    <xdr:to>
      <xdr:col>8</xdr:col>
      <xdr:colOff>201705</xdr:colOff>
      <xdr:row>117</xdr:row>
      <xdr:rowOff>56030</xdr:rowOff>
    </xdr:to>
    <xdr:sp macro="" textlink="">
      <xdr:nvSpPr>
        <xdr:cNvPr id="140" name="Freeform 168">
          <a:extLst>
            <a:ext uri="{FF2B5EF4-FFF2-40B4-BE49-F238E27FC236}">
              <a16:creationId xmlns:a16="http://schemas.microsoft.com/office/drawing/2014/main" id="{00000000-0008-0000-0200-00008C000000}"/>
            </a:ext>
          </a:extLst>
        </xdr:cNvPr>
        <xdr:cNvSpPr/>
      </xdr:nvSpPr>
      <xdr:spPr>
        <a:xfrm>
          <a:off x="4758016" y="19647834"/>
          <a:ext cx="168089" cy="1077446"/>
        </a:xfrm>
        <a:custGeom>
          <a:avLst/>
          <a:gdLst>
            <a:gd name="connsiteX0" fmla="*/ 168089 w 168089"/>
            <a:gd name="connsiteY0" fmla="*/ 0 h 1042147"/>
            <a:gd name="connsiteX1" fmla="*/ 0 w 168089"/>
            <a:gd name="connsiteY1" fmla="*/ 0 h 1042147"/>
            <a:gd name="connsiteX2" fmla="*/ 0 w 168089"/>
            <a:gd name="connsiteY2" fmla="*/ 1042147 h 104214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</a:cxnLst>
          <a:rect l="l" t="t" r="r" b="b"/>
          <a:pathLst>
            <a:path w="168089" h="1042147">
              <a:moveTo>
                <a:pt x="168089" y="0"/>
              </a:moveTo>
              <a:lnTo>
                <a:pt x="0" y="0"/>
              </a:lnTo>
              <a:lnTo>
                <a:pt x="0" y="1042147"/>
              </a:lnTo>
            </a:path>
          </a:pathLst>
        </a:custGeom>
        <a:noFill/>
        <a:ln w="3810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56027</xdr:colOff>
      <xdr:row>116</xdr:row>
      <xdr:rowOff>9525</xdr:rowOff>
    </xdr:from>
    <xdr:to>
      <xdr:col>8</xdr:col>
      <xdr:colOff>505944</xdr:colOff>
      <xdr:row>116</xdr:row>
      <xdr:rowOff>9525</xdr:rowOff>
    </xdr:to>
    <xdr:sp macro="" textlink="">
      <xdr:nvSpPr>
        <xdr:cNvPr id="141" name="Line 172">
          <a:extLst>
            <a:ext uri="{FF2B5EF4-FFF2-40B4-BE49-F238E27FC236}">
              <a16:creationId xmlns:a16="http://schemas.microsoft.com/office/drawing/2014/main" id="{00000000-0008-0000-0200-00008D000000}"/>
            </a:ext>
          </a:extLst>
        </xdr:cNvPr>
        <xdr:cNvSpPr>
          <a:spLocks noChangeShapeType="1"/>
        </xdr:cNvSpPr>
      </xdr:nvSpPr>
      <xdr:spPr bwMode="auto">
        <a:xfrm>
          <a:off x="4780427" y="20516850"/>
          <a:ext cx="449917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</xdr:col>
      <xdr:colOff>504263</xdr:colOff>
      <xdr:row>110</xdr:row>
      <xdr:rowOff>112059</xdr:rowOff>
    </xdr:from>
    <xdr:to>
      <xdr:col>9</xdr:col>
      <xdr:colOff>67235</xdr:colOff>
      <xdr:row>117</xdr:row>
      <xdr:rowOff>56030</xdr:rowOff>
    </xdr:to>
    <xdr:sp macro="" textlink="">
      <xdr:nvSpPr>
        <xdr:cNvPr id="142" name="Freeform 170">
          <a:extLst>
            <a:ext uri="{FF2B5EF4-FFF2-40B4-BE49-F238E27FC236}">
              <a16:creationId xmlns:a16="http://schemas.microsoft.com/office/drawing/2014/main" id="{00000000-0008-0000-0200-00008E000000}"/>
            </a:ext>
          </a:extLst>
        </xdr:cNvPr>
        <xdr:cNvSpPr/>
      </xdr:nvSpPr>
      <xdr:spPr>
        <a:xfrm>
          <a:off x="5228663" y="19647834"/>
          <a:ext cx="172572" cy="1077446"/>
        </a:xfrm>
        <a:custGeom>
          <a:avLst/>
          <a:gdLst>
            <a:gd name="connsiteX0" fmla="*/ 168089 w 168089"/>
            <a:gd name="connsiteY0" fmla="*/ 0 h 1042147"/>
            <a:gd name="connsiteX1" fmla="*/ 0 w 168089"/>
            <a:gd name="connsiteY1" fmla="*/ 0 h 1042147"/>
            <a:gd name="connsiteX2" fmla="*/ 0 w 168089"/>
            <a:gd name="connsiteY2" fmla="*/ 1042147 h 104214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</a:cxnLst>
          <a:rect l="l" t="t" r="r" b="b"/>
          <a:pathLst>
            <a:path w="168089" h="1042147">
              <a:moveTo>
                <a:pt x="168089" y="0"/>
              </a:moveTo>
              <a:lnTo>
                <a:pt x="0" y="0"/>
              </a:lnTo>
              <a:lnTo>
                <a:pt x="0" y="1042147"/>
              </a:lnTo>
            </a:path>
          </a:pathLst>
        </a:custGeom>
        <a:noFill/>
        <a:ln w="3810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560291</xdr:colOff>
      <xdr:row>116</xdr:row>
      <xdr:rowOff>9525</xdr:rowOff>
    </xdr:from>
    <xdr:to>
      <xdr:col>9</xdr:col>
      <xdr:colOff>405091</xdr:colOff>
      <xdr:row>116</xdr:row>
      <xdr:rowOff>9525</xdr:rowOff>
    </xdr:to>
    <xdr:sp macro="" textlink="">
      <xdr:nvSpPr>
        <xdr:cNvPr id="143" name="Line 172">
          <a:extLst>
            <a:ext uri="{FF2B5EF4-FFF2-40B4-BE49-F238E27FC236}">
              <a16:creationId xmlns:a16="http://schemas.microsoft.com/office/drawing/2014/main" id="{00000000-0008-0000-0200-00008F000000}"/>
            </a:ext>
          </a:extLst>
        </xdr:cNvPr>
        <xdr:cNvSpPr>
          <a:spLocks noChangeShapeType="1"/>
        </xdr:cNvSpPr>
      </xdr:nvSpPr>
      <xdr:spPr bwMode="auto">
        <a:xfrm>
          <a:off x="5284691" y="20516850"/>
          <a:ext cx="4544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9</xdr:col>
      <xdr:colOff>403410</xdr:colOff>
      <xdr:row>110</xdr:row>
      <xdr:rowOff>112059</xdr:rowOff>
    </xdr:from>
    <xdr:to>
      <xdr:col>10</xdr:col>
      <xdr:colOff>33616</xdr:colOff>
      <xdr:row>117</xdr:row>
      <xdr:rowOff>56030</xdr:rowOff>
    </xdr:to>
    <xdr:sp macro="" textlink="">
      <xdr:nvSpPr>
        <xdr:cNvPr id="144" name="Freeform 172">
          <a:extLst>
            <a:ext uri="{FF2B5EF4-FFF2-40B4-BE49-F238E27FC236}">
              <a16:creationId xmlns:a16="http://schemas.microsoft.com/office/drawing/2014/main" id="{00000000-0008-0000-0200-000090000000}"/>
            </a:ext>
          </a:extLst>
        </xdr:cNvPr>
        <xdr:cNvSpPr/>
      </xdr:nvSpPr>
      <xdr:spPr>
        <a:xfrm>
          <a:off x="5737410" y="19647834"/>
          <a:ext cx="163606" cy="1077446"/>
        </a:xfrm>
        <a:custGeom>
          <a:avLst/>
          <a:gdLst>
            <a:gd name="connsiteX0" fmla="*/ 168089 w 168089"/>
            <a:gd name="connsiteY0" fmla="*/ 0 h 1042147"/>
            <a:gd name="connsiteX1" fmla="*/ 0 w 168089"/>
            <a:gd name="connsiteY1" fmla="*/ 0 h 1042147"/>
            <a:gd name="connsiteX2" fmla="*/ 0 w 168089"/>
            <a:gd name="connsiteY2" fmla="*/ 1042147 h 104214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</a:cxnLst>
          <a:rect l="l" t="t" r="r" b="b"/>
          <a:pathLst>
            <a:path w="168089" h="1042147">
              <a:moveTo>
                <a:pt x="168089" y="0"/>
              </a:moveTo>
              <a:lnTo>
                <a:pt x="0" y="0"/>
              </a:lnTo>
              <a:lnTo>
                <a:pt x="0" y="1042147"/>
              </a:lnTo>
            </a:path>
          </a:pathLst>
        </a:custGeom>
        <a:noFill/>
        <a:ln w="3810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459439</xdr:colOff>
      <xdr:row>116</xdr:row>
      <xdr:rowOff>9525</xdr:rowOff>
    </xdr:from>
    <xdr:to>
      <xdr:col>10</xdr:col>
      <xdr:colOff>371473</xdr:colOff>
      <xdr:row>116</xdr:row>
      <xdr:rowOff>9525</xdr:rowOff>
    </xdr:to>
    <xdr:sp macro="" textlink="">
      <xdr:nvSpPr>
        <xdr:cNvPr id="145" name="Line 172">
          <a:extLst>
            <a:ext uri="{FF2B5EF4-FFF2-40B4-BE49-F238E27FC236}">
              <a16:creationId xmlns:a16="http://schemas.microsoft.com/office/drawing/2014/main" id="{00000000-0008-0000-0200-000091000000}"/>
            </a:ext>
          </a:extLst>
        </xdr:cNvPr>
        <xdr:cNvSpPr>
          <a:spLocks noChangeShapeType="1"/>
        </xdr:cNvSpPr>
      </xdr:nvSpPr>
      <xdr:spPr bwMode="auto">
        <a:xfrm>
          <a:off x="5793439" y="20516850"/>
          <a:ext cx="445434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369792</xdr:colOff>
      <xdr:row>110</xdr:row>
      <xdr:rowOff>112059</xdr:rowOff>
    </xdr:from>
    <xdr:to>
      <xdr:col>11</xdr:col>
      <xdr:colOff>33617</xdr:colOff>
      <xdr:row>117</xdr:row>
      <xdr:rowOff>56030</xdr:rowOff>
    </xdr:to>
    <xdr:sp macro="" textlink="">
      <xdr:nvSpPr>
        <xdr:cNvPr id="146" name="Freeform 174">
          <a:extLst>
            <a:ext uri="{FF2B5EF4-FFF2-40B4-BE49-F238E27FC236}">
              <a16:creationId xmlns:a16="http://schemas.microsoft.com/office/drawing/2014/main" id="{00000000-0008-0000-0200-000092000000}"/>
            </a:ext>
          </a:extLst>
        </xdr:cNvPr>
        <xdr:cNvSpPr/>
      </xdr:nvSpPr>
      <xdr:spPr>
        <a:xfrm>
          <a:off x="6237192" y="19647834"/>
          <a:ext cx="168650" cy="1077446"/>
        </a:xfrm>
        <a:custGeom>
          <a:avLst/>
          <a:gdLst>
            <a:gd name="connsiteX0" fmla="*/ 168089 w 168089"/>
            <a:gd name="connsiteY0" fmla="*/ 0 h 1042147"/>
            <a:gd name="connsiteX1" fmla="*/ 0 w 168089"/>
            <a:gd name="connsiteY1" fmla="*/ 0 h 1042147"/>
            <a:gd name="connsiteX2" fmla="*/ 0 w 168089"/>
            <a:gd name="connsiteY2" fmla="*/ 1042147 h 104214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</a:cxnLst>
          <a:rect l="l" t="t" r="r" b="b"/>
          <a:pathLst>
            <a:path w="168089" h="1042147">
              <a:moveTo>
                <a:pt x="168089" y="0"/>
              </a:moveTo>
              <a:lnTo>
                <a:pt x="0" y="0"/>
              </a:lnTo>
              <a:lnTo>
                <a:pt x="0" y="1042147"/>
              </a:lnTo>
            </a:path>
          </a:pathLst>
        </a:custGeom>
        <a:noFill/>
        <a:ln w="3810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314325</xdr:colOff>
      <xdr:row>81</xdr:row>
      <xdr:rowOff>95250</xdr:rowOff>
    </xdr:from>
    <xdr:to>
      <xdr:col>6</xdr:col>
      <xdr:colOff>180975</xdr:colOff>
      <xdr:row>82</xdr:row>
      <xdr:rowOff>104775</xdr:rowOff>
    </xdr:to>
    <xdr:cxnSp macro="">
      <xdr:nvCxnSpPr>
        <xdr:cNvPr id="147" name="Elbow Connector 147">
          <a:extLst>
            <a:ext uri="{FF2B5EF4-FFF2-40B4-BE49-F238E27FC236}">
              <a16:creationId xmlns:a16="http://schemas.microsoft.com/office/drawing/2014/main" id="{00000000-0008-0000-0200-000093000000}"/>
            </a:ext>
          </a:extLst>
        </xdr:cNvPr>
        <xdr:cNvCxnSpPr/>
      </xdr:nvCxnSpPr>
      <xdr:spPr>
        <a:xfrm>
          <a:off x="2600325" y="14554200"/>
          <a:ext cx="1085850" cy="171450"/>
        </a:xfrm>
        <a:prstGeom prst="bentConnector3">
          <a:avLst/>
        </a:prstGeom>
        <a:ln>
          <a:solidFill>
            <a:schemeClr val="tx1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314325</xdr:colOff>
      <xdr:row>82</xdr:row>
      <xdr:rowOff>104775</xdr:rowOff>
    </xdr:from>
    <xdr:to>
      <xdr:col>6</xdr:col>
      <xdr:colOff>190500</xdr:colOff>
      <xdr:row>82</xdr:row>
      <xdr:rowOff>161926</xdr:rowOff>
    </xdr:to>
    <xdr:cxnSp macro="">
      <xdr:nvCxnSpPr>
        <xdr:cNvPr id="148" name="Elbow Connector 148">
          <a:extLst>
            <a:ext uri="{FF2B5EF4-FFF2-40B4-BE49-F238E27FC236}">
              <a16:creationId xmlns:a16="http://schemas.microsoft.com/office/drawing/2014/main" id="{00000000-0008-0000-0200-000094000000}"/>
            </a:ext>
          </a:extLst>
        </xdr:cNvPr>
        <xdr:cNvCxnSpPr/>
      </xdr:nvCxnSpPr>
      <xdr:spPr>
        <a:xfrm flipV="1">
          <a:off x="2600325" y="14725650"/>
          <a:ext cx="1095375" cy="57151"/>
        </a:xfrm>
        <a:prstGeom prst="bentConnector3">
          <a:avLst/>
        </a:prstGeom>
        <a:ln>
          <a:solidFill>
            <a:schemeClr val="tx1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5</xdr:col>
      <xdr:colOff>369793</xdr:colOff>
      <xdr:row>100</xdr:row>
      <xdr:rowOff>144088</xdr:rowOff>
    </xdr:from>
    <xdr:ext cx="2633384" cy="43210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9" name="TextBox 148">
              <a:extLst>
                <a:ext uri="{FF2B5EF4-FFF2-40B4-BE49-F238E27FC236}">
                  <a16:creationId xmlns:a16="http://schemas.microsoft.com/office/drawing/2014/main" id="{00000000-0008-0000-0200-000095000000}"/>
                </a:ext>
              </a:extLst>
            </xdr:cNvPr>
            <xdr:cNvSpPr txBox="1"/>
          </xdr:nvSpPr>
          <xdr:spPr>
            <a:xfrm>
              <a:off x="3265393" y="17832013"/>
              <a:ext cx="2633384" cy="4321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right"/>
                  </m:oMathParaPr>
                  <m:oMath xmlns:m="http://schemas.openxmlformats.org/officeDocument/2006/math">
                    <m:r>
                      <a:rPr lang="tr-TR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∗</m:t>
                    </m:r>
                    <m:r>
                      <a:rPr lang="tr-TR" sz="1100" b="0" i="1">
                        <a:latin typeface="Cambria Math"/>
                      </a:rPr>
                      <m:t>(</m:t>
                    </m:r>
                    <m:sSup>
                      <m:sSupPr>
                        <m:ctrlPr>
                          <a:rPr lang="tr-TR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tr-TR" sz="1100" b="0" i="1">
                            <a:latin typeface="Cambria Math"/>
                          </a:rPr>
                          <m:t>1.50</m:t>
                        </m:r>
                      </m:e>
                      <m:sup>
                        <m:r>
                          <a:rPr lang="tr-TR" sz="1100" b="0" i="1">
                            <a:latin typeface="Cambria Math"/>
                          </a:rPr>
                          <m:t>2</m:t>
                        </m:r>
                      </m:sup>
                    </m:sSup>
                    <m:r>
                      <a:rPr lang="tr-TR" sz="1100" b="0" i="1">
                        <a:latin typeface="Cambria Math"/>
                      </a:rPr>
                      <m:t>∗</m:t>
                    </m:r>
                    <m:d>
                      <m:dPr>
                        <m:ctrlPr>
                          <a:rPr lang="tr-TR" sz="11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sSub>
                          <m:sSubPr>
                            <m:ctrlPr>
                              <a:rPr lang="tr-TR" sz="11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tr-TR" sz="1100" b="0" i="1">
                                <a:latin typeface="Cambria Math"/>
                              </a:rPr>
                              <m:t>𝑙</m:t>
                            </m:r>
                          </m:e>
                          <m:sub>
                            <m:r>
                              <a:rPr lang="tr-TR" sz="1100" b="0" i="1">
                                <a:latin typeface="Cambria Math"/>
                              </a:rPr>
                              <m:t>𝑘</m:t>
                            </m:r>
                          </m:sub>
                        </m:sSub>
                        <m:r>
                          <a:rPr lang="tr-TR" sz="1100" b="0" i="1">
                            <a:latin typeface="Cambria Math"/>
                          </a:rPr>
                          <m:t>−0.75</m:t>
                        </m:r>
                      </m:e>
                    </m:d>
                    <m:r>
                      <a:rPr lang="tr-TR" sz="1100" b="0" i="1">
                        <a:latin typeface="Cambria Math"/>
                      </a:rPr>
                      <m:t>+ </m:t>
                    </m:r>
                    <m:f>
                      <m:fPr>
                        <m:ctrlPr>
                          <a:rPr lang="tr-TR" sz="110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sSup>
                          <m:sSupPr>
                            <m:ctrlPr>
                              <a:rPr lang="tr-TR" sz="11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r>
                              <a:rPr lang="tr-TR" sz="1100" b="0" i="1">
                                <a:latin typeface="Cambria Math"/>
                              </a:rPr>
                              <m:t>1.50</m:t>
                            </m:r>
                          </m:e>
                          <m:sup>
                            <m:r>
                              <a:rPr lang="tr-TR" sz="1100" b="0" i="1">
                                <a:latin typeface="Cambria Math"/>
                              </a:rPr>
                              <m:t>2</m:t>
                            </m:r>
                          </m:sup>
                        </m:sSup>
                        <m:r>
                          <a:rPr lang="tr-TR" sz="1100" b="0" i="1">
                            <a:latin typeface="Cambria Math"/>
                          </a:rPr>
                          <m:t>∗0.75</m:t>
                        </m:r>
                      </m:num>
                      <m:den>
                        <m:r>
                          <a:rPr lang="tr-TR" sz="1100" b="0" i="1">
                            <a:latin typeface="Cambria Math"/>
                          </a:rPr>
                          <m:t>3</m:t>
                        </m:r>
                      </m:den>
                    </m:f>
                    <m:r>
                      <a:rPr lang="tr-TR" sz="1100" b="0" i="1">
                        <a:latin typeface="Cambria Math"/>
                      </a:rPr>
                      <m:t>)=</m:t>
                    </m:r>
                  </m:oMath>
                </m:oMathPara>
              </a14:m>
              <a:endParaRPr lang="tr-TR" sz="1100"/>
            </a:p>
          </xdr:txBody>
        </xdr:sp>
      </mc:Choice>
      <mc:Fallback xmlns="">
        <xdr:sp macro="" textlink="">
          <xdr:nvSpPr>
            <xdr:cNvPr id="149" name="TextBox 148">
              <a:extLst>
                <a:ext uri="{FF2B5EF4-FFF2-40B4-BE49-F238E27FC236}">
                  <a16:creationId xmlns:a16="http://schemas.microsoft.com/office/drawing/2014/main" id="{3D5495D1-65BB-494D-B501-839E22A0F318}"/>
                </a:ext>
              </a:extLst>
            </xdr:cNvPr>
            <xdr:cNvSpPr txBox="1"/>
          </xdr:nvSpPr>
          <xdr:spPr>
            <a:xfrm>
              <a:off x="3265393" y="17832013"/>
              <a:ext cx="2633384" cy="4321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tr-TR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∗</a:t>
              </a:r>
              <a:r>
                <a:rPr lang="tr-TR" sz="1100" b="0" i="0">
                  <a:latin typeface="Cambria Math"/>
                </a:rPr>
                <a:t>(</a:t>
              </a:r>
              <a:r>
                <a:rPr lang="tr-TR" sz="1100" b="0" i="0">
                  <a:latin typeface="Cambria Math" panose="02040503050406030204" pitchFamily="18" charset="0"/>
                </a:rPr>
                <a:t>〖</a:t>
              </a:r>
              <a:r>
                <a:rPr lang="tr-TR" sz="1100" b="0" i="0">
                  <a:latin typeface="Cambria Math"/>
                </a:rPr>
                <a:t>1.50</a:t>
              </a:r>
              <a:r>
                <a:rPr lang="tr-TR" sz="1100" b="0" i="0">
                  <a:latin typeface="Cambria Math" panose="02040503050406030204" pitchFamily="18" charset="0"/>
                </a:rPr>
                <a:t>〗^</a:t>
              </a:r>
              <a:r>
                <a:rPr lang="tr-TR" sz="1100" b="0" i="0">
                  <a:latin typeface="Cambria Math"/>
                </a:rPr>
                <a:t>2∗</a:t>
              </a:r>
              <a:r>
                <a:rPr lang="tr-TR" sz="1100" b="0" i="0">
                  <a:latin typeface="Cambria Math" panose="02040503050406030204" pitchFamily="18" charset="0"/>
                </a:rPr>
                <a:t>(</a:t>
              </a:r>
              <a:r>
                <a:rPr lang="tr-TR" sz="1100" b="0" i="0">
                  <a:latin typeface="Cambria Math"/>
                </a:rPr>
                <a:t>𝑙</a:t>
              </a:r>
              <a:r>
                <a:rPr lang="tr-TR" sz="1100" b="0" i="0">
                  <a:latin typeface="Cambria Math" panose="02040503050406030204" pitchFamily="18" charset="0"/>
                </a:rPr>
                <a:t>_</a:t>
              </a:r>
              <a:r>
                <a:rPr lang="tr-TR" sz="1100" b="0" i="0">
                  <a:latin typeface="Cambria Math"/>
                </a:rPr>
                <a:t>𝑘−0.75</a:t>
              </a:r>
              <a:r>
                <a:rPr lang="tr-TR" sz="1100" b="0" i="0">
                  <a:latin typeface="Cambria Math" panose="02040503050406030204" pitchFamily="18" charset="0"/>
                </a:rPr>
                <a:t>)</a:t>
              </a:r>
              <a:r>
                <a:rPr lang="tr-TR" sz="1100" b="0" i="0">
                  <a:latin typeface="Cambria Math"/>
                </a:rPr>
                <a:t>+ </a:t>
              </a:r>
              <a:r>
                <a:rPr lang="tr-TR" sz="1100" b="0" i="0">
                  <a:latin typeface="Cambria Math" panose="02040503050406030204" pitchFamily="18" charset="0"/>
                </a:rPr>
                <a:t> (〖</a:t>
              </a:r>
              <a:r>
                <a:rPr lang="tr-TR" sz="1100" b="0" i="0">
                  <a:latin typeface="Cambria Math"/>
                </a:rPr>
                <a:t>1.50</a:t>
              </a:r>
              <a:r>
                <a:rPr lang="tr-TR" sz="1100" b="0" i="0">
                  <a:latin typeface="Cambria Math" panose="02040503050406030204" pitchFamily="18" charset="0"/>
                </a:rPr>
                <a:t>〗^</a:t>
              </a:r>
              <a:r>
                <a:rPr lang="tr-TR" sz="1100" b="0" i="0">
                  <a:latin typeface="Cambria Math"/>
                </a:rPr>
                <a:t>2∗0.75</a:t>
              </a:r>
              <a:r>
                <a:rPr lang="tr-TR" sz="1100" b="0" i="0">
                  <a:latin typeface="Cambria Math" panose="02040503050406030204" pitchFamily="18" charset="0"/>
                </a:rPr>
                <a:t>)/</a:t>
              </a:r>
              <a:r>
                <a:rPr lang="tr-TR" sz="1100" b="0" i="0">
                  <a:latin typeface="Cambria Math"/>
                </a:rPr>
                <a:t>3)=</a:t>
              </a:r>
              <a:endParaRPr lang="tr-TR" sz="1100"/>
            </a:p>
          </xdr:txBody>
        </xdr:sp>
      </mc:Fallback>
    </mc:AlternateContent>
    <xdr:clientData/>
  </xdr:oneCellAnchor>
  <xdr:twoCellAnchor>
    <xdr:from>
      <xdr:col>11</xdr:col>
      <xdr:colOff>330013</xdr:colOff>
      <xdr:row>99</xdr:row>
      <xdr:rowOff>65558</xdr:rowOff>
    </xdr:from>
    <xdr:to>
      <xdr:col>13</xdr:col>
      <xdr:colOff>593912</xdr:colOff>
      <xdr:row>99</xdr:row>
      <xdr:rowOff>65558</xdr:rowOff>
    </xdr:to>
    <xdr:sp macro="" textlink="">
      <xdr:nvSpPr>
        <xdr:cNvPr id="150" name="Line 138">
          <a:extLst>
            <a:ext uri="{FF2B5EF4-FFF2-40B4-BE49-F238E27FC236}">
              <a16:creationId xmlns:a16="http://schemas.microsoft.com/office/drawing/2014/main" id="{00000000-0008-0000-0200-000096000000}"/>
            </a:ext>
          </a:extLst>
        </xdr:cNvPr>
        <xdr:cNvSpPr>
          <a:spLocks noChangeShapeType="1"/>
        </xdr:cNvSpPr>
      </xdr:nvSpPr>
      <xdr:spPr bwMode="auto">
        <a:xfrm>
          <a:off x="6702238" y="17591558"/>
          <a:ext cx="1416424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465604</xdr:colOff>
      <xdr:row>98</xdr:row>
      <xdr:rowOff>67235</xdr:rowOff>
    </xdr:from>
    <xdr:to>
      <xdr:col>12</xdr:col>
      <xdr:colOff>465604</xdr:colOff>
      <xdr:row>102</xdr:row>
      <xdr:rowOff>101974</xdr:rowOff>
    </xdr:to>
    <xdr:sp macro="" textlink="">
      <xdr:nvSpPr>
        <xdr:cNvPr id="151" name="Line 167">
          <a:extLst>
            <a:ext uri="{FF2B5EF4-FFF2-40B4-BE49-F238E27FC236}">
              <a16:creationId xmlns:a16="http://schemas.microsoft.com/office/drawing/2014/main" id="{00000000-0008-0000-0200-000097000000}"/>
            </a:ext>
          </a:extLst>
        </xdr:cNvPr>
        <xdr:cNvSpPr>
          <a:spLocks noChangeShapeType="1"/>
        </xdr:cNvSpPr>
      </xdr:nvSpPr>
      <xdr:spPr bwMode="auto">
        <a:xfrm>
          <a:off x="7380754" y="17431310"/>
          <a:ext cx="0" cy="834839"/>
        </a:xfrm>
        <a:prstGeom prst="line">
          <a:avLst/>
        </a:prstGeom>
        <a:noFill/>
        <a:ln w="4127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262778</xdr:colOff>
      <xdr:row>99</xdr:row>
      <xdr:rowOff>67235</xdr:rowOff>
    </xdr:from>
    <xdr:to>
      <xdr:col>12</xdr:col>
      <xdr:colOff>262778</xdr:colOff>
      <xdr:row>102</xdr:row>
      <xdr:rowOff>112059</xdr:rowOff>
    </xdr:to>
    <xdr:sp macro="" textlink="">
      <xdr:nvSpPr>
        <xdr:cNvPr id="152" name="Line 144">
          <a:extLst>
            <a:ext uri="{FF2B5EF4-FFF2-40B4-BE49-F238E27FC236}">
              <a16:creationId xmlns:a16="http://schemas.microsoft.com/office/drawing/2014/main" id="{00000000-0008-0000-0200-000098000000}"/>
            </a:ext>
          </a:extLst>
        </xdr:cNvPr>
        <xdr:cNvSpPr>
          <a:spLocks noChangeShapeType="1"/>
        </xdr:cNvSpPr>
      </xdr:nvSpPr>
      <xdr:spPr bwMode="auto">
        <a:xfrm>
          <a:off x="7177928" y="17593235"/>
          <a:ext cx="0" cy="682999"/>
        </a:xfrm>
        <a:prstGeom prst="line">
          <a:avLst/>
        </a:prstGeom>
        <a:noFill/>
        <a:ln w="12700">
          <a:solidFill>
            <a:srgbClr val="000000"/>
          </a:solidFill>
          <a:prstDash val="sysDash"/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105895</xdr:colOff>
      <xdr:row>99</xdr:row>
      <xdr:rowOff>78441</xdr:rowOff>
    </xdr:from>
    <xdr:to>
      <xdr:col>13</xdr:col>
      <xdr:colOff>105895</xdr:colOff>
      <xdr:row>102</xdr:row>
      <xdr:rowOff>112059</xdr:rowOff>
    </xdr:to>
    <xdr:sp macro="" textlink="">
      <xdr:nvSpPr>
        <xdr:cNvPr id="153" name="Line 144">
          <a:extLst>
            <a:ext uri="{FF2B5EF4-FFF2-40B4-BE49-F238E27FC236}">
              <a16:creationId xmlns:a16="http://schemas.microsoft.com/office/drawing/2014/main" id="{00000000-0008-0000-0200-000099000000}"/>
            </a:ext>
          </a:extLst>
        </xdr:cNvPr>
        <xdr:cNvSpPr>
          <a:spLocks noChangeShapeType="1"/>
        </xdr:cNvSpPr>
      </xdr:nvSpPr>
      <xdr:spPr bwMode="auto">
        <a:xfrm>
          <a:off x="7630645" y="17604441"/>
          <a:ext cx="0" cy="671793"/>
        </a:xfrm>
        <a:prstGeom prst="line">
          <a:avLst/>
        </a:prstGeom>
        <a:noFill/>
        <a:ln w="12700">
          <a:solidFill>
            <a:srgbClr val="000000"/>
          </a:solidFill>
          <a:prstDash val="sysDash"/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251571</xdr:colOff>
      <xdr:row>102</xdr:row>
      <xdr:rowOff>96371</xdr:rowOff>
    </xdr:from>
    <xdr:to>
      <xdr:col>12</xdr:col>
      <xdr:colOff>481852</xdr:colOff>
      <xdr:row>104</xdr:row>
      <xdr:rowOff>44823</xdr:rowOff>
    </xdr:to>
    <xdr:sp macro="" textlink="">
      <xdr:nvSpPr>
        <xdr:cNvPr id="154" name="Line 144">
          <a:extLst>
            <a:ext uri="{FF2B5EF4-FFF2-40B4-BE49-F238E27FC236}">
              <a16:creationId xmlns:a16="http://schemas.microsoft.com/office/drawing/2014/main" id="{00000000-0008-0000-0200-00009A000000}"/>
            </a:ext>
          </a:extLst>
        </xdr:cNvPr>
        <xdr:cNvSpPr>
          <a:spLocks noChangeShapeType="1"/>
        </xdr:cNvSpPr>
      </xdr:nvSpPr>
      <xdr:spPr bwMode="auto">
        <a:xfrm>
          <a:off x="7166721" y="18260546"/>
          <a:ext cx="230281" cy="310402"/>
        </a:xfrm>
        <a:prstGeom prst="line">
          <a:avLst/>
        </a:prstGeom>
        <a:noFill/>
        <a:ln w="12700">
          <a:solidFill>
            <a:srgbClr val="000000"/>
          </a:solidFill>
          <a:prstDash val="sysDash"/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475689</xdr:colOff>
      <xdr:row>102</xdr:row>
      <xdr:rowOff>96371</xdr:rowOff>
    </xdr:from>
    <xdr:to>
      <xdr:col>13</xdr:col>
      <xdr:colOff>100852</xdr:colOff>
      <xdr:row>104</xdr:row>
      <xdr:rowOff>44823</xdr:rowOff>
    </xdr:to>
    <xdr:sp macro="" textlink="">
      <xdr:nvSpPr>
        <xdr:cNvPr id="155" name="Line 144">
          <a:extLst>
            <a:ext uri="{FF2B5EF4-FFF2-40B4-BE49-F238E27FC236}">
              <a16:creationId xmlns:a16="http://schemas.microsoft.com/office/drawing/2014/main" id="{00000000-0008-0000-0200-00009B000000}"/>
            </a:ext>
          </a:extLst>
        </xdr:cNvPr>
        <xdr:cNvSpPr>
          <a:spLocks noChangeShapeType="1"/>
        </xdr:cNvSpPr>
      </xdr:nvSpPr>
      <xdr:spPr bwMode="auto">
        <a:xfrm flipH="1">
          <a:off x="7390839" y="18260546"/>
          <a:ext cx="234763" cy="310402"/>
        </a:xfrm>
        <a:prstGeom prst="line">
          <a:avLst/>
        </a:prstGeom>
        <a:noFill/>
        <a:ln w="12700">
          <a:solidFill>
            <a:srgbClr val="000000"/>
          </a:solidFill>
          <a:prstDash val="sysDash"/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520513</xdr:colOff>
      <xdr:row>102</xdr:row>
      <xdr:rowOff>99176</xdr:rowOff>
    </xdr:from>
    <xdr:to>
      <xdr:col>13</xdr:col>
      <xdr:colOff>414616</xdr:colOff>
      <xdr:row>102</xdr:row>
      <xdr:rowOff>99176</xdr:rowOff>
    </xdr:to>
    <xdr:sp macro="" textlink="">
      <xdr:nvSpPr>
        <xdr:cNvPr id="156" name="Line 138">
          <a:extLst>
            <a:ext uri="{FF2B5EF4-FFF2-40B4-BE49-F238E27FC236}">
              <a16:creationId xmlns:a16="http://schemas.microsoft.com/office/drawing/2014/main" id="{00000000-0008-0000-0200-00009C000000}"/>
            </a:ext>
          </a:extLst>
        </xdr:cNvPr>
        <xdr:cNvSpPr>
          <a:spLocks noChangeShapeType="1"/>
        </xdr:cNvSpPr>
      </xdr:nvSpPr>
      <xdr:spPr bwMode="auto">
        <a:xfrm>
          <a:off x="7435663" y="18263351"/>
          <a:ext cx="503703" cy="0"/>
        </a:xfrm>
        <a:prstGeom prst="line">
          <a:avLst/>
        </a:prstGeom>
        <a:noFill/>
        <a:ln w="317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520513</xdr:colOff>
      <xdr:row>104</xdr:row>
      <xdr:rowOff>31940</xdr:rowOff>
    </xdr:from>
    <xdr:to>
      <xdr:col>13</xdr:col>
      <xdr:colOff>537882</xdr:colOff>
      <xdr:row>104</xdr:row>
      <xdr:rowOff>31940</xdr:rowOff>
    </xdr:to>
    <xdr:sp macro="" textlink="">
      <xdr:nvSpPr>
        <xdr:cNvPr id="157" name="Line 138">
          <a:extLst>
            <a:ext uri="{FF2B5EF4-FFF2-40B4-BE49-F238E27FC236}">
              <a16:creationId xmlns:a16="http://schemas.microsoft.com/office/drawing/2014/main" id="{00000000-0008-0000-0200-00009D000000}"/>
            </a:ext>
          </a:extLst>
        </xdr:cNvPr>
        <xdr:cNvSpPr>
          <a:spLocks noChangeShapeType="1"/>
        </xdr:cNvSpPr>
      </xdr:nvSpPr>
      <xdr:spPr bwMode="auto">
        <a:xfrm>
          <a:off x="7435663" y="18558065"/>
          <a:ext cx="626969" cy="0"/>
        </a:xfrm>
        <a:prstGeom prst="line">
          <a:avLst/>
        </a:prstGeom>
        <a:noFill/>
        <a:ln w="317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486895</xdr:colOff>
      <xdr:row>99</xdr:row>
      <xdr:rowOff>44823</xdr:rowOff>
    </xdr:from>
    <xdr:to>
      <xdr:col>13</xdr:col>
      <xdr:colOff>486895</xdr:colOff>
      <xdr:row>104</xdr:row>
      <xdr:rowOff>56029</xdr:rowOff>
    </xdr:to>
    <xdr:sp macro="" textlink="">
      <xdr:nvSpPr>
        <xdr:cNvPr id="158" name="Line 144">
          <a:extLst>
            <a:ext uri="{FF2B5EF4-FFF2-40B4-BE49-F238E27FC236}">
              <a16:creationId xmlns:a16="http://schemas.microsoft.com/office/drawing/2014/main" id="{00000000-0008-0000-0200-00009E000000}"/>
            </a:ext>
          </a:extLst>
        </xdr:cNvPr>
        <xdr:cNvSpPr>
          <a:spLocks noChangeShapeType="1"/>
        </xdr:cNvSpPr>
      </xdr:nvSpPr>
      <xdr:spPr bwMode="auto">
        <a:xfrm>
          <a:off x="8011645" y="17570823"/>
          <a:ext cx="0" cy="1011331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397249</xdr:colOff>
      <xdr:row>102</xdr:row>
      <xdr:rowOff>67236</xdr:rowOff>
    </xdr:from>
    <xdr:to>
      <xdr:col>13</xdr:col>
      <xdr:colOff>397249</xdr:colOff>
      <xdr:row>104</xdr:row>
      <xdr:rowOff>56029</xdr:rowOff>
    </xdr:to>
    <xdr:sp macro="" textlink="">
      <xdr:nvSpPr>
        <xdr:cNvPr id="159" name="Line 144">
          <a:extLst>
            <a:ext uri="{FF2B5EF4-FFF2-40B4-BE49-F238E27FC236}">
              <a16:creationId xmlns:a16="http://schemas.microsoft.com/office/drawing/2014/main" id="{00000000-0008-0000-0200-00009F000000}"/>
            </a:ext>
          </a:extLst>
        </xdr:cNvPr>
        <xdr:cNvSpPr>
          <a:spLocks noChangeShapeType="1"/>
        </xdr:cNvSpPr>
      </xdr:nvSpPr>
      <xdr:spPr bwMode="auto">
        <a:xfrm>
          <a:off x="7921999" y="18231411"/>
          <a:ext cx="0" cy="350743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94690</xdr:colOff>
      <xdr:row>97</xdr:row>
      <xdr:rowOff>134471</xdr:rowOff>
    </xdr:from>
    <xdr:to>
      <xdr:col>13</xdr:col>
      <xdr:colOff>94690</xdr:colOff>
      <xdr:row>99</xdr:row>
      <xdr:rowOff>11206</xdr:rowOff>
    </xdr:to>
    <xdr:sp macro="" textlink="">
      <xdr:nvSpPr>
        <xdr:cNvPr id="160" name="Line 144">
          <a:extLst>
            <a:ext uri="{FF2B5EF4-FFF2-40B4-BE49-F238E27FC236}">
              <a16:creationId xmlns:a16="http://schemas.microsoft.com/office/drawing/2014/main" id="{00000000-0008-0000-0200-0000A0000000}"/>
            </a:ext>
          </a:extLst>
        </xdr:cNvPr>
        <xdr:cNvSpPr>
          <a:spLocks noChangeShapeType="1"/>
        </xdr:cNvSpPr>
      </xdr:nvSpPr>
      <xdr:spPr bwMode="auto">
        <a:xfrm>
          <a:off x="7619440" y="17336621"/>
          <a:ext cx="0" cy="20058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212911</xdr:colOff>
      <xdr:row>98</xdr:row>
      <xdr:rowOff>9529</xdr:rowOff>
    </xdr:from>
    <xdr:to>
      <xdr:col>13</xdr:col>
      <xdr:colOff>134470</xdr:colOff>
      <xdr:row>98</xdr:row>
      <xdr:rowOff>9529</xdr:rowOff>
    </xdr:to>
    <xdr:sp macro="" textlink="">
      <xdr:nvSpPr>
        <xdr:cNvPr id="161" name="Line 138">
          <a:extLst>
            <a:ext uri="{FF2B5EF4-FFF2-40B4-BE49-F238E27FC236}">
              <a16:creationId xmlns:a16="http://schemas.microsoft.com/office/drawing/2014/main" id="{00000000-0008-0000-0200-0000A1000000}"/>
            </a:ext>
          </a:extLst>
        </xdr:cNvPr>
        <xdr:cNvSpPr>
          <a:spLocks noChangeShapeType="1"/>
        </xdr:cNvSpPr>
      </xdr:nvSpPr>
      <xdr:spPr bwMode="auto">
        <a:xfrm>
          <a:off x="7128061" y="17373604"/>
          <a:ext cx="531159" cy="0"/>
        </a:xfrm>
        <a:prstGeom prst="line">
          <a:avLst/>
        </a:prstGeom>
        <a:noFill/>
        <a:ln w="317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251572</xdr:colOff>
      <xdr:row>97</xdr:row>
      <xdr:rowOff>134471</xdr:rowOff>
    </xdr:from>
    <xdr:to>
      <xdr:col>12</xdr:col>
      <xdr:colOff>251572</xdr:colOff>
      <xdr:row>99</xdr:row>
      <xdr:rowOff>11206</xdr:rowOff>
    </xdr:to>
    <xdr:sp macro="" textlink="">
      <xdr:nvSpPr>
        <xdr:cNvPr id="162" name="Line 144">
          <a:extLst>
            <a:ext uri="{FF2B5EF4-FFF2-40B4-BE49-F238E27FC236}">
              <a16:creationId xmlns:a16="http://schemas.microsoft.com/office/drawing/2014/main" id="{00000000-0008-0000-0200-0000A2000000}"/>
            </a:ext>
          </a:extLst>
        </xdr:cNvPr>
        <xdr:cNvSpPr>
          <a:spLocks noChangeShapeType="1"/>
        </xdr:cNvSpPr>
      </xdr:nvSpPr>
      <xdr:spPr bwMode="auto">
        <a:xfrm>
          <a:off x="7166722" y="17336621"/>
          <a:ext cx="0" cy="20058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142875</xdr:colOff>
      <xdr:row>177</xdr:row>
      <xdr:rowOff>66675</xdr:rowOff>
    </xdr:from>
    <xdr:to>
      <xdr:col>5</xdr:col>
      <xdr:colOff>466725</xdr:colOff>
      <xdr:row>182</xdr:row>
      <xdr:rowOff>133350</xdr:rowOff>
    </xdr:to>
    <xdr:sp macro="" textlink="">
      <xdr:nvSpPr>
        <xdr:cNvPr id="163" name="Rectangle 162">
          <a:extLst>
            <a:ext uri="{FF2B5EF4-FFF2-40B4-BE49-F238E27FC236}">
              <a16:creationId xmlns:a16="http://schemas.microsoft.com/office/drawing/2014/main" id="{00000000-0008-0000-0200-0000A3000000}"/>
            </a:ext>
          </a:extLst>
        </xdr:cNvPr>
        <xdr:cNvSpPr/>
      </xdr:nvSpPr>
      <xdr:spPr>
        <a:xfrm>
          <a:off x="2428875" y="30765750"/>
          <a:ext cx="933450" cy="876300"/>
        </a:xfrm>
        <a:prstGeom prst="rect">
          <a:avLst/>
        </a:prstGeom>
        <a:pattFill prst="ltUpDiag">
          <a:fgClr>
            <a:schemeClr val="bg1">
              <a:lumMod val="50000"/>
            </a:schemeClr>
          </a:fgClr>
          <a:bgClr>
            <a:schemeClr val="bg1"/>
          </a:bgClr>
        </a:pattFill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r-TR" sz="1100"/>
        </a:p>
      </xdr:txBody>
    </xdr:sp>
    <xdr:clientData/>
  </xdr:twoCellAnchor>
  <xdr:twoCellAnchor>
    <xdr:from>
      <xdr:col>2</xdr:col>
      <xdr:colOff>600075</xdr:colOff>
      <xdr:row>177</xdr:row>
      <xdr:rowOff>0</xdr:rowOff>
    </xdr:from>
    <xdr:to>
      <xdr:col>10</xdr:col>
      <xdr:colOff>38100</xdr:colOff>
      <xdr:row>177</xdr:row>
      <xdr:rowOff>0</xdr:rowOff>
    </xdr:to>
    <xdr:sp macro="" textlink="">
      <xdr:nvSpPr>
        <xdr:cNvPr id="164" name="Line 108">
          <a:extLst>
            <a:ext uri="{FF2B5EF4-FFF2-40B4-BE49-F238E27FC236}">
              <a16:creationId xmlns:a16="http://schemas.microsoft.com/office/drawing/2014/main" id="{00000000-0008-0000-0200-0000A4000000}"/>
            </a:ext>
          </a:extLst>
        </xdr:cNvPr>
        <xdr:cNvSpPr>
          <a:spLocks noChangeShapeType="1"/>
        </xdr:cNvSpPr>
      </xdr:nvSpPr>
      <xdr:spPr bwMode="auto">
        <a:xfrm>
          <a:off x="1666875" y="30699075"/>
          <a:ext cx="4238625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0</xdr:colOff>
      <xdr:row>182</xdr:row>
      <xdr:rowOff>152400</xdr:rowOff>
    </xdr:from>
    <xdr:to>
      <xdr:col>10</xdr:col>
      <xdr:colOff>9525</xdr:colOff>
      <xdr:row>182</xdr:row>
      <xdr:rowOff>152400</xdr:rowOff>
    </xdr:to>
    <xdr:sp macro="" textlink="">
      <xdr:nvSpPr>
        <xdr:cNvPr id="165" name="Line 109">
          <a:extLst>
            <a:ext uri="{FF2B5EF4-FFF2-40B4-BE49-F238E27FC236}">
              <a16:creationId xmlns:a16="http://schemas.microsoft.com/office/drawing/2014/main" id="{00000000-0008-0000-0200-0000A5000000}"/>
            </a:ext>
          </a:extLst>
        </xdr:cNvPr>
        <xdr:cNvSpPr>
          <a:spLocks noChangeShapeType="1"/>
        </xdr:cNvSpPr>
      </xdr:nvSpPr>
      <xdr:spPr bwMode="auto">
        <a:xfrm>
          <a:off x="1676400" y="31661100"/>
          <a:ext cx="4200525" cy="0"/>
        </a:xfrm>
        <a:prstGeom prst="line">
          <a:avLst/>
        </a:prstGeom>
        <a:noFill/>
        <a:ln w="190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0</xdr:colOff>
      <xdr:row>175</xdr:row>
      <xdr:rowOff>152400</xdr:rowOff>
    </xdr:from>
    <xdr:to>
      <xdr:col>10</xdr:col>
      <xdr:colOff>0</xdr:colOff>
      <xdr:row>184</xdr:row>
      <xdr:rowOff>19050</xdr:rowOff>
    </xdr:to>
    <xdr:sp macro="" textlink="">
      <xdr:nvSpPr>
        <xdr:cNvPr id="166" name="Line 110">
          <a:extLst>
            <a:ext uri="{FF2B5EF4-FFF2-40B4-BE49-F238E27FC236}">
              <a16:creationId xmlns:a16="http://schemas.microsoft.com/office/drawing/2014/main" id="{00000000-0008-0000-0200-0000A6000000}"/>
            </a:ext>
          </a:extLst>
        </xdr:cNvPr>
        <xdr:cNvSpPr>
          <a:spLocks noChangeShapeType="1"/>
        </xdr:cNvSpPr>
      </xdr:nvSpPr>
      <xdr:spPr bwMode="auto">
        <a:xfrm>
          <a:off x="5867400" y="30527625"/>
          <a:ext cx="0" cy="1323975"/>
        </a:xfrm>
        <a:prstGeom prst="line">
          <a:avLst/>
        </a:prstGeom>
        <a:noFill/>
        <a:ln w="9525">
          <a:solidFill>
            <a:srgbClr val="000000"/>
          </a:solidFill>
          <a:prstDash val="lgDashDot"/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600075</xdr:colOff>
      <xdr:row>175</xdr:row>
      <xdr:rowOff>152400</xdr:rowOff>
    </xdr:from>
    <xdr:to>
      <xdr:col>2</xdr:col>
      <xdr:colOff>600075</xdr:colOff>
      <xdr:row>184</xdr:row>
      <xdr:rowOff>0</xdr:rowOff>
    </xdr:to>
    <xdr:sp macro="" textlink="">
      <xdr:nvSpPr>
        <xdr:cNvPr id="167" name="Line 111">
          <a:extLst>
            <a:ext uri="{FF2B5EF4-FFF2-40B4-BE49-F238E27FC236}">
              <a16:creationId xmlns:a16="http://schemas.microsoft.com/office/drawing/2014/main" id="{00000000-0008-0000-0200-0000A7000000}"/>
            </a:ext>
          </a:extLst>
        </xdr:cNvPr>
        <xdr:cNvSpPr>
          <a:spLocks noChangeShapeType="1"/>
        </xdr:cNvSpPr>
      </xdr:nvSpPr>
      <xdr:spPr bwMode="auto">
        <a:xfrm>
          <a:off x="1666875" y="30527625"/>
          <a:ext cx="0" cy="1304925"/>
        </a:xfrm>
        <a:prstGeom prst="line">
          <a:avLst/>
        </a:prstGeom>
        <a:noFill/>
        <a:ln w="9525">
          <a:solidFill>
            <a:srgbClr val="000000"/>
          </a:solidFill>
          <a:prstDash val="lgDashDotDot"/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600075</xdr:colOff>
      <xdr:row>179</xdr:row>
      <xdr:rowOff>9525</xdr:rowOff>
    </xdr:from>
    <xdr:to>
      <xdr:col>5</xdr:col>
      <xdr:colOff>352425</xdr:colOff>
      <xdr:row>179</xdr:row>
      <xdr:rowOff>9525</xdr:rowOff>
    </xdr:to>
    <xdr:sp macro="" textlink="">
      <xdr:nvSpPr>
        <xdr:cNvPr id="168" name="Line 112">
          <a:extLst>
            <a:ext uri="{FF2B5EF4-FFF2-40B4-BE49-F238E27FC236}">
              <a16:creationId xmlns:a16="http://schemas.microsoft.com/office/drawing/2014/main" id="{00000000-0008-0000-0200-0000A8000000}"/>
            </a:ext>
          </a:extLst>
        </xdr:cNvPr>
        <xdr:cNvSpPr>
          <a:spLocks noChangeShapeType="1"/>
        </xdr:cNvSpPr>
      </xdr:nvSpPr>
      <xdr:spPr bwMode="auto">
        <a:xfrm>
          <a:off x="2886075" y="31032450"/>
          <a:ext cx="361950" cy="0"/>
        </a:xfrm>
        <a:prstGeom prst="line">
          <a:avLst/>
        </a:prstGeom>
        <a:noFill/>
        <a:ln w="571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</xdr:col>
      <xdr:colOff>9525</xdr:colOff>
      <xdr:row>179</xdr:row>
      <xdr:rowOff>9525</xdr:rowOff>
    </xdr:from>
    <xdr:to>
      <xdr:col>5</xdr:col>
      <xdr:colOff>9525</xdr:colOff>
      <xdr:row>190</xdr:row>
      <xdr:rowOff>9525</xdr:rowOff>
    </xdr:to>
    <xdr:sp macro="" textlink="">
      <xdr:nvSpPr>
        <xdr:cNvPr id="169" name="Line 113">
          <a:extLst>
            <a:ext uri="{FF2B5EF4-FFF2-40B4-BE49-F238E27FC236}">
              <a16:creationId xmlns:a16="http://schemas.microsoft.com/office/drawing/2014/main" id="{00000000-0008-0000-0200-0000A9000000}"/>
            </a:ext>
          </a:extLst>
        </xdr:cNvPr>
        <xdr:cNvSpPr>
          <a:spLocks noChangeShapeType="1"/>
        </xdr:cNvSpPr>
      </xdr:nvSpPr>
      <xdr:spPr bwMode="auto">
        <a:xfrm>
          <a:off x="2905125" y="31032450"/>
          <a:ext cx="0" cy="1781175"/>
        </a:xfrm>
        <a:prstGeom prst="line">
          <a:avLst/>
        </a:prstGeom>
        <a:noFill/>
        <a:ln w="571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647700</xdr:colOff>
      <xdr:row>176</xdr:row>
      <xdr:rowOff>85725</xdr:rowOff>
    </xdr:from>
    <xdr:to>
      <xdr:col>7</xdr:col>
      <xdr:colOff>647700</xdr:colOff>
      <xdr:row>183</xdr:row>
      <xdr:rowOff>57150</xdr:rowOff>
    </xdr:to>
    <xdr:sp macro="" textlink="">
      <xdr:nvSpPr>
        <xdr:cNvPr id="170" name="Line 130">
          <a:extLst>
            <a:ext uri="{FF2B5EF4-FFF2-40B4-BE49-F238E27FC236}">
              <a16:creationId xmlns:a16="http://schemas.microsoft.com/office/drawing/2014/main" id="{00000000-0008-0000-0200-0000AA000000}"/>
            </a:ext>
          </a:extLst>
        </xdr:cNvPr>
        <xdr:cNvSpPr>
          <a:spLocks noChangeShapeType="1"/>
        </xdr:cNvSpPr>
      </xdr:nvSpPr>
      <xdr:spPr bwMode="auto">
        <a:xfrm>
          <a:off x="4724400" y="30622875"/>
          <a:ext cx="0" cy="11049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</xdr:col>
      <xdr:colOff>38100</xdr:colOff>
      <xdr:row>188</xdr:row>
      <xdr:rowOff>0</xdr:rowOff>
    </xdr:from>
    <xdr:to>
      <xdr:col>6</xdr:col>
      <xdr:colOff>342900</xdr:colOff>
      <xdr:row>188</xdr:row>
      <xdr:rowOff>0</xdr:rowOff>
    </xdr:to>
    <xdr:sp macro="" textlink="">
      <xdr:nvSpPr>
        <xdr:cNvPr id="171" name="Line 133">
          <a:extLst>
            <a:ext uri="{FF2B5EF4-FFF2-40B4-BE49-F238E27FC236}">
              <a16:creationId xmlns:a16="http://schemas.microsoft.com/office/drawing/2014/main" id="{00000000-0008-0000-0200-0000AB000000}"/>
            </a:ext>
          </a:extLst>
        </xdr:cNvPr>
        <xdr:cNvSpPr>
          <a:spLocks noChangeShapeType="1"/>
        </xdr:cNvSpPr>
      </xdr:nvSpPr>
      <xdr:spPr bwMode="auto">
        <a:xfrm flipH="1">
          <a:off x="2933700" y="32480250"/>
          <a:ext cx="9144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609600</xdr:colOff>
      <xdr:row>182</xdr:row>
      <xdr:rowOff>104775</xdr:rowOff>
    </xdr:from>
    <xdr:to>
      <xdr:col>8</xdr:col>
      <xdr:colOff>28575</xdr:colOff>
      <xdr:row>183</xdr:row>
      <xdr:rowOff>9525</xdr:rowOff>
    </xdr:to>
    <xdr:sp macro="" textlink="">
      <xdr:nvSpPr>
        <xdr:cNvPr id="172" name="Line 125">
          <a:extLst>
            <a:ext uri="{FF2B5EF4-FFF2-40B4-BE49-F238E27FC236}">
              <a16:creationId xmlns:a16="http://schemas.microsoft.com/office/drawing/2014/main" id="{00000000-0008-0000-0200-0000AC000000}"/>
            </a:ext>
          </a:extLst>
        </xdr:cNvPr>
        <xdr:cNvSpPr>
          <a:spLocks noChangeShapeType="1"/>
        </xdr:cNvSpPr>
      </xdr:nvSpPr>
      <xdr:spPr bwMode="auto">
        <a:xfrm flipH="1">
          <a:off x="4724400" y="31613475"/>
          <a:ext cx="28575" cy="666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600075</xdr:colOff>
      <xdr:row>176</xdr:row>
      <xdr:rowOff>95250</xdr:rowOff>
    </xdr:from>
    <xdr:to>
      <xdr:col>8</xdr:col>
      <xdr:colOff>38100</xdr:colOff>
      <xdr:row>177</xdr:row>
      <xdr:rowOff>28575</xdr:rowOff>
    </xdr:to>
    <xdr:sp macro="" textlink="">
      <xdr:nvSpPr>
        <xdr:cNvPr id="173" name="Line 126">
          <a:extLst>
            <a:ext uri="{FF2B5EF4-FFF2-40B4-BE49-F238E27FC236}">
              <a16:creationId xmlns:a16="http://schemas.microsoft.com/office/drawing/2014/main" id="{00000000-0008-0000-0200-0000AD000000}"/>
            </a:ext>
          </a:extLst>
        </xdr:cNvPr>
        <xdr:cNvSpPr>
          <a:spLocks noChangeShapeType="1"/>
        </xdr:cNvSpPr>
      </xdr:nvSpPr>
      <xdr:spPr bwMode="auto">
        <a:xfrm flipH="1">
          <a:off x="4714875" y="30632400"/>
          <a:ext cx="47625" cy="952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142875</xdr:colOff>
      <xdr:row>183</xdr:row>
      <xdr:rowOff>38101</xdr:rowOff>
    </xdr:from>
    <xdr:to>
      <xdr:col>4</xdr:col>
      <xdr:colOff>142875</xdr:colOff>
      <xdr:row>184</xdr:row>
      <xdr:rowOff>104776</xdr:rowOff>
    </xdr:to>
    <xdr:sp macro="" textlink="">
      <xdr:nvSpPr>
        <xdr:cNvPr id="174" name="Line 130">
          <a:extLst>
            <a:ext uri="{FF2B5EF4-FFF2-40B4-BE49-F238E27FC236}">
              <a16:creationId xmlns:a16="http://schemas.microsoft.com/office/drawing/2014/main" id="{00000000-0008-0000-0200-0000AE000000}"/>
            </a:ext>
          </a:extLst>
        </xdr:cNvPr>
        <xdr:cNvSpPr>
          <a:spLocks noChangeShapeType="1"/>
        </xdr:cNvSpPr>
      </xdr:nvSpPr>
      <xdr:spPr bwMode="auto">
        <a:xfrm>
          <a:off x="2428875" y="31708726"/>
          <a:ext cx="0" cy="2286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104775</xdr:colOff>
      <xdr:row>184</xdr:row>
      <xdr:rowOff>66675</xdr:rowOff>
    </xdr:from>
    <xdr:to>
      <xdr:col>5</xdr:col>
      <xdr:colOff>495301</xdr:colOff>
      <xdr:row>184</xdr:row>
      <xdr:rowOff>66675</xdr:rowOff>
    </xdr:to>
    <xdr:sp macro="" textlink="">
      <xdr:nvSpPr>
        <xdr:cNvPr id="175" name="Line 109">
          <a:extLst>
            <a:ext uri="{FF2B5EF4-FFF2-40B4-BE49-F238E27FC236}">
              <a16:creationId xmlns:a16="http://schemas.microsoft.com/office/drawing/2014/main" id="{00000000-0008-0000-0200-0000AF000000}"/>
            </a:ext>
          </a:extLst>
        </xdr:cNvPr>
        <xdr:cNvSpPr>
          <a:spLocks noChangeShapeType="1"/>
        </xdr:cNvSpPr>
      </xdr:nvSpPr>
      <xdr:spPr bwMode="auto">
        <a:xfrm>
          <a:off x="2390775" y="31899225"/>
          <a:ext cx="1000126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</xdr:col>
      <xdr:colOff>457200</xdr:colOff>
      <xdr:row>183</xdr:row>
      <xdr:rowOff>38101</xdr:rowOff>
    </xdr:from>
    <xdr:to>
      <xdr:col>5</xdr:col>
      <xdr:colOff>457200</xdr:colOff>
      <xdr:row>184</xdr:row>
      <xdr:rowOff>104776</xdr:rowOff>
    </xdr:to>
    <xdr:sp macro="" textlink="">
      <xdr:nvSpPr>
        <xdr:cNvPr id="176" name="Line 130">
          <a:extLst>
            <a:ext uri="{FF2B5EF4-FFF2-40B4-BE49-F238E27FC236}">
              <a16:creationId xmlns:a16="http://schemas.microsoft.com/office/drawing/2014/main" id="{00000000-0008-0000-0200-0000B0000000}"/>
            </a:ext>
          </a:extLst>
        </xdr:cNvPr>
        <xdr:cNvSpPr>
          <a:spLocks noChangeShapeType="1"/>
        </xdr:cNvSpPr>
      </xdr:nvSpPr>
      <xdr:spPr bwMode="auto">
        <a:xfrm>
          <a:off x="3352800" y="31708726"/>
          <a:ext cx="0" cy="2286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104775</xdr:colOff>
      <xdr:row>184</xdr:row>
      <xdr:rowOff>28575</xdr:rowOff>
    </xdr:from>
    <xdr:to>
      <xdr:col>4</xdr:col>
      <xdr:colOff>190500</xdr:colOff>
      <xdr:row>184</xdr:row>
      <xdr:rowOff>95250</xdr:rowOff>
    </xdr:to>
    <xdr:sp macro="" textlink="">
      <xdr:nvSpPr>
        <xdr:cNvPr id="177" name="Line 125">
          <a:extLst>
            <a:ext uri="{FF2B5EF4-FFF2-40B4-BE49-F238E27FC236}">
              <a16:creationId xmlns:a16="http://schemas.microsoft.com/office/drawing/2014/main" id="{00000000-0008-0000-0200-0000B1000000}"/>
            </a:ext>
          </a:extLst>
        </xdr:cNvPr>
        <xdr:cNvSpPr>
          <a:spLocks noChangeShapeType="1"/>
        </xdr:cNvSpPr>
      </xdr:nvSpPr>
      <xdr:spPr bwMode="auto">
        <a:xfrm flipH="1">
          <a:off x="2390775" y="31861125"/>
          <a:ext cx="85725" cy="666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</xdr:col>
      <xdr:colOff>409575</xdr:colOff>
      <xdr:row>184</xdr:row>
      <xdr:rowOff>28575</xdr:rowOff>
    </xdr:from>
    <xdr:to>
      <xdr:col>5</xdr:col>
      <xdr:colOff>495300</xdr:colOff>
      <xdr:row>184</xdr:row>
      <xdr:rowOff>95250</xdr:rowOff>
    </xdr:to>
    <xdr:sp macro="" textlink="">
      <xdr:nvSpPr>
        <xdr:cNvPr id="178" name="Line 125">
          <a:extLst>
            <a:ext uri="{FF2B5EF4-FFF2-40B4-BE49-F238E27FC236}">
              <a16:creationId xmlns:a16="http://schemas.microsoft.com/office/drawing/2014/main" id="{00000000-0008-0000-0200-0000B2000000}"/>
            </a:ext>
          </a:extLst>
        </xdr:cNvPr>
        <xdr:cNvSpPr>
          <a:spLocks noChangeShapeType="1"/>
        </xdr:cNvSpPr>
      </xdr:nvSpPr>
      <xdr:spPr bwMode="auto">
        <a:xfrm flipH="1">
          <a:off x="3305175" y="31861125"/>
          <a:ext cx="85725" cy="666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561975</xdr:colOff>
      <xdr:row>184</xdr:row>
      <xdr:rowOff>28575</xdr:rowOff>
    </xdr:from>
    <xdr:to>
      <xdr:col>5</xdr:col>
      <xdr:colOff>38100</xdr:colOff>
      <xdr:row>184</xdr:row>
      <xdr:rowOff>95250</xdr:rowOff>
    </xdr:to>
    <xdr:sp macro="" textlink="">
      <xdr:nvSpPr>
        <xdr:cNvPr id="179" name="Line 125">
          <a:extLst>
            <a:ext uri="{FF2B5EF4-FFF2-40B4-BE49-F238E27FC236}">
              <a16:creationId xmlns:a16="http://schemas.microsoft.com/office/drawing/2014/main" id="{00000000-0008-0000-0200-0000B3000000}"/>
            </a:ext>
          </a:extLst>
        </xdr:cNvPr>
        <xdr:cNvSpPr>
          <a:spLocks noChangeShapeType="1"/>
        </xdr:cNvSpPr>
      </xdr:nvSpPr>
      <xdr:spPr bwMode="auto">
        <a:xfrm flipH="1">
          <a:off x="2847975" y="31861125"/>
          <a:ext cx="85725" cy="666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152400</xdr:colOff>
      <xdr:row>176</xdr:row>
      <xdr:rowOff>133350</xdr:rowOff>
    </xdr:from>
    <xdr:to>
      <xdr:col>7</xdr:col>
      <xdr:colOff>152400</xdr:colOff>
      <xdr:row>183</xdr:row>
      <xdr:rowOff>104775</xdr:rowOff>
    </xdr:to>
    <xdr:sp macro="" textlink="">
      <xdr:nvSpPr>
        <xdr:cNvPr id="180" name="Line 130">
          <a:extLst>
            <a:ext uri="{FF2B5EF4-FFF2-40B4-BE49-F238E27FC236}">
              <a16:creationId xmlns:a16="http://schemas.microsoft.com/office/drawing/2014/main" id="{00000000-0008-0000-0200-0000B4000000}"/>
            </a:ext>
          </a:extLst>
        </xdr:cNvPr>
        <xdr:cNvSpPr>
          <a:spLocks noChangeShapeType="1"/>
        </xdr:cNvSpPr>
      </xdr:nvSpPr>
      <xdr:spPr bwMode="auto">
        <a:xfrm>
          <a:off x="4267200" y="30670500"/>
          <a:ext cx="0" cy="11049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104775</xdr:colOff>
      <xdr:row>176</xdr:row>
      <xdr:rowOff>114300</xdr:rowOff>
    </xdr:from>
    <xdr:to>
      <xdr:col>7</xdr:col>
      <xdr:colOff>209550</xdr:colOff>
      <xdr:row>177</xdr:row>
      <xdr:rowOff>47625</xdr:rowOff>
    </xdr:to>
    <xdr:sp macro="" textlink="">
      <xdr:nvSpPr>
        <xdr:cNvPr id="181" name="Line 126">
          <a:extLst>
            <a:ext uri="{FF2B5EF4-FFF2-40B4-BE49-F238E27FC236}">
              <a16:creationId xmlns:a16="http://schemas.microsoft.com/office/drawing/2014/main" id="{00000000-0008-0000-0200-0000B5000000}"/>
            </a:ext>
          </a:extLst>
        </xdr:cNvPr>
        <xdr:cNvSpPr>
          <a:spLocks noChangeShapeType="1"/>
        </xdr:cNvSpPr>
      </xdr:nvSpPr>
      <xdr:spPr bwMode="auto">
        <a:xfrm flipH="1">
          <a:off x="4219575" y="30651450"/>
          <a:ext cx="104775" cy="952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114300</xdr:colOff>
      <xdr:row>182</xdr:row>
      <xdr:rowOff>114300</xdr:rowOff>
    </xdr:from>
    <xdr:to>
      <xdr:col>7</xdr:col>
      <xdr:colOff>200025</xdr:colOff>
      <xdr:row>183</xdr:row>
      <xdr:rowOff>19050</xdr:rowOff>
    </xdr:to>
    <xdr:sp macro="" textlink="">
      <xdr:nvSpPr>
        <xdr:cNvPr id="182" name="Line 125">
          <a:extLst>
            <a:ext uri="{FF2B5EF4-FFF2-40B4-BE49-F238E27FC236}">
              <a16:creationId xmlns:a16="http://schemas.microsoft.com/office/drawing/2014/main" id="{00000000-0008-0000-0200-0000B6000000}"/>
            </a:ext>
          </a:extLst>
        </xdr:cNvPr>
        <xdr:cNvSpPr>
          <a:spLocks noChangeShapeType="1"/>
        </xdr:cNvSpPr>
      </xdr:nvSpPr>
      <xdr:spPr bwMode="auto">
        <a:xfrm flipH="1">
          <a:off x="4229100" y="31623000"/>
          <a:ext cx="85725" cy="666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</xdr:col>
      <xdr:colOff>485775</xdr:colOff>
      <xdr:row>177</xdr:row>
      <xdr:rowOff>76200</xdr:rowOff>
    </xdr:from>
    <xdr:to>
      <xdr:col>7</xdr:col>
      <xdr:colOff>190500</xdr:colOff>
      <xdr:row>177</xdr:row>
      <xdr:rowOff>76200</xdr:rowOff>
    </xdr:to>
    <xdr:sp macro="" textlink="">
      <xdr:nvSpPr>
        <xdr:cNvPr id="183" name="Line 109">
          <a:extLst>
            <a:ext uri="{FF2B5EF4-FFF2-40B4-BE49-F238E27FC236}">
              <a16:creationId xmlns:a16="http://schemas.microsoft.com/office/drawing/2014/main" id="{00000000-0008-0000-0200-0000B7000000}"/>
            </a:ext>
          </a:extLst>
        </xdr:cNvPr>
        <xdr:cNvSpPr>
          <a:spLocks noChangeShapeType="1"/>
        </xdr:cNvSpPr>
      </xdr:nvSpPr>
      <xdr:spPr bwMode="auto">
        <a:xfrm>
          <a:off x="3381375" y="30775275"/>
          <a:ext cx="9239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104775</xdr:colOff>
      <xdr:row>177</xdr:row>
      <xdr:rowOff>28575</xdr:rowOff>
    </xdr:from>
    <xdr:to>
      <xdr:col>7</xdr:col>
      <xdr:colOff>209550</xdr:colOff>
      <xdr:row>177</xdr:row>
      <xdr:rowOff>123825</xdr:rowOff>
    </xdr:to>
    <xdr:sp macro="" textlink="">
      <xdr:nvSpPr>
        <xdr:cNvPr id="184" name="Line 126">
          <a:extLst>
            <a:ext uri="{FF2B5EF4-FFF2-40B4-BE49-F238E27FC236}">
              <a16:creationId xmlns:a16="http://schemas.microsoft.com/office/drawing/2014/main" id="{00000000-0008-0000-0200-0000B8000000}"/>
            </a:ext>
          </a:extLst>
        </xdr:cNvPr>
        <xdr:cNvSpPr>
          <a:spLocks noChangeShapeType="1"/>
        </xdr:cNvSpPr>
      </xdr:nvSpPr>
      <xdr:spPr bwMode="auto">
        <a:xfrm flipH="1">
          <a:off x="4219575" y="30727650"/>
          <a:ext cx="104775" cy="952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</xdr:col>
      <xdr:colOff>9525</xdr:colOff>
      <xdr:row>190</xdr:row>
      <xdr:rowOff>57151</xdr:rowOff>
    </xdr:from>
    <xdr:to>
      <xdr:col>5</xdr:col>
      <xdr:colOff>9525</xdr:colOff>
      <xdr:row>191</xdr:row>
      <xdr:rowOff>123826</xdr:rowOff>
    </xdr:to>
    <xdr:sp macro="" textlink="">
      <xdr:nvSpPr>
        <xdr:cNvPr id="185" name="Line 113">
          <a:extLst>
            <a:ext uri="{FF2B5EF4-FFF2-40B4-BE49-F238E27FC236}">
              <a16:creationId xmlns:a16="http://schemas.microsoft.com/office/drawing/2014/main" id="{00000000-0008-0000-0200-0000B9000000}"/>
            </a:ext>
          </a:extLst>
        </xdr:cNvPr>
        <xdr:cNvSpPr>
          <a:spLocks noChangeShapeType="1"/>
        </xdr:cNvSpPr>
      </xdr:nvSpPr>
      <xdr:spPr bwMode="auto">
        <a:xfrm>
          <a:off x="2905125" y="32861251"/>
          <a:ext cx="0" cy="266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352425</xdr:colOff>
      <xdr:row>177</xdr:row>
      <xdr:rowOff>9897</xdr:rowOff>
    </xdr:from>
    <xdr:to>
      <xdr:col>5</xdr:col>
      <xdr:colOff>19050</xdr:colOff>
      <xdr:row>183</xdr:row>
      <xdr:rowOff>0</xdr:rowOff>
    </xdr:to>
    <xdr:sp macro="" textlink="">
      <xdr:nvSpPr>
        <xdr:cNvPr id="186" name="Freeform 209">
          <a:extLst>
            <a:ext uri="{FF2B5EF4-FFF2-40B4-BE49-F238E27FC236}">
              <a16:creationId xmlns:a16="http://schemas.microsoft.com/office/drawing/2014/main" id="{00000000-0008-0000-0200-0000BA000000}"/>
            </a:ext>
          </a:extLst>
        </xdr:cNvPr>
        <xdr:cNvSpPr/>
      </xdr:nvSpPr>
      <xdr:spPr>
        <a:xfrm>
          <a:off x="2028825" y="22060272"/>
          <a:ext cx="885825" cy="961653"/>
        </a:xfrm>
        <a:custGeom>
          <a:avLst/>
          <a:gdLst>
            <a:gd name="connsiteX0" fmla="*/ 0 w 981075"/>
            <a:gd name="connsiteY0" fmla="*/ 961653 h 961653"/>
            <a:gd name="connsiteX1" fmla="*/ 209550 w 981075"/>
            <a:gd name="connsiteY1" fmla="*/ 704478 h 961653"/>
            <a:gd name="connsiteX2" fmla="*/ 371475 w 981075"/>
            <a:gd name="connsiteY2" fmla="*/ 637803 h 961653"/>
            <a:gd name="connsiteX3" fmla="*/ 457200 w 981075"/>
            <a:gd name="connsiteY3" fmla="*/ 513978 h 961653"/>
            <a:gd name="connsiteX4" fmla="*/ 638175 w 981075"/>
            <a:gd name="connsiteY4" fmla="*/ 352053 h 961653"/>
            <a:gd name="connsiteX5" fmla="*/ 647700 w 981075"/>
            <a:gd name="connsiteY5" fmla="*/ 294903 h 961653"/>
            <a:gd name="connsiteX6" fmla="*/ 819150 w 981075"/>
            <a:gd name="connsiteY6" fmla="*/ 152028 h 961653"/>
            <a:gd name="connsiteX7" fmla="*/ 885825 w 981075"/>
            <a:gd name="connsiteY7" fmla="*/ 66303 h 961653"/>
            <a:gd name="connsiteX8" fmla="*/ 981075 w 981075"/>
            <a:gd name="connsiteY8" fmla="*/ 9153 h 96165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</a:cxnLst>
          <a:rect l="l" t="t" r="r" b="b"/>
          <a:pathLst>
            <a:path w="981075" h="961653">
              <a:moveTo>
                <a:pt x="0" y="961653"/>
              </a:moveTo>
              <a:cubicBezTo>
                <a:pt x="73819" y="860053"/>
                <a:pt x="147638" y="758453"/>
                <a:pt x="209550" y="704478"/>
              </a:cubicBezTo>
              <a:cubicBezTo>
                <a:pt x="271462" y="650503"/>
                <a:pt x="330200" y="669553"/>
                <a:pt x="371475" y="637803"/>
              </a:cubicBezTo>
              <a:cubicBezTo>
                <a:pt x="412750" y="606053"/>
                <a:pt x="412750" y="561603"/>
                <a:pt x="457200" y="513978"/>
              </a:cubicBezTo>
              <a:cubicBezTo>
                <a:pt x="501650" y="466353"/>
                <a:pt x="606425" y="388565"/>
                <a:pt x="638175" y="352053"/>
              </a:cubicBezTo>
              <a:cubicBezTo>
                <a:pt x="669925" y="315541"/>
                <a:pt x="617538" y="328240"/>
                <a:pt x="647700" y="294903"/>
              </a:cubicBezTo>
              <a:cubicBezTo>
                <a:pt x="677862" y="261566"/>
                <a:pt x="779463" y="190128"/>
                <a:pt x="819150" y="152028"/>
              </a:cubicBezTo>
              <a:cubicBezTo>
                <a:pt x="858837" y="113928"/>
                <a:pt x="858838" y="90115"/>
                <a:pt x="885825" y="66303"/>
              </a:cubicBezTo>
              <a:cubicBezTo>
                <a:pt x="912812" y="42491"/>
                <a:pt x="976313" y="-24184"/>
                <a:pt x="981075" y="9153"/>
              </a:cubicBezTo>
            </a:path>
          </a:pathLst>
        </a:custGeom>
        <a:noFill/>
        <a:ln w="9525">
          <a:solidFill>
            <a:srgbClr val="000000"/>
          </a:solidFill>
          <a:prstDash val="dash"/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 vertOverflow="clip" horzOverflow="clip" rtlCol="0" anchor="t"/>
        <a:lstStyle/>
        <a:p>
          <a:pPr algn="l"/>
          <a:endParaRPr lang="tr-TR" sz="1100"/>
        </a:p>
      </xdr:txBody>
    </xdr:sp>
    <xdr:clientData/>
  </xdr:twoCellAnchor>
  <xdr:twoCellAnchor>
    <xdr:from>
      <xdr:col>5</xdr:col>
      <xdr:colOff>47625</xdr:colOff>
      <xdr:row>177</xdr:row>
      <xdr:rowOff>9897</xdr:rowOff>
    </xdr:from>
    <xdr:to>
      <xdr:col>6</xdr:col>
      <xdr:colOff>419100</xdr:colOff>
      <xdr:row>183</xdr:row>
      <xdr:rowOff>0</xdr:rowOff>
    </xdr:to>
    <xdr:sp macro="" textlink="">
      <xdr:nvSpPr>
        <xdr:cNvPr id="187" name="Freeform 210">
          <a:extLst>
            <a:ext uri="{FF2B5EF4-FFF2-40B4-BE49-F238E27FC236}">
              <a16:creationId xmlns:a16="http://schemas.microsoft.com/office/drawing/2014/main" id="{00000000-0008-0000-0200-0000BB000000}"/>
            </a:ext>
          </a:extLst>
        </xdr:cNvPr>
        <xdr:cNvSpPr/>
      </xdr:nvSpPr>
      <xdr:spPr>
        <a:xfrm flipV="1">
          <a:off x="2943225" y="30708972"/>
          <a:ext cx="981075" cy="961653"/>
        </a:xfrm>
        <a:custGeom>
          <a:avLst/>
          <a:gdLst>
            <a:gd name="connsiteX0" fmla="*/ 0 w 981075"/>
            <a:gd name="connsiteY0" fmla="*/ 961653 h 961653"/>
            <a:gd name="connsiteX1" fmla="*/ 209550 w 981075"/>
            <a:gd name="connsiteY1" fmla="*/ 704478 h 961653"/>
            <a:gd name="connsiteX2" fmla="*/ 371475 w 981075"/>
            <a:gd name="connsiteY2" fmla="*/ 637803 h 961653"/>
            <a:gd name="connsiteX3" fmla="*/ 457200 w 981075"/>
            <a:gd name="connsiteY3" fmla="*/ 513978 h 961653"/>
            <a:gd name="connsiteX4" fmla="*/ 638175 w 981075"/>
            <a:gd name="connsiteY4" fmla="*/ 352053 h 961653"/>
            <a:gd name="connsiteX5" fmla="*/ 647700 w 981075"/>
            <a:gd name="connsiteY5" fmla="*/ 294903 h 961653"/>
            <a:gd name="connsiteX6" fmla="*/ 819150 w 981075"/>
            <a:gd name="connsiteY6" fmla="*/ 152028 h 961653"/>
            <a:gd name="connsiteX7" fmla="*/ 885825 w 981075"/>
            <a:gd name="connsiteY7" fmla="*/ 66303 h 961653"/>
            <a:gd name="connsiteX8" fmla="*/ 981075 w 981075"/>
            <a:gd name="connsiteY8" fmla="*/ 9153 h 96165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</a:cxnLst>
          <a:rect l="l" t="t" r="r" b="b"/>
          <a:pathLst>
            <a:path w="981075" h="961653">
              <a:moveTo>
                <a:pt x="0" y="961653"/>
              </a:moveTo>
              <a:cubicBezTo>
                <a:pt x="73819" y="860053"/>
                <a:pt x="147638" y="758453"/>
                <a:pt x="209550" y="704478"/>
              </a:cubicBezTo>
              <a:cubicBezTo>
                <a:pt x="271462" y="650503"/>
                <a:pt x="330200" y="669553"/>
                <a:pt x="371475" y="637803"/>
              </a:cubicBezTo>
              <a:cubicBezTo>
                <a:pt x="412750" y="606053"/>
                <a:pt x="412750" y="561603"/>
                <a:pt x="457200" y="513978"/>
              </a:cubicBezTo>
              <a:cubicBezTo>
                <a:pt x="501650" y="466353"/>
                <a:pt x="606425" y="388565"/>
                <a:pt x="638175" y="352053"/>
              </a:cubicBezTo>
              <a:cubicBezTo>
                <a:pt x="669925" y="315541"/>
                <a:pt x="617538" y="328240"/>
                <a:pt x="647700" y="294903"/>
              </a:cubicBezTo>
              <a:cubicBezTo>
                <a:pt x="677862" y="261566"/>
                <a:pt x="779463" y="190128"/>
                <a:pt x="819150" y="152028"/>
              </a:cubicBezTo>
              <a:cubicBezTo>
                <a:pt x="858837" y="113928"/>
                <a:pt x="858838" y="90115"/>
                <a:pt x="885825" y="66303"/>
              </a:cubicBezTo>
              <a:cubicBezTo>
                <a:pt x="912812" y="42491"/>
                <a:pt x="976313" y="-24184"/>
                <a:pt x="981075" y="9153"/>
              </a:cubicBezTo>
            </a:path>
          </a:pathLst>
        </a:custGeom>
        <a:noFill/>
        <a:ln w="9525">
          <a:solidFill>
            <a:srgbClr val="000000"/>
          </a:solidFill>
          <a:prstDash val="dash"/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 vertOverflow="clip" horzOverflow="clip" rtlCol="0" anchor="t"/>
        <a:lstStyle/>
        <a:p>
          <a:pPr algn="l"/>
          <a:endParaRPr lang="tr-TR" sz="1100"/>
        </a:p>
      </xdr:txBody>
    </xdr:sp>
    <xdr:clientData/>
  </xdr:twoCellAnchor>
  <xdr:twoCellAnchor>
    <xdr:from>
      <xdr:col>4</xdr:col>
      <xdr:colOff>142875</xdr:colOff>
      <xdr:row>169</xdr:row>
      <xdr:rowOff>57150</xdr:rowOff>
    </xdr:from>
    <xdr:to>
      <xdr:col>5</xdr:col>
      <xdr:colOff>447675</xdr:colOff>
      <xdr:row>175</xdr:row>
      <xdr:rowOff>0</xdr:rowOff>
    </xdr:to>
    <xdr:sp macro="" textlink="">
      <xdr:nvSpPr>
        <xdr:cNvPr id="188" name="Oval 187">
          <a:extLst>
            <a:ext uri="{FF2B5EF4-FFF2-40B4-BE49-F238E27FC236}">
              <a16:creationId xmlns:a16="http://schemas.microsoft.com/office/drawing/2014/main" id="{00000000-0008-0000-0200-0000BC000000}"/>
            </a:ext>
          </a:extLst>
        </xdr:cNvPr>
        <xdr:cNvSpPr/>
      </xdr:nvSpPr>
      <xdr:spPr>
        <a:xfrm>
          <a:off x="2428875" y="29460825"/>
          <a:ext cx="914400" cy="914400"/>
        </a:xfrm>
        <a:prstGeom prst="ellipse">
          <a:avLst/>
        </a:prstGeom>
        <a:pattFill prst="ltUpDiag">
          <a:fgClr>
            <a:schemeClr val="bg1">
              <a:lumMod val="50000"/>
            </a:schemeClr>
          </a:fgClr>
          <a:bgClr>
            <a:schemeClr val="bg1"/>
          </a:bgClr>
        </a:pattFill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tr-TR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561975</xdr:colOff>
      <xdr:row>171</xdr:row>
      <xdr:rowOff>142875</xdr:rowOff>
    </xdr:from>
    <xdr:to>
      <xdr:col>5</xdr:col>
      <xdr:colOff>47625</xdr:colOff>
      <xdr:row>172</xdr:row>
      <xdr:rowOff>76200</xdr:rowOff>
    </xdr:to>
    <xdr:sp macro="" textlink="">
      <xdr:nvSpPr>
        <xdr:cNvPr id="189" name="Oval 188">
          <a:extLst>
            <a:ext uri="{FF2B5EF4-FFF2-40B4-BE49-F238E27FC236}">
              <a16:creationId xmlns:a16="http://schemas.microsoft.com/office/drawing/2014/main" id="{00000000-0008-0000-0200-0000BD000000}"/>
            </a:ext>
          </a:extLst>
        </xdr:cNvPr>
        <xdr:cNvSpPr/>
      </xdr:nvSpPr>
      <xdr:spPr>
        <a:xfrm>
          <a:off x="2847975" y="29870400"/>
          <a:ext cx="95250" cy="95250"/>
        </a:xfrm>
        <a:prstGeom prst="ellipse">
          <a:avLst/>
        </a:prstGeom>
        <a:solidFill>
          <a:schemeClr val="tx1"/>
        </a:solidFill>
        <a:ln w="25400">
          <a:solidFill>
            <a:srgbClr val="000000"/>
          </a:solidFill>
          <a:round/>
          <a:headEnd/>
          <a:tailEnd/>
        </a:ln>
      </xdr:spPr>
      <xdr:txBody>
        <a:bodyPr vertOverflow="clip" horzOverflow="clip" rtlCol="0" anchor="t"/>
        <a:lstStyle/>
        <a:p>
          <a:pPr algn="l"/>
          <a:endParaRPr lang="tr-TR" sz="1100"/>
        </a:p>
      </xdr:txBody>
    </xdr:sp>
    <xdr:clientData/>
  </xdr:twoCellAnchor>
  <xdr:twoCellAnchor>
    <xdr:from>
      <xdr:col>6</xdr:col>
      <xdr:colOff>142875</xdr:colOff>
      <xdr:row>169</xdr:row>
      <xdr:rowOff>19050</xdr:rowOff>
    </xdr:from>
    <xdr:to>
      <xdr:col>6</xdr:col>
      <xdr:colOff>247650</xdr:colOff>
      <xdr:row>169</xdr:row>
      <xdr:rowOff>114300</xdr:rowOff>
    </xdr:to>
    <xdr:sp macro="" textlink="">
      <xdr:nvSpPr>
        <xdr:cNvPr id="190" name="Line 126">
          <a:extLst>
            <a:ext uri="{FF2B5EF4-FFF2-40B4-BE49-F238E27FC236}">
              <a16:creationId xmlns:a16="http://schemas.microsoft.com/office/drawing/2014/main" id="{00000000-0008-0000-0200-0000BE000000}"/>
            </a:ext>
          </a:extLst>
        </xdr:cNvPr>
        <xdr:cNvSpPr>
          <a:spLocks noChangeShapeType="1"/>
        </xdr:cNvSpPr>
      </xdr:nvSpPr>
      <xdr:spPr bwMode="auto">
        <a:xfrm flipH="1">
          <a:off x="3648075" y="29422725"/>
          <a:ext cx="104775" cy="952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</xdr:col>
      <xdr:colOff>190500</xdr:colOff>
      <xdr:row>169</xdr:row>
      <xdr:rowOff>57150</xdr:rowOff>
    </xdr:from>
    <xdr:to>
      <xdr:col>6</xdr:col>
      <xdr:colOff>247650</xdr:colOff>
      <xdr:row>169</xdr:row>
      <xdr:rowOff>57150</xdr:rowOff>
    </xdr:to>
    <xdr:sp macro="" textlink="">
      <xdr:nvSpPr>
        <xdr:cNvPr id="191" name="Line 109">
          <a:extLst>
            <a:ext uri="{FF2B5EF4-FFF2-40B4-BE49-F238E27FC236}">
              <a16:creationId xmlns:a16="http://schemas.microsoft.com/office/drawing/2014/main" id="{00000000-0008-0000-0200-0000BF000000}"/>
            </a:ext>
          </a:extLst>
        </xdr:cNvPr>
        <xdr:cNvSpPr>
          <a:spLocks noChangeShapeType="1"/>
        </xdr:cNvSpPr>
      </xdr:nvSpPr>
      <xdr:spPr bwMode="auto">
        <a:xfrm>
          <a:off x="3086100" y="29460825"/>
          <a:ext cx="6667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142875</xdr:colOff>
      <xdr:row>174</xdr:row>
      <xdr:rowOff>133350</xdr:rowOff>
    </xdr:from>
    <xdr:to>
      <xdr:col>6</xdr:col>
      <xdr:colOff>247650</xdr:colOff>
      <xdr:row>175</xdr:row>
      <xdr:rowOff>66675</xdr:rowOff>
    </xdr:to>
    <xdr:sp macro="" textlink="">
      <xdr:nvSpPr>
        <xdr:cNvPr id="192" name="Line 126">
          <a:extLst>
            <a:ext uri="{FF2B5EF4-FFF2-40B4-BE49-F238E27FC236}">
              <a16:creationId xmlns:a16="http://schemas.microsoft.com/office/drawing/2014/main" id="{00000000-0008-0000-0200-0000C0000000}"/>
            </a:ext>
          </a:extLst>
        </xdr:cNvPr>
        <xdr:cNvSpPr>
          <a:spLocks noChangeShapeType="1"/>
        </xdr:cNvSpPr>
      </xdr:nvSpPr>
      <xdr:spPr bwMode="auto">
        <a:xfrm flipH="1">
          <a:off x="3648075" y="30346650"/>
          <a:ext cx="104775" cy="952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</xdr:col>
      <xdr:colOff>171450</xdr:colOff>
      <xdr:row>175</xdr:row>
      <xdr:rowOff>9525</xdr:rowOff>
    </xdr:from>
    <xdr:to>
      <xdr:col>6</xdr:col>
      <xdr:colOff>247650</xdr:colOff>
      <xdr:row>175</xdr:row>
      <xdr:rowOff>9525</xdr:rowOff>
    </xdr:to>
    <xdr:sp macro="" textlink="">
      <xdr:nvSpPr>
        <xdr:cNvPr id="193" name="Line 109">
          <a:extLst>
            <a:ext uri="{FF2B5EF4-FFF2-40B4-BE49-F238E27FC236}">
              <a16:creationId xmlns:a16="http://schemas.microsoft.com/office/drawing/2014/main" id="{00000000-0008-0000-0200-0000C1000000}"/>
            </a:ext>
          </a:extLst>
        </xdr:cNvPr>
        <xdr:cNvSpPr>
          <a:spLocks noChangeShapeType="1"/>
        </xdr:cNvSpPr>
      </xdr:nvSpPr>
      <xdr:spPr bwMode="auto">
        <a:xfrm>
          <a:off x="3067050" y="30384750"/>
          <a:ext cx="6858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200025</xdr:colOff>
      <xdr:row>168</xdr:row>
      <xdr:rowOff>161924</xdr:rowOff>
    </xdr:from>
    <xdr:to>
      <xdr:col>6</xdr:col>
      <xdr:colOff>200025</xdr:colOff>
      <xdr:row>175</xdr:row>
      <xdr:rowOff>66674</xdr:rowOff>
    </xdr:to>
    <xdr:sp macro="" textlink="">
      <xdr:nvSpPr>
        <xdr:cNvPr id="194" name="Line 130">
          <a:extLst>
            <a:ext uri="{FF2B5EF4-FFF2-40B4-BE49-F238E27FC236}">
              <a16:creationId xmlns:a16="http://schemas.microsoft.com/office/drawing/2014/main" id="{00000000-0008-0000-0200-0000C2000000}"/>
            </a:ext>
          </a:extLst>
        </xdr:cNvPr>
        <xdr:cNvSpPr>
          <a:spLocks noChangeShapeType="1"/>
        </xdr:cNvSpPr>
      </xdr:nvSpPr>
      <xdr:spPr bwMode="auto">
        <a:xfrm>
          <a:off x="3705225" y="29403674"/>
          <a:ext cx="0" cy="10382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142875</xdr:colOff>
      <xdr:row>173</xdr:row>
      <xdr:rowOff>57150</xdr:rowOff>
    </xdr:from>
    <xdr:to>
      <xdr:col>4</xdr:col>
      <xdr:colOff>142875</xdr:colOff>
      <xdr:row>176</xdr:row>
      <xdr:rowOff>114301</xdr:rowOff>
    </xdr:to>
    <xdr:sp macro="" textlink="">
      <xdr:nvSpPr>
        <xdr:cNvPr id="195" name="Line 130">
          <a:extLst>
            <a:ext uri="{FF2B5EF4-FFF2-40B4-BE49-F238E27FC236}">
              <a16:creationId xmlns:a16="http://schemas.microsoft.com/office/drawing/2014/main" id="{00000000-0008-0000-0200-0000C3000000}"/>
            </a:ext>
          </a:extLst>
        </xdr:cNvPr>
        <xdr:cNvSpPr>
          <a:spLocks noChangeShapeType="1"/>
        </xdr:cNvSpPr>
      </xdr:nvSpPr>
      <xdr:spPr bwMode="auto">
        <a:xfrm>
          <a:off x="2428875" y="30108525"/>
          <a:ext cx="0" cy="542926"/>
        </a:xfrm>
        <a:prstGeom prst="line">
          <a:avLst/>
        </a:prstGeom>
        <a:noFill/>
        <a:ln w="9525">
          <a:solidFill>
            <a:srgbClr val="000000"/>
          </a:solidFill>
          <a:prstDash val="dash"/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</xdr:col>
      <xdr:colOff>466725</xdr:colOff>
      <xdr:row>172</xdr:row>
      <xdr:rowOff>152400</xdr:rowOff>
    </xdr:from>
    <xdr:to>
      <xdr:col>5</xdr:col>
      <xdr:colOff>466725</xdr:colOff>
      <xdr:row>176</xdr:row>
      <xdr:rowOff>114301</xdr:rowOff>
    </xdr:to>
    <xdr:sp macro="" textlink="">
      <xdr:nvSpPr>
        <xdr:cNvPr id="196" name="Line 130">
          <a:extLst>
            <a:ext uri="{FF2B5EF4-FFF2-40B4-BE49-F238E27FC236}">
              <a16:creationId xmlns:a16="http://schemas.microsoft.com/office/drawing/2014/main" id="{00000000-0008-0000-0200-0000C4000000}"/>
            </a:ext>
          </a:extLst>
        </xdr:cNvPr>
        <xdr:cNvSpPr>
          <a:spLocks noChangeShapeType="1"/>
        </xdr:cNvSpPr>
      </xdr:nvSpPr>
      <xdr:spPr bwMode="auto">
        <a:xfrm>
          <a:off x="3362325" y="30041850"/>
          <a:ext cx="0" cy="609601"/>
        </a:xfrm>
        <a:prstGeom prst="line">
          <a:avLst/>
        </a:prstGeom>
        <a:noFill/>
        <a:ln w="9525">
          <a:solidFill>
            <a:srgbClr val="000000"/>
          </a:solidFill>
          <a:prstDash val="dash"/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219075</xdr:colOff>
          <xdr:row>61</xdr:row>
          <xdr:rowOff>19050</xdr:rowOff>
        </xdr:from>
        <xdr:to>
          <xdr:col>6</xdr:col>
          <xdr:colOff>285750</xdr:colOff>
          <xdr:row>62</xdr:row>
          <xdr:rowOff>0</xdr:rowOff>
        </xdr:to>
        <xdr:sp macro="" textlink="">
          <xdr:nvSpPr>
            <xdr:cNvPr id="338945" name="Object 1" hidden="1">
              <a:extLst>
                <a:ext uri="{63B3BB69-23CF-44E3-9099-C40C66FF867C}">
                  <a14:compatExt spid="_x0000_s338945"/>
                </a:ext>
                <a:ext uri="{FF2B5EF4-FFF2-40B4-BE49-F238E27FC236}">
                  <a16:creationId xmlns:a16="http://schemas.microsoft.com/office/drawing/2014/main" id="{00000000-0008-0000-0200-0000012C05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238125</xdr:colOff>
          <xdr:row>65</xdr:row>
          <xdr:rowOff>19050</xdr:rowOff>
        </xdr:from>
        <xdr:to>
          <xdr:col>7</xdr:col>
          <xdr:colOff>381000</xdr:colOff>
          <xdr:row>66</xdr:row>
          <xdr:rowOff>0</xdr:rowOff>
        </xdr:to>
        <xdr:sp macro="" textlink="">
          <xdr:nvSpPr>
            <xdr:cNvPr id="338948" name="Object 4" hidden="1">
              <a:extLst>
                <a:ext uri="{63B3BB69-23CF-44E3-9099-C40C66FF867C}">
                  <a14:compatExt spid="_x0000_s338948"/>
                </a:ext>
                <a:ext uri="{FF2B5EF4-FFF2-40B4-BE49-F238E27FC236}">
                  <a16:creationId xmlns:a16="http://schemas.microsoft.com/office/drawing/2014/main" id="{00000000-0008-0000-0200-0000042C05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457200</xdr:colOff>
      <xdr:row>114</xdr:row>
      <xdr:rowOff>28575</xdr:rowOff>
    </xdr:from>
    <xdr:to>
      <xdr:col>10</xdr:col>
      <xdr:colOff>114300</xdr:colOff>
      <xdr:row>114</xdr:row>
      <xdr:rowOff>171450</xdr:rowOff>
    </xdr:to>
    <xdr:sp macro="" textlink="">
      <xdr:nvSpPr>
        <xdr:cNvPr id="2" name="AutoShape 2835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SpPr>
          <a:spLocks noChangeArrowheads="1"/>
        </xdr:cNvSpPr>
      </xdr:nvSpPr>
      <xdr:spPr bwMode="auto">
        <a:xfrm>
          <a:off x="6972300" y="21297900"/>
          <a:ext cx="400050" cy="142875"/>
        </a:xfrm>
        <a:prstGeom prst="curvedRightArrow">
          <a:avLst>
            <a:gd name="adj1" fmla="val 1185"/>
            <a:gd name="adj2" fmla="val 40000"/>
            <a:gd name="adj3" fmla="val 44444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9</xdr:col>
      <xdr:colOff>457200</xdr:colOff>
      <xdr:row>113</xdr:row>
      <xdr:rowOff>47625</xdr:rowOff>
    </xdr:from>
    <xdr:to>
      <xdr:col>10</xdr:col>
      <xdr:colOff>114300</xdr:colOff>
      <xdr:row>113</xdr:row>
      <xdr:rowOff>190500</xdr:rowOff>
    </xdr:to>
    <xdr:sp macro="" textlink="">
      <xdr:nvSpPr>
        <xdr:cNvPr id="3" name="AutoShape 2836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SpPr>
          <a:spLocks noChangeArrowheads="1"/>
        </xdr:cNvSpPr>
      </xdr:nvSpPr>
      <xdr:spPr bwMode="auto">
        <a:xfrm>
          <a:off x="6972300" y="21116925"/>
          <a:ext cx="400050" cy="142875"/>
        </a:xfrm>
        <a:prstGeom prst="curvedRightArrow">
          <a:avLst>
            <a:gd name="adj1" fmla="val 1185"/>
            <a:gd name="adj2" fmla="val 40000"/>
            <a:gd name="adj3" fmla="val 44444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9</xdr:col>
      <xdr:colOff>457200</xdr:colOff>
      <xdr:row>112</xdr:row>
      <xdr:rowOff>47625</xdr:rowOff>
    </xdr:from>
    <xdr:to>
      <xdr:col>10</xdr:col>
      <xdr:colOff>114300</xdr:colOff>
      <xdr:row>112</xdr:row>
      <xdr:rowOff>190500</xdr:rowOff>
    </xdr:to>
    <xdr:sp macro="" textlink="">
      <xdr:nvSpPr>
        <xdr:cNvPr id="4" name="AutoShape 2837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SpPr>
          <a:spLocks noChangeArrowheads="1"/>
        </xdr:cNvSpPr>
      </xdr:nvSpPr>
      <xdr:spPr bwMode="auto">
        <a:xfrm>
          <a:off x="6972300" y="20907375"/>
          <a:ext cx="400050" cy="142875"/>
        </a:xfrm>
        <a:prstGeom prst="curvedRightArrow">
          <a:avLst>
            <a:gd name="adj1" fmla="val 1185"/>
            <a:gd name="adj2" fmla="val 40000"/>
            <a:gd name="adj3" fmla="val 44444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9</xdr:col>
      <xdr:colOff>457200</xdr:colOff>
      <xdr:row>168</xdr:row>
      <xdr:rowOff>38100</xdr:rowOff>
    </xdr:from>
    <xdr:to>
      <xdr:col>10</xdr:col>
      <xdr:colOff>114300</xdr:colOff>
      <xdr:row>168</xdr:row>
      <xdr:rowOff>180975</xdr:rowOff>
    </xdr:to>
    <xdr:sp macro="" textlink="">
      <xdr:nvSpPr>
        <xdr:cNvPr id="5" name="AutoShape 2839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SpPr>
          <a:spLocks noChangeArrowheads="1"/>
        </xdr:cNvSpPr>
      </xdr:nvSpPr>
      <xdr:spPr bwMode="auto">
        <a:xfrm>
          <a:off x="6972300" y="32232600"/>
          <a:ext cx="400050" cy="142875"/>
        </a:xfrm>
        <a:prstGeom prst="curvedRightArrow">
          <a:avLst>
            <a:gd name="adj1" fmla="val 1185"/>
            <a:gd name="adj2" fmla="val 40000"/>
            <a:gd name="adj3" fmla="val 44444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9</xdr:col>
      <xdr:colOff>457200</xdr:colOff>
      <xdr:row>169</xdr:row>
      <xdr:rowOff>38100</xdr:rowOff>
    </xdr:from>
    <xdr:to>
      <xdr:col>10</xdr:col>
      <xdr:colOff>114300</xdr:colOff>
      <xdr:row>169</xdr:row>
      <xdr:rowOff>180975</xdr:rowOff>
    </xdr:to>
    <xdr:sp macro="" textlink="">
      <xdr:nvSpPr>
        <xdr:cNvPr id="6" name="AutoShape 2840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SpPr>
          <a:spLocks noChangeArrowheads="1"/>
        </xdr:cNvSpPr>
      </xdr:nvSpPr>
      <xdr:spPr bwMode="auto">
        <a:xfrm>
          <a:off x="6972300" y="32442150"/>
          <a:ext cx="400050" cy="142875"/>
        </a:xfrm>
        <a:prstGeom prst="curvedRightArrow">
          <a:avLst>
            <a:gd name="adj1" fmla="val 1185"/>
            <a:gd name="adj2" fmla="val 40000"/>
            <a:gd name="adj3" fmla="val 44444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9</xdr:col>
      <xdr:colOff>457200</xdr:colOff>
      <xdr:row>170</xdr:row>
      <xdr:rowOff>38100</xdr:rowOff>
    </xdr:from>
    <xdr:to>
      <xdr:col>10</xdr:col>
      <xdr:colOff>114300</xdr:colOff>
      <xdr:row>170</xdr:row>
      <xdr:rowOff>180975</xdr:rowOff>
    </xdr:to>
    <xdr:sp macro="" textlink="">
      <xdr:nvSpPr>
        <xdr:cNvPr id="7" name="AutoShape 2841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SpPr>
          <a:spLocks noChangeArrowheads="1"/>
        </xdr:cNvSpPr>
      </xdr:nvSpPr>
      <xdr:spPr bwMode="auto">
        <a:xfrm>
          <a:off x="6972300" y="32642175"/>
          <a:ext cx="400050" cy="142875"/>
        </a:xfrm>
        <a:prstGeom prst="curvedRightArrow">
          <a:avLst>
            <a:gd name="adj1" fmla="val 1185"/>
            <a:gd name="adj2" fmla="val 40000"/>
            <a:gd name="adj3" fmla="val 44444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9</xdr:col>
      <xdr:colOff>466725</xdr:colOff>
      <xdr:row>298</xdr:row>
      <xdr:rowOff>38100</xdr:rowOff>
    </xdr:from>
    <xdr:to>
      <xdr:col>10</xdr:col>
      <xdr:colOff>123825</xdr:colOff>
      <xdr:row>298</xdr:row>
      <xdr:rowOff>180975</xdr:rowOff>
    </xdr:to>
    <xdr:sp macro="" textlink="">
      <xdr:nvSpPr>
        <xdr:cNvPr id="8" name="AutoShape 2846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SpPr>
          <a:spLocks noChangeArrowheads="1"/>
        </xdr:cNvSpPr>
      </xdr:nvSpPr>
      <xdr:spPr bwMode="auto">
        <a:xfrm>
          <a:off x="6981825" y="53854350"/>
          <a:ext cx="400050" cy="142875"/>
        </a:xfrm>
        <a:prstGeom prst="curvedRightArrow">
          <a:avLst>
            <a:gd name="adj1" fmla="val 1185"/>
            <a:gd name="adj2" fmla="val 40000"/>
            <a:gd name="adj3" fmla="val 44444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9</xdr:col>
      <xdr:colOff>466725</xdr:colOff>
      <xdr:row>299</xdr:row>
      <xdr:rowOff>38100</xdr:rowOff>
    </xdr:from>
    <xdr:to>
      <xdr:col>10</xdr:col>
      <xdr:colOff>123825</xdr:colOff>
      <xdr:row>299</xdr:row>
      <xdr:rowOff>180975</xdr:rowOff>
    </xdr:to>
    <xdr:sp macro="" textlink="">
      <xdr:nvSpPr>
        <xdr:cNvPr id="9" name="AutoShape 2847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SpPr>
          <a:spLocks noChangeArrowheads="1"/>
        </xdr:cNvSpPr>
      </xdr:nvSpPr>
      <xdr:spPr bwMode="auto">
        <a:xfrm>
          <a:off x="6981825" y="54054375"/>
          <a:ext cx="400050" cy="142875"/>
        </a:xfrm>
        <a:prstGeom prst="curvedRightArrow">
          <a:avLst>
            <a:gd name="adj1" fmla="val 1185"/>
            <a:gd name="adj2" fmla="val 40000"/>
            <a:gd name="adj3" fmla="val 44444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9</xdr:col>
      <xdr:colOff>466725</xdr:colOff>
      <xdr:row>304</xdr:row>
      <xdr:rowOff>38100</xdr:rowOff>
    </xdr:from>
    <xdr:to>
      <xdr:col>10</xdr:col>
      <xdr:colOff>123825</xdr:colOff>
      <xdr:row>304</xdr:row>
      <xdr:rowOff>180975</xdr:rowOff>
    </xdr:to>
    <xdr:sp macro="" textlink="">
      <xdr:nvSpPr>
        <xdr:cNvPr id="10" name="AutoShape 2852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SpPr>
          <a:spLocks noChangeArrowheads="1"/>
        </xdr:cNvSpPr>
      </xdr:nvSpPr>
      <xdr:spPr bwMode="auto">
        <a:xfrm>
          <a:off x="6981825" y="54254400"/>
          <a:ext cx="400050" cy="142875"/>
        </a:xfrm>
        <a:prstGeom prst="curvedRightArrow">
          <a:avLst>
            <a:gd name="adj1" fmla="val 1185"/>
            <a:gd name="adj2" fmla="val 40000"/>
            <a:gd name="adj3" fmla="val 44444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9</xdr:col>
      <xdr:colOff>457200</xdr:colOff>
      <xdr:row>297</xdr:row>
      <xdr:rowOff>57150</xdr:rowOff>
    </xdr:from>
    <xdr:to>
      <xdr:col>10</xdr:col>
      <xdr:colOff>114300</xdr:colOff>
      <xdr:row>297</xdr:row>
      <xdr:rowOff>200025</xdr:rowOff>
    </xdr:to>
    <xdr:sp macro="" textlink="">
      <xdr:nvSpPr>
        <xdr:cNvPr id="11" name="AutoShape 2853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SpPr>
          <a:spLocks noChangeArrowheads="1"/>
        </xdr:cNvSpPr>
      </xdr:nvSpPr>
      <xdr:spPr bwMode="auto">
        <a:xfrm>
          <a:off x="6972300" y="53663850"/>
          <a:ext cx="400050" cy="142875"/>
        </a:xfrm>
        <a:prstGeom prst="curvedRightArrow">
          <a:avLst>
            <a:gd name="adj1" fmla="val 1185"/>
            <a:gd name="adj2" fmla="val 40000"/>
            <a:gd name="adj3" fmla="val 44599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9</xdr:col>
      <xdr:colOff>447675</xdr:colOff>
      <xdr:row>349</xdr:row>
      <xdr:rowOff>38100</xdr:rowOff>
    </xdr:from>
    <xdr:to>
      <xdr:col>10</xdr:col>
      <xdr:colOff>104775</xdr:colOff>
      <xdr:row>349</xdr:row>
      <xdr:rowOff>180975</xdr:rowOff>
    </xdr:to>
    <xdr:sp macro="" textlink="">
      <xdr:nvSpPr>
        <xdr:cNvPr id="12" name="AutoShape 2856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SpPr>
          <a:spLocks noChangeArrowheads="1"/>
        </xdr:cNvSpPr>
      </xdr:nvSpPr>
      <xdr:spPr bwMode="auto">
        <a:xfrm>
          <a:off x="6962775" y="65255775"/>
          <a:ext cx="400050" cy="142875"/>
        </a:xfrm>
        <a:prstGeom prst="curvedRightArrow">
          <a:avLst>
            <a:gd name="adj1" fmla="val 1185"/>
            <a:gd name="adj2" fmla="val 40000"/>
            <a:gd name="adj3" fmla="val 44444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9</xdr:col>
      <xdr:colOff>447675</xdr:colOff>
      <xdr:row>350</xdr:row>
      <xdr:rowOff>38100</xdr:rowOff>
    </xdr:from>
    <xdr:to>
      <xdr:col>10</xdr:col>
      <xdr:colOff>104775</xdr:colOff>
      <xdr:row>350</xdr:row>
      <xdr:rowOff>180975</xdr:rowOff>
    </xdr:to>
    <xdr:sp macro="" textlink="">
      <xdr:nvSpPr>
        <xdr:cNvPr id="13" name="AutoShape 2857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SpPr>
          <a:spLocks noChangeArrowheads="1"/>
        </xdr:cNvSpPr>
      </xdr:nvSpPr>
      <xdr:spPr bwMode="auto">
        <a:xfrm>
          <a:off x="6962775" y="65455800"/>
          <a:ext cx="400050" cy="142875"/>
        </a:xfrm>
        <a:prstGeom prst="curvedRightArrow">
          <a:avLst>
            <a:gd name="adj1" fmla="val 1185"/>
            <a:gd name="adj2" fmla="val 40000"/>
            <a:gd name="adj3" fmla="val 44444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10</xdr:col>
      <xdr:colOff>114300</xdr:colOff>
      <xdr:row>175</xdr:row>
      <xdr:rowOff>28575</xdr:rowOff>
    </xdr:from>
    <xdr:to>
      <xdr:col>10</xdr:col>
      <xdr:colOff>266700</xdr:colOff>
      <xdr:row>175</xdr:row>
      <xdr:rowOff>190500</xdr:rowOff>
    </xdr:to>
    <xdr:sp macro="" textlink="">
      <xdr:nvSpPr>
        <xdr:cNvPr id="14" name="AutoShape 2864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SpPr>
          <a:spLocks noChangeArrowheads="1"/>
        </xdr:cNvSpPr>
      </xdr:nvSpPr>
      <xdr:spPr bwMode="auto">
        <a:xfrm>
          <a:off x="7372350" y="33232725"/>
          <a:ext cx="152400" cy="161925"/>
        </a:xfrm>
        <a:prstGeom prst="curvedLeftArrow">
          <a:avLst>
            <a:gd name="adj1" fmla="val 1259"/>
            <a:gd name="adj2" fmla="val 42500"/>
            <a:gd name="adj3" fmla="val 33333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10</xdr:col>
      <xdr:colOff>114300</xdr:colOff>
      <xdr:row>176</xdr:row>
      <xdr:rowOff>28575</xdr:rowOff>
    </xdr:from>
    <xdr:to>
      <xdr:col>10</xdr:col>
      <xdr:colOff>266700</xdr:colOff>
      <xdr:row>176</xdr:row>
      <xdr:rowOff>190500</xdr:rowOff>
    </xdr:to>
    <xdr:sp macro="" textlink="">
      <xdr:nvSpPr>
        <xdr:cNvPr id="15" name="AutoShape 2866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SpPr>
          <a:spLocks noChangeArrowheads="1"/>
        </xdr:cNvSpPr>
      </xdr:nvSpPr>
      <xdr:spPr bwMode="auto">
        <a:xfrm>
          <a:off x="7372350" y="33432750"/>
          <a:ext cx="152400" cy="161925"/>
        </a:xfrm>
        <a:prstGeom prst="curvedLeftArrow">
          <a:avLst>
            <a:gd name="adj1" fmla="val 1259"/>
            <a:gd name="adj2" fmla="val 42500"/>
            <a:gd name="adj3" fmla="val 33333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10</xdr:col>
      <xdr:colOff>104775</xdr:colOff>
      <xdr:row>177</xdr:row>
      <xdr:rowOff>28575</xdr:rowOff>
    </xdr:from>
    <xdr:to>
      <xdr:col>10</xdr:col>
      <xdr:colOff>257175</xdr:colOff>
      <xdr:row>177</xdr:row>
      <xdr:rowOff>190500</xdr:rowOff>
    </xdr:to>
    <xdr:sp macro="" textlink="">
      <xdr:nvSpPr>
        <xdr:cNvPr id="16" name="AutoShape 2867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SpPr>
          <a:spLocks noChangeArrowheads="1"/>
        </xdr:cNvSpPr>
      </xdr:nvSpPr>
      <xdr:spPr bwMode="auto">
        <a:xfrm>
          <a:off x="7362825" y="33632775"/>
          <a:ext cx="152400" cy="161925"/>
        </a:xfrm>
        <a:prstGeom prst="curvedLeftArrow">
          <a:avLst>
            <a:gd name="adj1" fmla="val 1259"/>
            <a:gd name="adj2" fmla="val 42500"/>
            <a:gd name="adj3" fmla="val 33333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10</xdr:col>
      <xdr:colOff>142875</xdr:colOff>
      <xdr:row>308</xdr:row>
      <xdr:rowOff>28575</xdr:rowOff>
    </xdr:from>
    <xdr:to>
      <xdr:col>10</xdr:col>
      <xdr:colOff>295275</xdr:colOff>
      <xdr:row>308</xdr:row>
      <xdr:rowOff>190500</xdr:rowOff>
    </xdr:to>
    <xdr:sp macro="" textlink="">
      <xdr:nvSpPr>
        <xdr:cNvPr id="17" name="AutoShape 2873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SpPr>
          <a:spLocks noChangeArrowheads="1"/>
        </xdr:cNvSpPr>
      </xdr:nvSpPr>
      <xdr:spPr bwMode="auto">
        <a:xfrm>
          <a:off x="7400925" y="55035450"/>
          <a:ext cx="152400" cy="161925"/>
        </a:xfrm>
        <a:prstGeom prst="curvedLeftArrow">
          <a:avLst>
            <a:gd name="adj1" fmla="val 1259"/>
            <a:gd name="adj2" fmla="val 42500"/>
            <a:gd name="adj3" fmla="val 33333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10</xdr:col>
      <xdr:colOff>142875</xdr:colOff>
      <xdr:row>305</xdr:row>
      <xdr:rowOff>38100</xdr:rowOff>
    </xdr:from>
    <xdr:to>
      <xdr:col>10</xdr:col>
      <xdr:colOff>295275</xdr:colOff>
      <xdr:row>306</xdr:row>
      <xdr:rowOff>0</xdr:rowOff>
    </xdr:to>
    <xdr:sp macro="" textlink="">
      <xdr:nvSpPr>
        <xdr:cNvPr id="18" name="AutoShape 2874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SpPr>
          <a:spLocks noChangeArrowheads="1"/>
        </xdr:cNvSpPr>
      </xdr:nvSpPr>
      <xdr:spPr bwMode="auto">
        <a:xfrm>
          <a:off x="7400925" y="54454425"/>
          <a:ext cx="152400" cy="152400"/>
        </a:xfrm>
        <a:prstGeom prst="curvedLeftArrow">
          <a:avLst>
            <a:gd name="adj1" fmla="val 1259"/>
            <a:gd name="adj2" fmla="val 42500"/>
            <a:gd name="adj3" fmla="val 33333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10</xdr:col>
      <xdr:colOff>123825</xdr:colOff>
      <xdr:row>359</xdr:row>
      <xdr:rowOff>28575</xdr:rowOff>
    </xdr:from>
    <xdr:to>
      <xdr:col>10</xdr:col>
      <xdr:colOff>276225</xdr:colOff>
      <xdr:row>359</xdr:row>
      <xdr:rowOff>190500</xdr:rowOff>
    </xdr:to>
    <xdr:sp macro="" textlink="">
      <xdr:nvSpPr>
        <xdr:cNvPr id="19" name="AutoShape 2877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SpPr>
          <a:spLocks noChangeArrowheads="1"/>
        </xdr:cNvSpPr>
      </xdr:nvSpPr>
      <xdr:spPr bwMode="auto">
        <a:xfrm>
          <a:off x="7381875" y="66436875"/>
          <a:ext cx="152400" cy="161925"/>
        </a:xfrm>
        <a:prstGeom prst="curvedLeftArrow">
          <a:avLst>
            <a:gd name="adj1" fmla="val 1259"/>
            <a:gd name="adj2" fmla="val 42500"/>
            <a:gd name="adj3" fmla="val 33333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10</xdr:col>
      <xdr:colOff>123825</xdr:colOff>
      <xdr:row>363</xdr:row>
      <xdr:rowOff>28575</xdr:rowOff>
    </xdr:from>
    <xdr:to>
      <xdr:col>10</xdr:col>
      <xdr:colOff>276225</xdr:colOff>
      <xdr:row>363</xdr:row>
      <xdr:rowOff>190500</xdr:rowOff>
    </xdr:to>
    <xdr:sp macro="" textlink="">
      <xdr:nvSpPr>
        <xdr:cNvPr id="20" name="AutoShape 2878">
          <a:extLst>
            <a:ext uri="{FF2B5EF4-FFF2-40B4-BE49-F238E27FC236}">
              <a16:creationId xmlns:a16="http://schemas.microsoft.com/office/drawing/2014/main" id="{00000000-0008-0000-0300-000014000000}"/>
            </a:ext>
          </a:extLst>
        </xdr:cNvPr>
        <xdr:cNvSpPr>
          <a:spLocks noChangeArrowheads="1"/>
        </xdr:cNvSpPr>
      </xdr:nvSpPr>
      <xdr:spPr bwMode="auto">
        <a:xfrm>
          <a:off x="7381875" y="67236975"/>
          <a:ext cx="152400" cy="161925"/>
        </a:xfrm>
        <a:prstGeom prst="curvedLeftArrow">
          <a:avLst>
            <a:gd name="adj1" fmla="val 1259"/>
            <a:gd name="adj2" fmla="val 42500"/>
            <a:gd name="adj3" fmla="val 33333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</xdr:col>
      <xdr:colOff>1005349</xdr:colOff>
      <xdr:row>112</xdr:row>
      <xdr:rowOff>27653</xdr:rowOff>
    </xdr:from>
    <xdr:to>
      <xdr:col>3</xdr:col>
      <xdr:colOff>1005349</xdr:colOff>
      <xdr:row>113</xdr:row>
      <xdr:rowOff>8603</xdr:rowOff>
    </xdr:to>
    <xdr:sp macro="" textlink="">
      <xdr:nvSpPr>
        <xdr:cNvPr id="21" name="Line 2881">
          <a:extLst>
            <a:ext uri="{FF2B5EF4-FFF2-40B4-BE49-F238E27FC236}">
              <a16:creationId xmlns:a16="http://schemas.microsoft.com/office/drawing/2014/main" id="{00000000-0008-0000-0300-000015000000}"/>
            </a:ext>
          </a:extLst>
        </xdr:cNvPr>
        <xdr:cNvSpPr>
          <a:spLocks noChangeShapeType="1"/>
        </xdr:cNvSpPr>
      </xdr:nvSpPr>
      <xdr:spPr bwMode="auto">
        <a:xfrm>
          <a:off x="3291349" y="20887403"/>
          <a:ext cx="0" cy="1905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xdr:twoCellAnchor>
    <xdr:from>
      <xdr:col>3</xdr:col>
      <xdr:colOff>1081447</xdr:colOff>
      <xdr:row>168</xdr:row>
      <xdr:rowOff>61857</xdr:rowOff>
    </xdr:from>
    <xdr:to>
      <xdr:col>3</xdr:col>
      <xdr:colOff>1089121</xdr:colOff>
      <xdr:row>171</xdr:row>
      <xdr:rowOff>0</xdr:rowOff>
    </xdr:to>
    <xdr:grpSp>
      <xdr:nvGrpSpPr>
        <xdr:cNvPr id="22" name="4723 Grup">
          <a:extLst>
            <a:ext uri="{FF2B5EF4-FFF2-40B4-BE49-F238E27FC236}">
              <a16:creationId xmlns:a16="http://schemas.microsoft.com/office/drawing/2014/main" id="{00000000-0008-0000-0300-000016000000}"/>
            </a:ext>
          </a:extLst>
        </xdr:cNvPr>
        <xdr:cNvGrpSpPr>
          <a:grpSpLocks/>
        </xdr:cNvGrpSpPr>
      </xdr:nvGrpSpPr>
      <xdr:grpSpPr bwMode="auto">
        <a:xfrm>
          <a:off x="3367447" y="16897350"/>
          <a:ext cx="7674" cy="0"/>
          <a:chOff x="-214166" y="32337237"/>
          <a:chExt cx="1936" cy="634088"/>
        </a:xfrm>
      </xdr:grpSpPr>
      <xdr:sp macro="" textlink="">
        <xdr:nvSpPr>
          <xdr:cNvPr id="23" name="Line 2893">
            <a:extLst>
              <a:ext uri="{FF2B5EF4-FFF2-40B4-BE49-F238E27FC236}">
                <a16:creationId xmlns:a16="http://schemas.microsoft.com/office/drawing/2014/main" id="{00000000-0008-0000-0300-000017000000}"/>
              </a:ext>
            </a:extLst>
          </xdr:cNvPr>
          <xdr:cNvSpPr>
            <a:spLocks noChangeShapeType="1"/>
          </xdr:cNvSpPr>
        </xdr:nvSpPr>
        <xdr:spPr bwMode="auto">
          <a:xfrm>
            <a:off x="-214166" y="32337237"/>
            <a:ext cx="0" cy="172810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 type="triangle" w="med" len="med"/>
          </a:ln>
        </xdr:spPr>
      </xdr:sp>
      <xdr:sp macro="" textlink="">
        <xdr:nvSpPr>
          <xdr:cNvPr id="24" name="Line 2899">
            <a:extLst>
              <a:ext uri="{FF2B5EF4-FFF2-40B4-BE49-F238E27FC236}">
                <a16:creationId xmlns:a16="http://schemas.microsoft.com/office/drawing/2014/main" id="{00000000-0008-0000-0300-000018000000}"/>
              </a:ext>
            </a:extLst>
          </xdr:cNvPr>
          <xdr:cNvSpPr>
            <a:spLocks noChangeShapeType="1"/>
          </xdr:cNvSpPr>
        </xdr:nvSpPr>
        <xdr:spPr bwMode="auto">
          <a:xfrm>
            <a:off x="-212230" y="32776744"/>
            <a:ext cx="0" cy="194581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 type="triangle" w="med" len="med"/>
          </a:ln>
        </xdr:spPr>
        <xdr:txBody>
          <a:bodyPr/>
          <a:lstStyle/>
          <a:p>
            <a:endParaRPr lang="en-US"/>
          </a:p>
        </xdr:txBody>
      </xdr:sp>
      <xdr:sp macro="" textlink="">
        <xdr:nvSpPr>
          <xdr:cNvPr id="25" name="Line 2900">
            <a:extLst>
              <a:ext uri="{FF2B5EF4-FFF2-40B4-BE49-F238E27FC236}">
                <a16:creationId xmlns:a16="http://schemas.microsoft.com/office/drawing/2014/main" id="{00000000-0008-0000-0300-000019000000}"/>
              </a:ext>
            </a:extLst>
          </xdr:cNvPr>
          <xdr:cNvSpPr>
            <a:spLocks noChangeShapeType="1"/>
          </xdr:cNvSpPr>
        </xdr:nvSpPr>
        <xdr:spPr bwMode="auto">
          <a:xfrm>
            <a:off x="-213253" y="32520807"/>
            <a:ext cx="0" cy="204107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 type="triangle" w="med" len="med"/>
          </a:ln>
        </xdr:spPr>
      </xdr:sp>
    </xdr:grpSp>
    <xdr:clientData/>
  </xdr:twoCellAnchor>
  <xdr:twoCellAnchor>
    <xdr:from>
      <xdr:col>3</xdr:col>
      <xdr:colOff>938941</xdr:colOff>
      <xdr:row>297</xdr:row>
      <xdr:rowOff>9525</xdr:rowOff>
    </xdr:from>
    <xdr:to>
      <xdr:col>3</xdr:col>
      <xdr:colOff>950145</xdr:colOff>
      <xdr:row>306</xdr:row>
      <xdr:rowOff>11900</xdr:rowOff>
    </xdr:to>
    <xdr:grpSp>
      <xdr:nvGrpSpPr>
        <xdr:cNvPr id="26" name="4724 Grup">
          <a:extLst>
            <a:ext uri="{FF2B5EF4-FFF2-40B4-BE49-F238E27FC236}">
              <a16:creationId xmlns:a16="http://schemas.microsoft.com/office/drawing/2014/main" id="{00000000-0008-0000-0300-00001A000000}"/>
            </a:ext>
          </a:extLst>
        </xdr:cNvPr>
        <xdr:cNvGrpSpPr>
          <a:grpSpLocks/>
        </xdr:cNvGrpSpPr>
      </xdr:nvGrpSpPr>
      <xdr:grpSpPr bwMode="auto">
        <a:xfrm>
          <a:off x="3224941" y="34851975"/>
          <a:ext cx="11204" cy="1002500"/>
          <a:chOff x="3930028" y="41946739"/>
          <a:chExt cx="2436" cy="995876"/>
        </a:xfrm>
      </xdr:grpSpPr>
      <xdr:sp macro="" textlink="">
        <xdr:nvSpPr>
          <xdr:cNvPr id="27" name="Line 2910">
            <a:extLst>
              <a:ext uri="{FF2B5EF4-FFF2-40B4-BE49-F238E27FC236}">
                <a16:creationId xmlns:a16="http://schemas.microsoft.com/office/drawing/2014/main" id="{00000000-0008-0000-0300-00001B000000}"/>
              </a:ext>
            </a:extLst>
          </xdr:cNvPr>
          <xdr:cNvSpPr>
            <a:spLocks noChangeShapeType="1"/>
          </xdr:cNvSpPr>
        </xdr:nvSpPr>
        <xdr:spPr bwMode="auto">
          <a:xfrm>
            <a:off x="3932464" y="41946739"/>
            <a:ext cx="0" cy="194582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 type="triangle" w="med" len="med"/>
          </a:ln>
        </xdr:spPr>
      </xdr:sp>
      <xdr:sp macro="" textlink="">
        <xdr:nvSpPr>
          <xdr:cNvPr id="28" name="Line 2911">
            <a:extLst>
              <a:ext uri="{FF2B5EF4-FFF2-40B4-BE49-F238E27FC236}">
                <a16:creationId xmlns:a16="http://schemas.microsoft.com/office/drawing/2014/main" id="{00000000-0008-0000-0300-00001C000000}"/>
              </a:ext>
            </a:extLst>
          </xdr:cNvPr>
          <xdr:cNvSpPr>
            <a:spLocks noChangeShapeType="1"/>
          </xdr:cNvSpPr>
        </xdr:nvSpPr>
        <xdr:spPr bwMode="auto">
          <a:xfrm>
            <a:off x="3932464" y="42141321"/>
            <a:ext cx="0" cy="204108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 type="triangle" w="med" len="med"/>
          </a:ln>
        </xdr:spPr>
      </xdr:sp>
      <xdr:sp macro="" textlink="">
        <xdr:nvSpPr>
          <xdr:cNvPr id="29" name="Line 2912">
            <a:extLst>
              <a:ext uri="{FF2B5EF4-FFF2-40B4-BE49-F238E27FC236}">
                <a16:creationId xmlns:a16="http://schemas.microsoft.com/office/drawing/2014/main" id="{00000000-0008-0000-0300-00001D000000}"/>
              </a:ext>
            </a:extLst>
          </xdr:cNvPr>
          <xdr:cNvSpPr>
            <a:spLocks noChangeShapeType="1"/>
          </xdr:cNvSpPr>
        </xdr:nvSpPr>
        <xdr:spPr bwMode="auto">
          <a:xfrm>
            <a:off x="3932464" y="42345429"/>
            <a:ext cx="0" cy="204107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 type="triangle" w="med" len="med"/>
          </a:ln>
        </xdr:spPr>
      </xdr:sp>
      <xdr:sp macro="" textlink="">
        <xdr:nvSpPr>
          <xdr:cNvPr id="30" name="Line 2916">
            <a:extLst>
              <a:ext uri="{FF2B5EF4-FFF2-40B4-BE49-F238E27FC236}">
                <a16:creationId xmlns:a16="http://schemas.microsoft.com/office/drawing/2014/main" id="{00000000-0008-0000-0300-00001E000000}"/>
              </a:ext>
            </a:extLst>
          </xdr:cNvPr>
          <xdr:cNvSpPr>
            <a:spLocks noChangeShapeType="1"/>
          </xdr:cNvSpPr>
        </xdr:nvSpPr>
        <xdr:spPr bwMode="auto">
          <a:xfrm>
            <a:off x="3930028" y="42565734"/>
            <a:ext cx="0" cy="204107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 type="triangle" w="med" len="med"/>
          </a:ln>
        </xdr:spPr>
      </xdr:sp>
      <xdr:sp macro="" textlink="">
        <xdr:nvSpPr>
          <xdr:cNvPr id="31" name="Line 2917">
            <a:extLst>
              <a:ext uri="{FF2B5EF4-FFF2-40B4-BE49-F238E27FC236}">
                <a16:creationId xmlns:a16="http://schemas.microsoft.com/office/drawing/2014/main" id="{00000000-0008-0000-0300-00001F000000}"/>
              </a:ext>
            </a:extLst>
          </xdr:cNvPr>
          <xdr:cNvSpPr>
            <a:spLocks noChangeShapeType="1"/>
          </xdr:cNvSpPr>
        </xdr:nvSpPr>
        <xdr:spPr bwMode="auto">
          <a:xfrm flipV="1">
            <a:off x="3930921" y="42761640"/>
            <a:ext cx="0" cy="180975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 type="triangle" w="med" len="med"/>
          </a:ln>
        </xdr:spPr>
      </xdr:sp>
    </xdr:grpSp>
    <xdr:clientData/>
  </xdr:twoCellAnchor>
  <xdr:twoCellAnchor>
    <xdr:from>
      <xdr:col>3</xdr:col>
      <xdr:colOff>485775</xdr:colOff>
      <xdr:row>348</xdr:row>
      <xdr:rowOff>38100</xdr:rowOff>
    </xdr:from>
    <xdr:to>
      <xdr:col>3</xdr:col>
      <xdr:colOff>485775</xdr:colOff>
      <xdr:row>349</xdr:row>
      <xdr:rowOff>9525</xdr:rowOff>
    </xdr:to>
    <xdr:sp macro="" textlink="">
      <xdr:nvSpPr>
        <xdr:cNvPr id="32" name="Line 2920">
          <a:extLst>
            <a:ext uri="{FF2B5EF4-FFF2-40B4-BE49-F238E27FC236}">
              <a16:creationId xmlns:a16="http://schemas.microsoft.com/office/drawing/2014/main" id="{00000000-0008-0000-0300-000020000000}"/>
            </a:ext>
          </a:extLst>
        </xdr:cNvPr>
        <xdr:cNvSpPr>
          <a:spLocks noChangeShapeType="1"/>
        </xdr:cNvSpPr>
      </xdr:nvSpPr>
      <xdr:spPr bwMode="auto">
        <a:xfrm>
          <a:off x="2771775" y="65046225"/>
          <a:ext cx="0" cy="1809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xdr:twoCellAnchor>
    <xdr:from>
      <xdr:col>3</xdr:col>
      <xdr:colOff>485775</xdr:colOff>
      <xdr:row>349</xdr:row>
      <xdr:rowOff>19050</xdr:rowOff>
    </xdr:from>
    <xdr:to>
      <xdr:col>3</xdr:col>
      <xdr:colOff>485775</xdr:colOff>
      <xdr:row>350</xdr:row>
      <xdr:rowOff>19050</xdr:rowOff>
    </xdr:to>
    <xdr:sp macro="" textlink="">
      <xdr:nvSpPr>
        <xdr:cNvPr id="33" name="Line 2921">
          <a:extLst>
            <a:ext uri="{FF2B5EF4-FFF2-40B4-BE49-F238E27FC236}">
              <a16:creationId xmlns:a16="http://schemas.microsoft.com/office/drawing/2014/main" id="{00000000-0008-0000-0300-000021000000}"/>
            </a:ext>
          </a:extLst>
        </xdr:cNvPr>
        <xdr:cNvSpPr>
          <a:spLocks noChangeShapeType="1"/>
        </xdr:cNvSpPr>
      </xdr:nvSpPr>
      <xdr:spPr bwMode="auto">
        <a:xfrm>
          <a:off x="2771775" y="65236725"/>
          <a:ext cx="0" cy="2000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xdr:twoCellAnchor>
    <xdr:from>
      <xdr:col>3</xdr:col>
      <xdr:colOff>476250</xdr:colOff>
      <xdr:row>350</xdr:row>
      <xdr:rowOff>28575</xdr:rowOff>
    </xdr:from>
    <xdr:to>
      <xdr:col>3</xdr:col>
      <xdr:colOff>476250</xdr:colOff>
      <xdr:row>351</xdr:row>
      <xdr:rowOff>28575</xdr:rowOff>
    </xdr:to>
    <xdr:sp macro="" textlink="">
      <xdr:nvSpPr>
        <xdr:cNvPr id="34" name="Line 2923">
          <a:extLst>
            <a:ext uri="{FF2B5EF4-FFF2-40B4-BE49-F238E27FC236}">
              <a16:creationId xmlns:a16="http://schemas.microsoft.com/office/drawing/2014/main" id="{00000000-0008-0000-0300-000022000000}"/>
            </a:ext>
          </a:extLst>
        </xdr:cNvPr>
        <xdr:cNvSpPr>
          <a:spLocks noChangeShapeType="1"/>
        </xdr:cNvSpPr>
      </xdr:nvSpPr>
      <xdr:spPr bwMode="auto">
        <a:xfrm>
          <a:off x="2762250" y="65446275"/>
          <a:ext cx="0" cy="1714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xdr:twoCellAnchor>
    <xdr:from>
      <xdr:col>3</xdr:col>
      <xdr:colOff>485775</xdr:colOff>
      <xdr:row>356</xdr:row>
      <xdr:rowOff>19049</xdr:rowOff>
    </xdr:from>
    <xdr:to>
      <xdr:col>3</xdr:col>
      <xdr:colOff>485775</xdr:colOff>
      <xdr:row>357</xdr:row>
      <xdr:rowOff>9524</xdr:rowOff>
    </xdr:to>
    <xdr:sp macro="" textlink="">
      <xdr:nvSpPr>
        <xdr:cNvPr id="35" name="Line 2927">
          <a:extLst>
            <a:ext uri="{FF2B5EF4-FFF2-40B4-BE49-F238E27FC236}">
              <a16:creationId xmlns:a16="http://schemas.microsoft.com/office/drawing/2014/main" id="{00000000-0008-0000-0300-000023000000}"/>
            </a:ext>
          </a:extLst>
        </xdr:cNvPr>
        <xdr:cNvSpPr>
          <a:spLocks noChangeShapeType="1"/>
        </xdr:cNvSpPr>
      </xdr:nvSpPr>
      <xdr:spPr bwMode="auto">
        <a:xfrm flipV="1">
          <a:off x="2771775" y="65836799"/>
          <a:ext cx="0" cy="1809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xdr:twoCellAnchor>
    <xdr:from>
      <xdr:col>13</xdr:col>
      <xdr:colOff>13607</xdr:colOff>
      <xdr:row>8</xdr:row>
      <xdr:rowOff>163297</xdr:rowOff>
    </xdr:from>
    <xdr:to>
      <xdr:col>13</xdr:col>
      <xdr:colOff>213632</xdr:colOff>
      <xdr:row>10</xdr:row>
      <xdr:rowOff>19742</xdr:rowOff>
    </xdr:to>
    <xdr:sp macro="" textlink="">
      <xdr:nvSpPr>
        <xdr:cNvPr id="36" name="Text Box 5112">
          <a:extLst>
            <a:ext uri="{FF2B5EF4-FFF2-40B4-BE49-F238E27FC236}">
              <a16:creationId xmlns:a16="http://schemas.microsoft.com/office/drawing/2014/main" id="{00000000-0008-0000-0300-000024000000}"/>
            </a:ext>
          </a:extLst>
        </xdr:cNvPr>
        <xdr:cNvSpPr txBox="1">
          <a:spLocks noChangeArrowheads="1"/>
        </xdr:cNvSpPr>
      </xdr:nvSpPr>
      <xdr:spPr bwMode="auto">
        <a:xfrm>
          <a:off x="8976632" y="1630147"/>
          <a:ext cx="200025" cy="22792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tr-TR" sz="1000" b="0" i="0" strike="noStrike">
              <a:solidFill>
                <a:srgbClr val="000000"/>
              </a:solidFill>
              <a:latin typeface="Symbol"/>
            </a:rPr>
            <a:t>F</a:t>
          </a:r>
        </a:p>
      </xdr:txBody>
    </xdr:sp>
    <xdr:clientData/>
  </xdr:twoCellAnchor>
  <xdr:twoCellAnchor>
    <xdr:from>
      <xdr:col>13</xdr:col>
      <xdr:colOff>13607</xdr:colOff>
      <xdr:row>9</xdr:row>
      <xdr:rowOff>163292</xdr:rowOff>
    </xdr:from>
    <xdr:to>
      <xdr:col>13</xdr:col>
      <xdr:colOff>213632</xdr:colOff>
      <xdr:row>11</xdr:row>
      <xdr:rowOff>19737</xdr:rowOff>
    </xdr:to>
    <xdr:sp macro="" textlink="">
      <xdr:nvSpPr>
        <xdr:cNvPr id="37" name="Text Box 5112">
          <a:extLst>
            <a:ext uri="{FF2B5EF4-FFF2-40B4-BE49-F238E27FC236}">
              <a16:creationId xmlns:a16="http://schemas.microsoft.com/office/drawing/2014/main" id="{00000000-0008-0000-0300-000025000000}"/>
            </a:ext>
          </a:extLst>
        </xdr:cNvPr>
        <xdr:cNvSpPr txBox="1">
          <a:spLocks noChangeArrowheads="1"/>
        </xdr:cNvSpPr>
      </xdr:nvSpPr>
      <xdr:spPr bwMode="auto">
        <a:xfrm>
          <a:off x="8976632" y="1811117"/>
          <a:ext cx="200025" cy="22792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tr-TR" sz="1000" b="0" i="0" strike="noStrike">
              <a:solidFill>
                <a:srgbClr val="000000"/>
              </a:solidFill>
              <a:latin typeface="Symbol"/>
            </a:rPr>
            <a:t>F</a:t>
          </a:r>
        </a:p>
      </xdr:txBody>
    </xdr:sp>
    <xdr:clientData/>
  </xdr:twoCellAnchor>
  <xdr:twoCellAnchor>
    <xdr:from>
      <xdr:col>13</xdr:col>
      <xdr:colOff>13607</xdr:colOff>
      <xdr:row>10</xdr:row>
      <xdr:rowOff>149681</xdr:rowOff>
    </xdr:from>
    <xdr:to>
      <xdr:col>13</xdr:col>
      <xdr:colOff>213632</xdr:colOff>
      <xdr:row>11</xdr:row>
      <xdr:rowOff>138795</xdr:rowOff>
    </xdr:to>
    <xdr:sp macro="" textlink="">
      <xdr:nvSpPr>
        <xdr:cNvPr id="38" name="Text Box 5112">
          <a:extLst>
            <a:ext uri="{FF2B5EF4-FFF2-40B4-BE49-F238E27FC236}">
              <a16:creationId xmlns:a16="http://schemas.microsoft.com/office/drawing/2014/main" id="{00000000-0008-0000-0300-000026000000}"/>
            </a:ext>
          </a:extLst>
        </xdr:cNvPr>
        <xdr:cNvSpPr txBox="1">
          <a:spLocks noChangeArrowheads="1"/>
        </xdr:cNvSpPr>
      </xdr:nvSpPr>
      <xdr:spPr bwMode="auto">
        <a:xfrm>
          <a:off x="8976632" y="1988006"/>
          <a:ext cx="200025" cy="17008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tr-TR" sz="1000" b="0" i="0" strike="noStrike">
              <a:solidFill>
                <a:srgbClr val="000000"/>
              </a:solidFill>
              <a:latin typeface="Symbol"/>
            </a:rPr>
            <a:t>F</a:t>
          </a:r>
        </a:p>
      </xdr:txBody>
    </xdr:sp>
    <xdr:clientData/>
  </xdr:twoCellAnchor>
  <xdr:twoCellAnchor>
    <xdr:from>
      <xdr:col>13</xdr:col>
      <xdr:colOff>593112</xdr:colOff>
      <xdr:row>8</xdr:row>
      <xdr:rowOff>95256</xdr:rowOff>
    </xdr:from>
    <xdr:to>
      <xdr:col>15</xdr:col>
      <xdr:colOff>171290</xdr:colOff>
      <xdr:row>10</xdr:row>
      <xdr:rowOff>27214</xdr:rowOff>
    </xdr:to>
    <xdr:sp macro="" textlink="">
      <xdr:nvSpPr>
        <xdr:cNvPr id="39" name="Text Box 5113">
          <a:extLst>
            <a:ext uri="{FF2B5EF4-FFF2-40B4-BE49-F238E27FC236}">
              <a16:creationId xmlns:a16="http://schemas.microsoft.com/office/drawing/2014/main" id="{00000000-0008-0000-0300-000027000000}"/>
            </a:ext>
          </a:extLst>
        </xdr:cNvPr>
        <xdr:cNvSpPr txBox="1">
          <a:spLocks noChangeArrowheads="1"/>
        </xdr:cNvSpPr>
      </xdr:nvSpPr>
      <xdr:spPr bwMode="auto">
        <a:xfrm>
          <a:off x="9556137" y="1562106"/>
          <a:ext cx="1445078" cy="3034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tr-TR" sz="1800" b="0" i="0" strike="noStrike">
              <a:solidFill>
                <a:sysClr val="windowText" lastClr="000000"/>
              </a:solidFill>
              <a:latin typeface="Symbol"/>
            </a:rPr>
            <a:t>/</a:t>
          </a:r>
        </a:p>
      </xdr:txBody>
    </xdr:sp>
    <xdr:clientData/>
  </xdr:twoCellAnchor>
  <xdr:twoCellAnchor>
    <xdr:from>
      <xdr:col>13</xdr:col>
      <xdr:colOff>517066</xdr:colOff>
      <xdr:row>9</xdr:row>
      <xdr:rowOff>81650</xdr:rowOff>
    </xdr:from>
    <xdr:to>
      <xdr:col>15</xdr:col>
      <xdr:colOff>95244</xdr:colOff>
      <xdr:row>11</xdr:row>
      <xdr:rowOff>13608</xdr:rowOff>
    </xdr:to>
    <xdr:sp macro="" textlink="">
      <xdr:nvSpPr>
        <xdr:cNvPr id="40" name="Text Box 5113">
          <a:extLst>
            <a:ext uri="{FF2B5EF4-FFF2-40B4-BE49-F238E27FC236}">
              <a16:creationId xmlns:a16="http://schemas.microsoft.com/office/drawing/2014/main" id="{00000000-0008-0000-0300-000028000000}"/>
            </a:ext>
          </a:extLst>
        </xdr:cNvPr>
        <xdr:cNvSpPr txBox="1">
          <a:spLocks noChangeArrowheads="1"/>
        </xdr:cNvSpPr>
      </xdr:nvSpPr>
      <xdr:spPr bwMode="auto">
        <a:xfrm>
          <a:off x="9480091" y="1729475"/>
          <a:ext cx="1445078" cy="3034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tr-TR" sz="1800" b="0" i="0" strike="noStrike">
              <a:solidFill>
                <a:sysClr val="windowText" lastClr="000000"/>
              </a:solidFill>
              <a:latin typeface="Symbol"/>
            </a:rPr>
            <a:t>/</a:t>
          </a:r>
        </a:p>
      </xdr:txBody>
    </xdr:sp>
    <xdr:clientData/>
  </xdr:twoCellAnchor>
  <xdr:twoCellAnchor>
    <xdr:from>
      <xdr:col>13</xdr:col>
      <xdr:colOff>530673</xdr:colOff>
      <xdr:row>10</xdr:row>
      <xdr:rowOff>68041</xdr:rowOff>
    </xdr:from>
    <xdr:to>
      <xdr:col>15</xdr:col>
      <xdr:colOff>108851</xdr:colOff>
      <xdr:row>12</xdr:row>
      <xdr:rowOff>0</xdr:rowOff>
    </xdr:to>
    <xdr:sp macro="" textlink="">
      <xdr:nvSpPr>
        <xdr:cNvPr id="41" name="Text Box 5113">
          <a:extLst>
            <a:ext uri="{FF2B5EF4-FFF2-40B4-BE49-F238E27FC236}">
              <a16:creationId xmlns:a16="http://schemas.microsoft.com/office/drawing/2014/main" id="{00000000-0008-0000-0300-000029000000}"/>
            </a:ext>
          </a:extLst>
        </xdr:cNvPr>
        <xdr:cNvSpPr txBox="1">
          <a:spLocks noChangeArrowheads="1"/>
        </xdr:cNvSpPr>
      </xdr:nvSpPr>
      <xdr:spPr bwMode="auto">
        <a:xfrm>
          <a:off x="9493698" y="1906366"/>
          <a:ext cx="1445078" cy="29390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tr-TR" sz="1800" b="0" i="0" strike="noStrike">
              <a:solidFill>
                <a:sysClr val="windowText" lastClr="000000"/>
              </a:solidFill>
              <a:latin typeface="Symbol"/>
            </a:rPr>
            <a:t>/</a:t>
          </a:r>
        </a:p>
      </xdr:txBody>
    </xdr:sp>
    <xdr:clientData/>
  </xdr:twoCellAnchor>
  <xdr:twoCellAnchor>
    <xdr:from>
      <xdr:col>10</xdr:col>
      <xdr:colOff>85725</xdr:colOff>
      <xdr:row>409</xdr:row>
      <xdr:rowOff>28575</xdr:rowOff>
    </xdr:from>
    <xdr:to>
      <xdr:col>10</xdr:col>
      <xdr:colOff>238125</xdr:colOff>
      <xdr:row>409</xdr:row>
      <xdr:rowOff>190500</xdr:rowOff>
    </xdr:to>
    <xdr:sp macro="" textlink="">
      <xdr:nvSpPr>
        <xdr:cNvPr id="42" name="AutoShape 2865">
          <a:extLst>
            <a:ext uri="{FF2B5EF4-FFF2-40B4-BE49-F238E27FC236}">
              <a16:creationId xmlns:a16="http://schemas.microsoft.com/office/drawing/2014/main" id="{00000000-0008-0000-0300-00002A000000}"/>
            </a:ext>
          </a:extLst>
        </xdr:cNvPr>
        <xdr:cNvSpPr>
          <a:spLocks noChangeArrowheads="1"/>
        </xdr:cNvSpPr>
      </xdr:nvSpPr>
      <xdr:spPr bwMode="auto">
        <a:xfrm>
          <a:off x="7343775" y="76638150"/>
          <a:ext cx="152400" cy="152400"/>
        </a:xfrm>
        <a:prstGeom prst="curvedLeftArrow">
          <a:avLst>
            <a:gd name="adj1" fmla="val 1343"/>
            <a:gd name="adj2" fmla="val 45348"/>
            <a:gd name="adj3" fmla="val 33333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10</xdr:col>
      <xdr:colOff>91108</xdr:colOff>
      <xdr:row>410</xdr:row>
      <xdr:rowOff>24848</xdr:rowOff>
    </xdr:from>
    <xdr:to>
      <xdr:col>10</xdr:col>
      <xdr:colOff>266699</xdr:colOff>
      <xdr:row>411</xdr:row>
      <xdr:rowOff>1</xdr:rowOff>
    </xdr:to>
    <xdr:sp macro="" textlink="">
      <xdr:nvSpPr>
        <xdr:cNvPr id="43" name="AutoShape 2866">
          <a:extLst>
            <a:ext uri="{FF2B5EF4-FFF2-40B4-BE49-F238E27FC236}">
              <a16:creationId xmlns:a16="http://schemas.microsoft.com/office/drawing/2014/main" id="{00000000-0008-0000-0300-00002B000000}"/>
            </a:ext>
          </a:extLst>
        </xdr:cNvPr>
        <xdr:cNvSpPr>
          <a:spLocks noChangeArrowheads="1"/>
        </xdr:cNvSpPr>
      </xdr:nvSpPr>
      <xdr:spPr bwMode="auto">
        <a:xfrm>
          <a:off x="7349158" y="76815398"/>
          <a:ext cx="175591" cy="156128"/>
        </a:xfrm>
        <a:prstGeom prst="curvedLeftArrow">
          <a:avLst>
            <a:gd name="adj1" fmla="val 1339"/>
            <a:gd name="adj2" fmla="val 45349"/>
            <a:gd name="adj3" fmla="val 33333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</xdr:col>
      <xdr:colOff>457200</xdr:colOff>
      <xdr:row>409</xdr:row>
      <xdr:rowOff>123825</xdr:rowOff>
    </xdr:from>
    <xdr:to>
      <xdr:col>6</xdr:col>
      <xdr:colOff>142875</xdr:colOff>
      <xdr:row>409</xdr:row>
      <xdr:rowOff>123825</xdr:rowOff>
    </xdr:to>
    <xdr:sp macro="" textlink="">
      <xdr:nvSpPr>
        <xdr:cNvPr id="44" name="Line 2902">
          <a:extLst>
            <a:ext uri="{FF2B5EF4-FFF2-40B4-BE49-F238E27FC236}">
              <a16:creationId xmlns:a16="http://schemas.microsoft.com/office/drawing/2014/main" id="{00000000-0008-0000-0300-00002C000000}"/>
            </a:ext>
          </a:extLst>
        </xdr:cNvPr>
        <xdr:cNvSpPr>
          <a:spLocks noChangeShapeType="1"/>
        </xdr:cNvSpPr>
      </xdr:nvSpPr>
      <xdr:spPr bwMode="auto">
        <a:xfrm>
          <a:off x="4514850" y="76733400"/>
          <a:ext cx="2190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xdr:twoCellAnchor>
    <xdr:from>
      <xdr:col>5</xdr:col>
      <xdr:colOff>457200</xdr:colOff>
      <xdr:row>410</xdr:row>
      <xdr:rowOff>95250</xdr:rowOff>
    </xdr:from>
    <xdr:to>
      <xdr:col>6</xdr:col>
      <xdr:colOff>161925</xdr:colOff>
      <xdr:row>410</xdr:row>
      <xdr:rowOff>95250</xdr:rowOff>
    </xdr:to>
    <xdr:sp macro="" textlink="">
      <xdr:nvSpPr>
        <xdr:cNvPr id="45" name="Line 2908">
          <a:extLst>
            <a:ext uri="{FF2B5EF4-FFF2-40B4-BE49-F238E27FC236}">
              <a16:creationId xmlns:a16="http://schemas.microsoft.com/office/drawing/2014/main" id="{00000000-0008-0000-0300-00002D000000}"/>
            </a:ext>
          </a:extLst>
        </xdr:cNvPr>
        <xdr:cNvSpPr>
          <a:spLocks noChangeShapeType="1"/>
        </xdr:cNvSpPr>
      </xdr:nvSpPr>
      <xdr:spPr bwMode="auto">
        <a:xfrm>
          <a:off x="4514850" y="76885800"/>
          <a:ext cx="2381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xdr:twoCellAnchor>
    <xdr:from>
      <xdr:col>4</xdr:col>
      <xdr:colOff>104704</xdr:colOff>
      <xdr:row>536</xdr:row>
      <xdr:rowOff>31893</xdr:rowOff>
    </xdr:from>
    <xdr:to>
      <xdr:col>4</xdr:col>
      <xdr:colOff>298134</xdr:colOff>
      <xdr:row>537</xdr:row>
      <xdr:rowOff>108093</xdr:rowOff>
    </xdr:to>
    <xdr:sp macro="" textlink="">
      <xdr:nvSpPr>
        <xdr:cNvPr id="46" name="3740 Metin kutusu">
          <a:extLst>
            <a:ext uri="{FF2B5EF4-FFF2-40B4-BE49-F238E27FC236}">
              <a16:creationId xmlns:a16="http://schemas.microsoft.com/office/drawing/2014/main" id="{00000000-0008-0000-0300-00002E000000}"/>
            </a:ext>
          </a:extLst>
        </xdr:cNvPr>
        <xdr:cNvSpPr txBox="1"/>
      </xdr:nvSpPr>
      <xdr:spPr>
        <a:xfrm>
          <a:off x="3628954" y="98787093"/>
          <a:ext cx="193430" cy="2571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l"/>
          <a:r>
            <a:rPr lang="el-GR" sz="1100"/>
            <a:t>σ</a:t>
          </a:r>
          <a:endParaRPr lang="tr-TR" sz="1100"/>
        </a:p>
      </xdr:txBody>
    </xdr:sp>
    <xdr:clientData/>
  </xdr:twoCellAnchor>
  <xdr:twoCellAnchor>
    <xdr:from>
      <xdr:col>2</xdr:col>
      <xdr:colOff>926762</xdr:colOff>
      <xdr:row>487</xdr:row>
      <xdr:rowOff>105436</xdr:rowOff>
    </xdr:from>
    <xdr:to>
      <xdr:col>2</xdr:col>
      <xdr:colOff>1117471</xdr:colOff>
      <xdr:row>489</xdr:row>
      <xdr:rowOff>145</xdr:rowOff>
    </xdr:to>
    <xdr:sp macro="" textlink="">
      <xdr:nvSpPr>
        <xdr:cNvPr id="47" name="3742 Metin kutusu">
          <a:extLst>
            <a:ext uri="{FF2B5EF4-FFF2-40B4-BE49-F238E27FC236}">
              <a16:creationId xmlns:a16="http://schemas.microsoft.com/office/drawing/2014/main" id="{00000000-0008-0000-0300-00002F000000}"/>
            </a:ext>
          </a:extLst>
        </xdr:cNvPr>
        <xdr:cNvSpPr txBox="1"/>
      </xdr:nvSpPr>
      <xdr:spPr>
        <a:xfrm>
          <a:off x="1936412" y="89507086"/>
          <a:ext cx="190709" cy="256659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l"/>
          <a:r>
            <a:rPr lang="el-GR" sz="1100"/>
            <a:t>σ</a:t>
          </a:r>
          <a:endParaRPr lang="tr-TR" sz="1100"/>
        </a:p>
      </xdr:txBody>
    </xdr:sp>
    <xdr:clientData/>
  </xdr:twoCellAnchor>
  <xdr:twoCellAnchor>
    <xdr:from>
      <xdr:col>5</xdr:col>
      <xdr:colOff>515746</xdr:colOff>
      <xdr:row>488</xdr:row>
      <xdr:rowOff>51088</xdr:rowOff>
    </xdr:from>
    <xdr:to>
      <xdr:col>6</xdr:col>
      <xdr:colOff>168572</xdr:colOff>
      <xdr:row>489</xdr:row>
      <xdr:rowOff>125091</xdr:rowOff>
    </xdr:to>
    <xdr:sp macro="" textlink="">
      <xdr:nvSpPr>
        <xdr:cNvPr id="48" name="3743 Metin kutusu">
          <a:extLst>
            <a:ext uri="{FF2B5EF4-FFF2-40B4-BE49-F238E27FC236}">
              <a16:creationId xmlns:a16="http://schemas.microsoft.com/office/drawing/2014/main" id="{00000000-0008-0000-0300-000030000000}"/>
            </a:ext>
          </a:extLst>
        </xdr:cNvPr>
        <xdr:cNvSpPr txBox="1"/>
      </xdr:nvSpPr>
      <xdr:spPr>
        <a:xfrm>
          <a:off x="4573396" y="89633713"/>
          <a:ext cx="186226" cy="254978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l"/>
          <a:r>
            <a:rPr lang="el-GR" sz="1100"/>
            <a:t>σ</a:t>
          </a:r>
          <a:endParaRPr lang="tr-TR" sz="1100"/>
        </a:p>
      </xdr:txBody>
    </xdr:sp>
    <xdr:clientData/>
  </xdr:twoCellAnchor>
  <xdr:twoCellAnchor>
    <xdr:from>
      <xdr:col>3</xdr:col>
      <xdr:colOff>161080</xdr:colOff>
      <xdr:row>9</xdr:row>
      <xdr:rowOff>57251</xdr:rowOff>
    </xdr:from>
    <xdr:to>
      <xdr:col>3</xdr:col>
      <xdr:colOff>351789</xdr:colOff>
      <xdr:row>10</xdr:row>
      <xdr:rowOff>121729</xdr:rowOff>
    </xdr:to>
    <xdr:sp macro="" textlink="">
      <xdr:nvSpPr>
        <xdr:cNvPr id="49" name="3744 Metin kutusu">
          <a:extLst>
            <a:ext uri="{FF2B5EF4-FFF2-40B4-BE49-F238E27FC236}">
              <a16:creationId xmlns:a16="http://schemas.microsoft.com/office/drawing/2014/main" id="{00000000-0008-0000-0300-000031000000}"/>
            </a:ext>
          </a:extLst>
        </xdr:cNvPr>
        <xdr:cNvSpPr txBox="1"/>
      </xdr:nvSpPr>
      <xdr:spPr>
        <a:xfrm>
          <a:off x="2447080" y="1705076"/>
          <a:ext cx="190709" cy="254978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l"/>
          <a:r>
            <a:rPr lang="el-GR" sz="1100"/>
            <a:t>δ</a:t>
          </a:r>
          <a:endParaRPr lang="tr-TR" sz="1100"/>
        </a:p>
      </xdr:txBody>
    </xdr:sp>
    <xdr:clientData/>
  </xdr:twoCellAnchor>
  <xdr:twoCellAnchor>
    <xdr:from>
      <xdr:col>2</xdr:col>
      <xdr:colOff>91054</xdr:colOff>
      <xdr:row>3</xdr:row>
      <xdr:rowOff>123926</xdr:rowOff>
    </xdr:from>
    <xdr:to>
      <xdr:col>2</xdr:col>
      <xdr:colOff>281763</xdr:colOff>
      <xdr:row>4</xdr:row>
      <xdr:rowOff>178879</xdr:rowOff>
    </xdr:to>
    <xdr:sp macro="" textlink="">
      <xdr:nvSpPr>
        <xdr:cNvPr id="50" name="3745 Metin kutusu">
          <a:extLst>
            <a:ext uri="{FF2B5EF4-FFF2-40B4-BE49-F238E27FC236}">
              <a16:creationId xmlns:a16="http://schemas.microsoft.com/office/drawing/2014/main" id="{00000000-0008-0000-0300-000032000000}"/>
            </a:ext>
          </a:extLst>
        </xdr:cNvPr>
        <xdr:cNvSpPr txBox="1"/>
      </xdr:nvSpPr>
      <xdr:spPr>
        <a:xfrm>
          <a:off x="1100704" y="676376"/>
          <a:ext cx="190709" cy="245453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l"/>
          <a:r>
            <a:rPr lang="el-GR" sz="1100"/>
            <a:t>α</a:t>
          </a:r>
          <a:endParaRPr lang="tr-TR" sz="1100"/>
        </a:p>
      </xdr:txBody>
    </xdr:sp>
    <xdr:clientData/>
  </xdr:twoCellAnchor>
  <xdr:twoCellAnchor>
    <xdr:from>
      <xdr:col>17</xdr:col>
      <xdr:colOff>13607</xdr:colOff>
      <xdr:row>8</xdr:row>
      <xdr:rowOff>163297</xdr:rowOff>
    </xdr:from>
    <xdr:to>
      <xdr:col>17</xdr:col>
      <xdr:colOff>213632</xdr:colOff>
      <xdr:row>10</xdr:row>
      <xdr:rowOff>19742</xdr:rowOff>
    </xdr:to>
    <xdr:sp macro="" textlink="">
      <xdr:nvSpPr>
        <xdr:cNvPr id="51" name="Text Box 5112">
          <a:extLst>
            <a:ext uri="{FF2B5EF4-FFF2-40B4-BE49-F238E27FC236}">
              <a16:creationId xmlns:a16="http://schemas.microsoft.com/office/drawing/2014/main" id="{00000000-0008-0000-0300-000033000000}"/>
            </a:ext>
          </a:extLst>
        </xdr:cNvPr>
        <xdr:cNvSpPr txBox="1">
          <a:spLocks noChangeArrowheads="1"/>
        </xdr:cNvSpPr>
      </xdr:nvSpPr>
      <xdr:spPr bwMode="auto">
        <a:xfrm>
          <a:off x="12843782" y="1630147"/>
          <a:ext cx="200025" cy="22792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tr-TR" sz="1000" b="0" i="0" strike="noStrike">
              <a:solidFill>
                <a:srgbClr val="000000"/>
              </a:solidFill>
              <a:latin typeface="Symbol"/>
            </a:rPr>
            <a:t>F</a:t>
          </a:r>
        </a:p>
      </xdr:txBody>
    </xdr:sp>
    <xdr:clientData/>
  </xdr:twoCellAnchor>
  <xdr:twoCellAnchor>
    <xdr:from>
      <xdr:col>17</xdr:col>
      <xdr:colOff>13607</xdr:colOff>
      <xdr:row>9</xdr:row>
      <xdr:rowOff>163292</xdr:rowOff>
    </xdr:from>
    <xdr:to>
      <xdr:col>17</xdr:col>
      <xdr:colOff>213632</xdr:colOff>
      <xdr:row>11</xdr:row>
      <xdr:rowOff>19737</xdr:rowOff>
    </xdr:to>
    <xdr:sp macro="" textlink="">
      <xdr:nvSpPr>
        <xdr:cNvPr id="52" name="Text Box 5112">
          <a:extLst>
            <a:ext uri="{FF2B5EF4-FFF2-40B4-BE49-F238E27FC236}">
              <a16:creationId xmlns:a16="http://schemas.microsoft.com/office/drawing/2014/main" id="{00000000-0008-0000-0300-000034000000}"/>
            </a:ext>
          </a:extLst>
        </xdr:cNvPr>
        <xdr:cNvSpPr txBox="1">
          <a:spLocks noChangeArrowheads="1"/>
        </xdr:cNvSpPr>
      </xdr:nvSpPr>
      <xdr:spPr bwMode="auto">
        <a:xfrm>
          <a:off x="12843782" y="1811117"/>
          <a:ext cx="200025" cy="22792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tr-TR" sz="1000" b="0" i="0" strike="noStrike">
              <a:solidFill>
                <a:srgbClr val="000000"/>
              </a:solidFill>
              <a:latin typeface="Symbol"/>
            </a:rPr>
            <a:t>F</a:t>
          </a:r>
        </a:p>
      </xdr:txBody>
    </xdr:sp>
    <xdr:clientData/>
  </xdr:twoCellAnchor>
  <xdr:twoCellAnchor>
    <xdr:from>
      <xdr:col>17</xdr:col>
      <xdr:colOff>13607</xdr:colOff>
      <xdr:row>10</xdr:row>
      <xdr:rowOff>149681</xdr:rowOff>
    </xdr:from>
    <xdr:to>
      <xdr:col>17</xdr:col>
      <xdr:colOff>213632</xdr:colOff>
      <xdr:row>11</xdr:row>
      <xdr:rowOff>138795</xdr:rowOff>
    </xdr:to>
    <xdr:sp macro="" textlink="">
      <xdr:nvSpPr>
        <xdr:cNvPr id="53" name="Text Box 5112">
          <a:extLst>
            <a:ext uri="{FF2B5EF4-FFF2-40B4-BE49-F238E27FC236}">
              <a16:creationId xmlns:a16="http://schemas.microsoft.com/office/drawing/2014/main" id="{00000000-0008-0000-0300-000035000000}"/>
            </a:ext>
          </a:extLst>
        </xdr:cNvPr>
        <xdr:cNvSpPr txBox="1">
          <a:spLocks noChangeArrowheads="1"/>
        </xdr:cNvSpPr>
      </xdr:nvSpPr>
      <xdr:spPr bwMode="auto">
        <a:xfrm>
          <a:off x="12843782" y="1988006"/>
          <a:ext cx="200025" cy="17008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tr-TR" sz="1000" b="0" i="0" strike="noStrike">
              <a:solidFill>
                <a:srgbClr val="000000"/>
              </a:solidFill>
              <a:latin typeface="Symbol"/>
            </a:rPr>
            <a:t>F</a:t>
          </a:r>
        </a:p>
      </xdr:txBody>
    </xdr:sp>
    <xdr:clientData/>
  </xdr:twoCellAnchor>
  <xdr:twoCellAnchor>
    <xdr:from>
      <xdr:col>17</xdr:col>
      <xdr:colOff>503465</xdr:colOff>
      <xdr:row>8</xdr:row>
      <xdr:rowOff>95256</xdr:rowOff>
    </xdr:from>
    <xdr:to>
      <xdr:col>18</xdr:col>
      <xdr:colOff>81643</xdr:colOff>
      <xdr:row>10</xdr:row>
      <xdr:rowOff>27214</xdr:rowOff>
    </xdr:to>
    <xdr:sp macro="" textlink="">
      <xdr:nvSpPr>
        <xdr:cNvPr id="54" name="Text Box 5113">
          <a:extLst>
            <a:ext uri="{FF2B5EF4-FFF2-40B4-BE49-F238E27FC236}">
              <a16:creationId xmlns:a16="http://schemas.microsoft.com/office/drawing/2014/main" id="{00000000-0008-0000-0300-000036000000}"/>
            </a:ext>
          </a:extLst>
        </xdr:cNvPr>
        <xdr:cNvSpPr txBox="1">
          <a:spLocks noChangeArrowheads="1"/>
        </xdr:cNvSpPr>
      </xdr:nvSpPr>
      <xdr:spPr bwMode="auto">
        <a:xfrm>
          <a:off x="13333640" y="1562106"/>
          <a:ext cx="187778" cy="3034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tr-TR" sz="1800" b="0" i="0" strike="noStrike">
              <a:solidFill>
                <a:sysClr val="windowText" lastClr="000000"/>
              </a:solidFill>
              <a:latin typeface="Symbol"/>
            </a:rPr>
            <a:t>/</a:t>
          </a:r>
        </a:p>
      </xdr:txBody>
    </xdr:sp>
    <xdr:clientData/>
  </xdr:twoCellAnchor>
  <xdr:twoCellAnchor>
    <xdr:from>
      <xdr:col>17</xdr:col>
      <xdr:colOff>517066</xdr:colOff>
      <xdr:row>9</xdr:row>
      <xdr:rowOff>81650</xdr:rowOff>
    </xdr:from>
    <xdr:to>
      <xdr:col>18</xdr:col>
      <xdr:colOff>95244</xdr:colOff>
      <xdr:row>11</xdr:row>
      <xdr:rowOff>13608</xdr:rowOff>
    </xdr:to>
    <xdr:sp macro="" textlink="">
      <xdr:nvSpPr>
        <xdr:cNvPr id="55" name="Text Box 5113">
          <a:extLst>
            <a:ext uri="{FF2B5EF4-FFF2-40B4-BE49-F238E27FC236}">
              <a16:creationId xmlns:a16="http://schemas.microsoft.com/office/drawing/2014/main" id="{00000000-0008-0000-0300-000037000000}"/>
            </a:ext>
          </a:extLst>
        </xdr:cNvPr>
        <xdr:cNvSpPr txBox="1">
          <a:spLocks noChangeArrowheads="1"/>
        </xdr:cNvSpPr>
      </xdr:nvSpPr>
      <xdr:spPr bwMode="auto">
        <a:xfrm>
          <a:off x="13347241" y="1729475"/>
          <a:ext cx="187778" cy="3034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tr-TR" sz="1800" b="0" i="0" strike="noStrike">
              <a:solidFill>
                <a:sysClr val="windowText" lastClr="000000"/>
              </a:solidFill>
              <a:latin typeface="Symbol"/>
            </a:rPr>
            <a:t>/</a:t>
          </a:r>
        </a:p>
      </xdr:txBody>
    </xdr:sp>
    <xdr:clientData/>
  </xdr:twoCellAnchor>
  <xdr:twoCellAnchor>
    <xdr:from>
      <xdr:col>17</xdr:col>
      <xdr:colOff>530673</xdr:colOff>
      <xdr:row>10</xdr:row>
      <xdr:rowOff>68041</xdr:rowOff>
    </xdr:from>
    <xdr:to>
      <xdr:col>18</xdr:col>
      <xdr:colOff>108851</xdr:colOff>
      <xdr:row>12</xdr:row>
      <xdr:rowOff>0</xdr:rowOff>
    </xdr:to>
    <xdr:sp macro="" textlink="">
      <xdr:nvSpPr>
        <xdr:cNvPr id="56" name="Text Box 5113">
          <a:extLst>
            <a:ext uri="{FF2B5EF4-FFF2-40B4-BE49-F238E27FC236}">
              <a16:creationId xmlns:a16="http://schemas.microsoft.com/office/drawing/2014/main" id="{00000000-0008-0000-0300-000038000000}"/>
            </a:ext>
          </a:extLst>
        </xdr:cNvPr>
        <xdr:cNvSpPr txBox="1">
          <a:spLocks noChangeArrowheads="1"/>
        </xdr:cNvSpPr>
      </xdr:nvSpPr>
      <xdr:spPr bwMode="auto">
        <a:xfrm>
          <a:off x="13360848" y="1906366"/>
          <a:ext cx="187778" cy="29390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tr-TR" sz="1800" b="0" i="0" strike="noStrike">
              <a:solidFill>
                <a:sysClr val="windowText" lastClr="000000"/>
              </a:solidFill>
              <a:latin typeface="Symbol"/>
            </a:rPr>
            <a:t>/</a:t>
          </a:r>
        </a:p>
      </xdr:txBody>
    </xdr:sp>
    <xdr:clientData/>
  </xdr:twoCellAnchor>
  <xdr:twoCellAnchor>
    <xdr:from>
      <xdr:col>9</xdr:col>
      <xdr:colOff>447675</xdr:colOff>
      <xdr:row>348</xdr:row>
      <xdr:rowOff>47625</xdr:rowOff>
    </xdr:from>
    <xdr:to>
      <xdr:col>10</xdr:col>
      <xdr:colOff>104775</xdr:colOff>
      <xdr:row>348</xdr:row>
      <xdr:rowOff>190500</xdr:rowOff>
    </xdr:to>
    <xdr:sp macro="" textlink="">
      <xdr:nvSpPr>
        <xdr:cNvPr id="57" name="AutoShape 2856">
          <a:extLst>
            <a:ext uri="{FF2B5EF4-FFF2-40B4-BE49-F238E27FC236}">
              <a16:creationId xmlns:a16="http://schemas.microsoft.com/office/drawing/2014/main" id="{00000000-0008-0000-0300-000039000000}"/>
            </a:ext>
          </a:extLst>
        </xdr:cNvPr>
        <xdr:cNvSpPr>
          <a:spLocks noChangeArrowheads="1"/>
        </xdr:cNvSpPr>
      </xdr:nvSpPr>
      <xdr:spPr bwMode="auto">
        <a:xfrm>
          <a:off x="6962775" y="65055750"/>
          <a:ext cx="400050" cy="142875"/>
        </a:xfrm>
        <a:prstGeom prst="curvedRightArrow">
          <a:avLst>
            <a:gd name="adj1" fmla="val 1185"/>
            <a:gd name="adj2" fmla="val 40000"/>
            <a:gd name="adj3" fmla="val 44599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10</xdr:col>
      <xdr:colOff>85725</xdr:colOff>
      <xdr:row>416</xdr:row>
      <xdr:rowOff>28575</xdr:rowOff>
    </xdr:from>
    <xdr:to>
      <xdr:col>10</xdr:col>
      <xdr:colOff>238125</xdr:colOff>
      <xdr:row>416</xdr:row>
      <xdr:rowOff>190500</xdr:rowOff>
    </xdr:to>
    <xdr:sp macro="" textlink="">
      <xdr:nvSpPr>
        <xdr:cNvPr id="58" name="AutoShape 2865">
          <a:extLst>
            <a:ext uri="{FF2B5EF4-FFF2-40B4-BE49-F238E27FC236}">
              <a16:creationId xmlns:a16="http://schemas.microsoft.com/office/drawing/2014/main" id="{00000000-0008-0000-0300-00003A000000}"/>
            </a:ext>
          </a:extLst>
        </xdr:cNvPr>
        <xdr:cNvSpPr>
          <a:spLocks noChangeArrowheads="1"/>
        </xdr:cNvSpPr>
      </xdr:nvSpPr>
      <xdr:spPr bwMode="auto">
        <a:xfrm>
          <a:off x="7343775" y="77714475"/>
          <a:ext cx="152400" cy="161925"/>
        </a:xfrm>
        <a:prstGeom prst="curvedLeftArrow">
          <a:avLst>
            <a:gd name="adj1" fmla="val 1343"/>
            <a:gd name="adj2" fmla="val 45348"/>
            <a:gd name="adj3" fmla="val 33333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10</xdr:col>
      <xdr:colOff>84482</xdr:colOff>
      <xdr:row>418</xdr:row>
      <xdr:rowOff>162339</xdr:rowOff>
    </xdr:from>
    <xdr:to>
      <xdr:col>10</xdr:col>
      <xdr:colOff>236882</xdr:colOff>
      <xdr:row>419</xdr:row>
      <xdr:rowOff>124239</xdr:rowOff>
    </xdr:to>
    <xdr:sp macro="" textlink="">
      <xdr:nvSpPr>
        <xdr:cNvPr id="59" name="AutoShape 2866">
          <a:extLst>
            <a:ext uri="{FF2B5EF4-FFF2-40B4-BE49-F238E27FC236}">
              <a16:creationId xmlns:a16="http://schemas.microsoft.com/office/drawing/2014/main" id="{00000000-0008-0000-0300-00003B000000}"/>
            </a:ext>
          </a:extLst>
        </xdr:cNvPr>
        <xdr:cNvSpPr>
          <a:spLocks noChangeArrowheads="1"/>
        </xdr:cNvSpPr>
      </xdr:nvSpPr>
      <xdr:spPr bwMode="auto">
        <a:xfrm>
          <a:off x="7342532" y="78229239"/>
          <a:ext cx="152400" cy="152400"/>
        </a:xfrm>
        <a:prstGeom prst="curvedLeftArrow">
          <a:avLst>
            <a:gd name="adj1" fmla="val 1139"/>
            <a:gd name="adj2" fmla="val 38333"/>
            <a:gd name="adj3" fmla="val 33333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</xdr:col>
      <xdr:colOff>457200</xdr:colOff>
      <xdr:row>416</xdr:row>
      <xdr:rowOff>123825</xdr:rowOff>
    </xdr:from>
    <xdr:to>
      <xdr:col>6</xdr:col>
      <xdr:colOff>142875</xdr:colOff>
      <xdr:row>416</xdr:row>
      <xdr:rowOff>123825</xdr:rowOff>
    </xdr:to>
    <xdr:sp macro="" textlink="">
      <xdr:nvSpPr>
        <xdr:cNvPr id="60" name="Line 2902">
          <a:extLst>
            <a:ext uri="{FF2B5EF4-FFF2-40B4-BE49-F238E27FC236}">
              <a16:creationId xmlns:a16="http://schemas.microsoft.com/office/drawing/2014/main" id="{00000000-0008-0000-0300-00003C000000}"/>
            </a:ext>
          </a:extLst>
        </xdr:cNvPr>
        <xdr:cNvSpPr>
          <a:spLocks noChangeShapeType="1"/>
        </xdr:cNvSpPr>
      </xdr:nvSpPr>
      <xdr:spPr bwMode="auto">
        <a:xfrm>
          <a:off x="4514850" y="77809725"/>
          <a:ext cx="2190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xdr:twoCellAnchor>
    <xdr:from>
      <xdr:col>5</xdr:col>
      <xdr:colOff>438150</xdr:colOff>
      <xdr:row>419</xdr:row>
      <xdr:rowOff>95250</xdr:rowOff>
    </xdr:from>
    <xdr:to>
      <xdr:col>6</xdr:col>
      <xdr:colOff>142875</xdr:colOff>
      <xdr:row>419</xdr:row>
      <xdr:rowOff>95250</xdr:rowOff>
    </xdr:to>
    <xdr:sp macro="" textlink="">
      <xdr:nvSpPr>
        <xdr:cNvPr id="61" name="Line 2908">
          <a:extLst>
            <a:ext uri="{FF2B5EF4-FFF2-40B4-BE49-F238E27FC236}">
              <a16:creationId xmlns:a16="http://schemas.microsoft.com/office/drawing/2014/main" id="{00000000-0008-0000-0300-00003D000000}"/>
            </a:ext>
          </a:extLst>
        </xdr:cNvPr>
        <xdr:cNvSpPr>
          <a:spLocks noChangeShapeType="1"/>
        </xdr:cNvSpPr>
      </xdr:nvSpPr>
      <xdr:spPr bwMode="auto">
        <a:xfrm>
          <a:off x="4495800" y="78352650"/>
          <a:ext cx="2381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xdr:twoCellAnchor>
    <xdr:from>
      <xdr:col>10</xdr:col>
      <xdr:colOff>85725</xdr:colOff>
      <xdr:row>431</xdr:row>
      <xdr:rowOff>28575</xdr:rowOff>
    </xdr:from>
    <xdr:to>
      <xdr:col>10</xdr:col>
      <xdr:colOff>238125</xdr:colOff>
      <xdr:row>431</xdr:row>
      <xdr:rowOff>190500</xdr:rowOff>
    </xdr:to>
    <xdr:sp macro="" textlink="">
      <xdr:nvSpPr>
        <xdr:cNvPr id="62" name="AutoShape 2865">
          <a:extLst>
            <a:ext uri="{FF2B5EF4-FFF2-40B4-BE49-F238E27FC236}">
              <a16:creationId xmlns:a16="http://schemas.microsoft.com/office/drawing/2014/main" id="{00000000-0008-0000-0300-00003E000000}"/>
            </a:ext>
          </a:extLst>
        </xdr:cNvPr>
        <xdr:cNvSpPr>
          <a:spLocks noChangeArrowheads="1"/>
        </xdr:cNvSpPr>
      </xdr:nvSpPr>
      <xdr:spPr bwMode="auto">
        <a:xfrm>
          <a:off x="7343775" y="79047975"/>
          <a:ext cx="152400" cy="161925"/>
        </a:xfrm>
        <a:prstGeom prst="curvedLeftArrow">
          <a:avLst>
            <a:gd name="adj1" fmla="val 1343"/>
            <a:gd name="adj2" fmla="val 45348"/>
            <a:gd name="adj3" fmla="val 33333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</xdr:col>
      <xdr:colOff>457200</xdr:colOff>
      <xdr:row>418</xdr:row>
      <xdr:rowOff>123825</xdr:rowOff>
    </xdr:from>
    <xdr:to>
      <xdr:col>6</xdr:col>
      <xdr:colOff>142875</xdr:colOff>
      <xdr:row>418</xdr:row>
      <xdr:rowOff>123825</xdr:rowOff>
    </xdr:to>
    <xdr:sp macro="" textlink="">
      <xdr:nvSpPr>
        <xdr:cNvPr id="63" name="Line 2902">
          <a:extLst>
            <a:ext uri="{FF2B5EF4-FFF2-40B4-BE49-F238E27FC236}">
              <a16:creationId xmlns:a16="http://schemas.microsoft.com/office/drawing/2014/main" id="{00000000-0008-0000-0300-00003F000000}"/>
            </a:ext>
          </a:extLst>
        </xdr:cNvPr>
        <xdr:cNvSpPr>
          <a:spLocks noChangeShapeType="1"/>
        </xdr:cNvSpPr>
      </xdr:nvSpPr>
      <xdr:spPr bwMode="auto">
        <a:xfrm>
          <a:off x="4514850" y="78190725"/>
          <a:ext cx="2190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xdr:twoCellAnchor>
    <xdr:from>
      <xdr:col>10</xdr:col>
      <xdr:colOff>85725</xdr:colOff>
      <xdr:row>436</xdr:row>
      <xdr:rowOff>28575</xdr:rowOff>
    </xdr:from>
    <xdr:to>
      <xdr:col>10</xdr:col>
      <xdr:colOff>238125</xdr:colOff>
      <xdr:row>436</xdr:row>
      <xdr:rowOff>190500</xdr:rowOff>
    </xdr:to>
    <xdr:sp macro="" textlink="">
      <xdr:nvSpPr>
        <xdr:cNvPr id="64" name="AutoShape 2865">
          <a:extLst>
            <a:ext uri="{FF2B5EF4-FFF2-40B4-BE49-F238E27FC236}">
              <a16:creationId xmlns:a16="http://schemas.microsoft.com/office/drawing/2014/main" id="{00000000-0008-0000-0300-000040000000}"/>
            </a:ext>
          </a:extLst>
        </xdr:cNvPr>
        <xdr:cNvSpPr>
          <a:spLocks noChangeArrowheads="1"/>
        </xdr:cNvSpPr>
      </xdr:nvSpPr>
      <xdr:spPr bwMode="auto">
        <a:xfrm>
          <a:off x="7343775" y="80000475"/>
          <a:ext cx="152400" cy="161925"/>
        </a:xfrm>
        <a:prstGeom prst="curvedLeftArrow">
          <a:avLst>
            <a:gd name="adj1" fmla="val 1343"/>
            <a:gd name="adj2" fmla="val 45348"/>
            <a:gd name="adj3" fmla="val 33333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</xdr:col>
      <xdr:colOff>457200</xdr:colOff>
      <xdr:row>436</xdr:row>
      <xdr:rowOff>123825</xdr:rowOff>
    </xdr:from>
    <xdr:to>
      <xdr:col>6</xdr:col>
      <xdr:colOff>142875</xdr:colOff>
      <xdr:row>436</xdr:row>
      <xdr:rowOff>123825</xdr:rowOff>
    </xdr:to>
    <xdr:sp macro="" textlink="">
      <xdr:nvSpPr>
        <xdr:cNvPr id="65" name="Line 2902">
          <a:extLst>
            <a:ext uri="{FF2B5EF4-FFF2-40B4-BE49-F238E27FC236}">
              <a16:creationId xmlns:a16="http://schemas.microsoft.com/office/drawing/2014/main" id="{00000000-0008-0000-0300-000041000000}"/>
            </a:ext>
          </a:extLst>
        </xdr:cNvPr>
        <xdr:cNvSpPr>
          <a:spLocks noChangeShapeType="1"/>
        </xdr:cNvSpPr>
      </xdr:nvSpPr>
      <xdr:spPr bwMode="auto">
        <a:xfrm>
          <a:off x="4514850" y="80095725"/>
          <a:ext cx="2190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xdr:twoCellAnchor>
    <xdr:from>
      <xdr:col>5</xdr:col>
      <xdr:colOff>447675</xdr:colOff>
      <xdr:row>437</xdr:row>
      <xdr:rowOff>114300</xdr:rowOff>
    </xdr:from>
    <xdr:to>
      <xdr:col>6</xdr:col>
      <xdr:colOff>133350</xdr:colOff>
      <xdr:row>437</xdr:row>
      <xdr:rowOff>114300</xdr:rowOff>
    </xdr:to>
    <xdr:sp macro="" textlink="">
      <xdr:nvSpPr>
        <xdr:cNvPr id="66" name="Line 2902">
          <a:extLst>
            <a:ext uri="{FF2B5EF4-FFF2-40B4-BE49-F238E27FC236}">
              <a16:creationId xmlns:a16="http://schemas.microsoft.com/office/drawing/2014/main" id="{00000000-0008-0000-0300-000042000000}"/>
            </a:ext>
          </a:extLst>
        </xdr:cNvPr>
        <xdr:cNvSpPr>
          <a:spLocks noChangeShapeType="1"/>
        </xdr:cNvSpPr>
      </xdr:nvSpPr>
      <xdr:spPr bwMode="auto">
        <a:xfrm>
          <a:off x="4505325" y="80276700"/>
          <a:ext cx="2190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xdr:twoCellAnchor>
    <xdr:from>
      <xdr:col>10</xdr:col>
      <xdr:colOff>85725</xdr:colOff>
      <xdr:row>439</xdr:row>
      <xdr:rowOff>28575</xdr:rowOff>
    </xdr:from>
    <xdr:to>
      <xdr:col>10</xdr:col>
      <xdr:colOff>247650</xdr:colOff>
      <xdr:row>440</xdr:row>
      <xdr:rowOff>19050</xdr:rowOff>
    </xdr:to>
    <xdr:sp macro="" textlink="">
      <xdr:nvSpPr>
        <xdr:cNvPr id="67" name="AutoShape 2865">
          <a:extLst>
            <a:ext uri="{FF2B5EF4-FFF2-40B4-BE49-F238E27FC236}">
              <a16:creationId xmlns:a16="http://schemas.microsoft.com/office/drawing/2014/main" id="{00000000-0008-0000-0300-000043000000}"/>
            </a:ext>
          </a:extLst>
        </xdr:cNvPr>
        <xdr:cNvSpPr>
          <a:spLocks noChangeArrowheads="1"/>
        </xdr:cNvSpPr>
      </xdr:nvSpPr>
      <xdr:spPr bwMode="auto">
        <a:xfrm>
          <a:off x="7343775" y="80571975"/>
          <a:ext cx="161925" cy="180975"/>
        </a:xfrm>
        <a:prstGeom prst="curvedLeftArrow">
          <a:avLst>
            <a:gd name="adj1" fmla="val 1273"/>
            <a:gd name="adj2" fmla="val 42926"/>
            <a:gd name="adj3" fmla="val 33333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10</xdr:col>
      <xdr:colOff>104775</xdr:colOff>
      <xdr:row>180</xdr:row>
      <xdr:rowOff>28575</xdr:rowOff>
    </xdr:from>
    <xdr:to>
      <xdr:col>10</xdr:col>
      <xdr:colOff>257175</xdr:colOff>
      <xdr:row>180</xdr:row>
      <xdr:rowOff>190500</xdr:rowOff>
    </xdr:to>
    <xdr:sp macro="" textlink="">
      <xdr:nvSpPr>
        <xdr:cNvPr id="68" name="AutoShape 2868">
          <a:extLst>
            <a:ext uri="{FF2B5EF4-FFF2-40B4-BE49-F238E27FC236}">
              <a16:creationId xmlns:a16="http://schemas.microsoft.com/office/drawing/2014/main" id="{00000000-0008-0000-0300-000044000000}"/>
            </a:ext>
          </a:extLst>
        </xdr:cNvPr>
        <xdr:cNvSpPr>
          <a:spLocks noChangeArrowheads="1"/>
        </xdr:cNvSpPr>
      </xdr:nvSpPr>
      <xdr:spPr bwMode="auto">
        <a:xfrm>
          <a:off x="7362825" y="33832800"/>
          <a:ext cx="152400" cy="161925"/>
        </a:xfrm>
        <a:prstGeom prst="curvedLeftArrow">
          <a:avLst>
            <a:gd name="adj1" fmla="val 1259"/>
            <a:gd name="adj2" fmla="val 42500"/>
            <a:gd name="adj3" fmla="val 33333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</xdr:col>
      <xdr:colOff>485775</xdr:colOff>
      <xdr:row>354</xdr:row>
      <xdr:rowOff>180975</xdr:rowOff>
    </xdr:from>
    <xdr:to>
      <xdr:col>3</xdr:col>
      <xdr:colOff>485775</xdr:colOff>
      <xdr:row>356</xdr:row>
      <xdr:rowOff>9525</xdr:rowOff>
    </xdr:to>
    <xdr:sp macro="" textlink="">
      <xdr:nvSpPr>
        <xdr:cNvPr id="69" name="Line 2926">
          <a:extLst>
            <a:ext uri="{FF2B5EF4-FFF2-40B4-BE49-F238E27FC236}">
              <a16:creationId xmlns:a16="http://schemas.microsoft.com/office/drawing/2014/main" id="{00000000-0008-0000-0300-000045000000}"/>
            </a:ext>
          </a:extLst>
        </xdr:cNvPr>
        <xdr:cNvSpPr>
          <a:spLocks noChangeShapeType="1"/>
        </xdr:cNvSpPr>
      </xdr:nvSpPr>
      <xdr:spPr bwMode="auto">
        <a:xfrm>
          <a:off x="2771775" y="65617725"/>
          <a:ext cx="0" cy="2095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xdr:twoCellAnchor>
    <xdr:from>
      <xdr:col>9</xdr:col>
      <xdr:colOff>466725</xdr:colOff>
      <xdr:row>355</xdr:row>
      <xdr:rowOff>38100</xdr:rowOff>
    </xdr:from>
    <xdr:to>
      <xdr:col>10</xdr:col>
      <xdr:colOff>123825</xdr:colOff>
      <xdr:row>355</xdr:row>
      <xdr:rowOff>180975</xdr:rowOff>
    </xdr:to>
    <xdr:sp macro="" textlink="">
      <xdr:nvSpPr>
        <xdr:cNvPr id="70" name="AutoShape 2852">
          <a:extLst>
            <a:ext uri="{FF2B5EF4-FFF2-40B4-BE49-F238E27FC236}">
              <a16:creationId xmlns:a16="http://schemas.microsoft.com/office/drawing/2014/main" id="{00000000-0008-0000-0300-000046000000}"/>
            </a:ext>
          </a:extLst>
        </xdr:cNvPr>
        <xdr:cNvSpPr>
          <a:spLocks noChangeArrowheads="1"/>
        </xdr:cNvSpPr>
      </xdr:nvSpPr>
      <xdr:spPr bwMode="auto">
        <a:xfrm>
          <a:off x="6981825" y="65655825"/>
          <a:ext cx="400050" cy="142875"/>
        </a:xfrm>
        <a:prstGeom prst="curvedRightArrow">
          <a:avLst>
            <a:gd name="adj1" fmla="val 1185"/>
            <a:gd name="adj2" fmla="val 40000"/>
            <a:gd name="adj3" fmla="val 44444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10</xdr:col>
      <xdr:colOff>123825</xdr:colOff>
      <xdr:row>361</xdr:row>
      <xdr:rowOff>28575</xdr:rowOff>
    </xdr:from>
    <xdr:to>
      <xdr:col>10</xdr:col>
      <xdr:colOff>276225</xdr:colOff>
      <xdr:row>361</xdr:row>
      <xdr:rowOff>190500</xdr:rowOff>
    </xdr:to>
    <xdr:sp macro="" textlink="">
      <xdr:nvSpPr>
        <xdr:cNvPr id="71" name="AutoShape 2877">
          <a:extLst>
            <a:ext uri="{FF2B5EF4-FFF2-40B4-BE49-F238E27FC236}">
              <a16:creationId xmlns:a16="http://schemas.microsoft.com/office/drawing/2014/main" id="{00000000-0008-0000-0300-000047000000}"/>
            </a:ext>
          </a:extLst>
        </xdr:cNvPr>
        <xdr:cNvSpPr>
          <a:spLocks noChangeArrowheads="1"/>
        </xdr:cNvSpPr>
      </xdr:nvSpPr>
      <xdr:spPr bwMode="auto">
        <a:xfrm>
          <a:off x="7381875" y="66836925"/>
          <a:ext cx="152400" cy="161925"/>
        </a:xfrm>
        <a:prstGeom prst="curvedLeftArrow">
          <a:avLst>
            <a:gd name="adj1" fmla="val 1259"/>
            <a:gd name="adj2" fmla="val 42500"/>
            <a:gd name="adj3" fmla="val 33333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10</xdr:col>
      <xdr:colOff>104775</xdr:colOff>
      <xdr:row>356</xdr:row>
      <xdr:rowOff>9525</xdr:rowOff>
    </xdr:from>
    <xdr:to>
      <xdr:col>10</xdr:col>
      <xdr:colOff>257175</xdr:colOff>
      <xdr:row>357</xdr:row>
      <xdr:rowOff>19050</xdr:rowOff>
    </xdr:to>
    <xdr:sp macro="" textlink="">
      <xdr:nvSpPr>
        <xdr:cNvPr id="72" name="AutoShape 2876">
          <a:extLst>
            <a:ext uri="{FF2B5EF4-FFF2-40B4-BE49-F238E27FC236}">
              <a16:creationId xmlns:a16="http://schemas.microsoft.com/office/drawing/2014/main" id="{00000000-0008-0000-0300-000048000000}"/>
            </a:ext>
          </a:extLst>
        </xdr:cNvPr>
        <xdr:cNvSpPr>
          <a:spLocks noChangeArrowheads="1"/>
        </xdr:cNvSpPr>
      </xdr:nvSpPr>
      <xdr:spPr bwMode="auto">
        <a:xfrm>
          <a:off x="7362825" y="65827275"/>
          <a:ext cx="152400" cy="200025"/>
        </a:xfrm>
        <a:prstGeom prst="curvedLeftArrow">
          <a:avLst>
            <a:gd name="adj1" fmla="val 1556"/>
            <a:gd name="adj2" fmla="val 52500"/>
            <a:gd name="adj3" fmla="val 33333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9</xdr:col>
      <xdr:colOff>513229</xdr:colOff>
      <xdr:row>364</xdr:row>
      <xdr:rowOff>58831</xdr:rowOff>
    </xdr:from>
    <xdr:to>
      <xdr:col>10</xdr:col>
      <xdr:colOff>170329</xdr:colOff>
      <xdr:row>365</xdr:row>
      <xdr:rowOff>0</xdr:rowOff>
    </xdr:to>
    <xdr:sp macro="" textlink="">
      <xdr:nvSpPr>
        <xdr:cNvPr id="73" name="AutoShape 2852">
          <a:extLst>
            <a:ext uri="{FF2B5EF4-FFF2-40B4-BE49-F238E27FC236}">
              <a16:creationId xmlns:a16="http://schemas.microsoft.com/office/drawing/2014/main" id="{00000000-0008-0000-0300-000049000000}"/>
            </a:ext>
          </a:extLst>
        </xdr:cNvPr>
        <xdr:cNvSpPr>
          <a:spLocks noChangeArrowheads="1"/>
        </xdr:cNvSpPr>
      </xdr:nvSpPr>
      <xdr:spPr bwMode="auto">
        <a:xfrm>
          <a:off x="7028329" y="67467256"/>
          <a:ext cx="400050" cy="141194"/>
        </a:xfrm>
        <a:prstGeom prst="curvedRightArrow">
          <a:avLst>
            <a:gd name="adj1" fmla="val 1185"/>
            <a:gd name="adj2" fmla="val 40000"/>
            <a:gd name="adj3" fmla="val 44444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10</xdr:col>
      <xdr:colOff>115956</xdr:colOff>
      <xdr:row>417</xdr:row>
      <xdr:rowOff>16565</xdr:rowOff>
    </xdr:from>
    <xdr:to>
      <xdr:col>10</xdr:col>
      <xdr:colOff>268356</xdr:colOff>
      <xdr:row>417</xdr:row>
      <xdr:rowOff>178490</xdr:rowOff>
    </xdr:to>
    <xdr:sp macro="" textlink="">
      <xdr:nvSpPr>
        <xdr:cNvPr id="74" name="AutoShape 2865">
          <a:extLst>
            <a:ext uri="{FF2B5EF4-FFF2-40B4-BE49-F238E27FC236}">
              <a16:creationId xmlns:a16="http://schemas.microsoft.com/office/drawing/2014/main" id="{00000000-0008-0000-0300-00004A000000}"/>
            </a:ext>
          </a:extLst>
        </xdr:cNvPr>
        <xdr:cNvSpPr>
          <a:spLocks noChangeArrowheads="1"/>
        </xdr:cNvSpPr>
      </xdr:nvSpPr>
      <xdr:spPr bwMode="auto">
        <a:xfrm>
          <a:off x="7374006" y="77892965"/>
          <a:ext cx="152400" cy="161925"/>
        </a:xfrm>
        <a:prstGeom prst="curvedLeftArrow">
          <a:avLst>
            <a:gd name="adj1" fmla="val 1343"/>
            <a:gd name="adj2" fmla="val 45348"/>
            <a:gd name="adj3" fmla="val 33333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10</xdr:col>
      <xdr:colOff>107674</xdr:colOff>
      <xdr:row>418</xdr:row>
      <xdr:rowOff>16565</xdr:rowOff>
    </xdr:from>
    <xdr:to>
      <xdr:col>10</xdr:col>
      <xdr:colOff>260074</xdr:colOff>
      <xdr:row>418</xdr:row>
      <xdr:rowOff>178490</xdr:rowOff>
    </xdr:to>
    <xdr:sp macro="" textlink="">
      <xdr:nvSpPr>
        <xdr:cNvPr id="75" name="AutoShape 2865">
          <a:extLst>
            <a:ext uri="{FF2B5EF4-FFF2-40B4-BE49-F238E27FC236}">
              <a16:creationId xmlns:a16="http://schemas.microsoft.com/office/drawing/2014/main" id="{00000000-0008-0000-0300-00004B000000}"/>
            </a:ext>
          </a:extLst>
        </xdr:cNvPr>
        <xdr:cNvSpPr>
          <a:spLocks noChangeArrowheads="1"/>
        </xdr:cNvSpPr>
      </xdr:nvSpPr>
      <xdr:spPr bwMode="auto">
        <a:xfrm>
          <a:off x="7365724" y="78083465"/>
          <a:ext cx="152400" cy="161925"/>
        </a:xfrm>
        <a:prstGeom prst="curvedLeftArrow">
          <a:avLst>
            <a:gd name="adj1" fmla="val 1343"/>
            <a:gd name="adj2" fmla="val 45348"/>
            <a:gd name="adj3" fmla="val 33333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</xdr:col>
      <xdr:colOff>455543</xdr:colOff>
      <xdr:row>417</xdr:row>
      <xdr:rowOff>124240</xdr:rowOff>
    </xdr:from>
    <xdr:to>
      <xdr:col>6</xdr:col>
      <xdr:colOff>141218</xdr:colOff>
      <xdr:row>417</xdr:row>
      <xdr:rowOff>124240</xdr:rowOff>
    </xdr:to>
    <xdr:sp macro="" textlink="">
      <xdr:nvSpPr>
        <xdr:cNvPr id="76" name="Line 2902">
          <a:extLst>
            <a:ext uri="{FF2B5EF4-FFF2-40B4-BE49-F238E27FC236}">
              <a16:creationId xmlns:a16="http://schemas.microsoft.com/office/drawing/2014/main" id="{00000000-0008-0000-0300-00004C000000}"/>
            </a:ext>
          </a:extLst>
        </xdr:cNvPr>
        <xdr:cNvSpPr>
          <a:spLocks noChangeShapeType="1"/>
        </xdr:cNvSpPr>
      </xdr:nvSpPr>
      <xdr:spPr bwMode="auto">
        <a:xfrm>
          <a:off x="4513193" y="78000640"/>
          <a:ext cx="2190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xdr:twoCellAnchor>
    <xdr:from>
      <xdr:col>5</xdr:col>
      <xdr:colOff>457200</xdr:colOff>
      <xdr:row>431</xdr:row>
      <xdr:rowOff>123825</xdr:rowOff>
    </xdr:from>
    <xdr:to>
      <xdr:col>6</xdr:col>
      <xdr:colOff>142875</xdr:colOff>
      <xdr:row>431</xdr:row>
      <xdr:rowOff>123825</xdr:rowOff>
    </xdr:to>
    <xdr:sp macro="" textlink="">
      <xdr:nvSpPr>
        <xdr:cNvPr id="77" name="Line 2902">
          <a:extLst>
            <a:ext uri="{FF2B5EF4-FFF2-40B4-BE49-F238E27FC236}">
              <a16:creationId xmlns:a16="http://schemas.microsoft.com/office/drawing/2014/main" id="{00000000-0008-0000-0300-00004D000000}"/>
            </a:ext>
          </a:extLst>
        </xdr:cNvPr>
        <xdr:cNvSpPr>
          <a:spLocks noChangeShapeType="1"/>
        </xdr:cNvSpPr>
      </xdr:nvSpPr>
      <xdr:spPr bwMode="auto">
        <a:xfrm>
          <a:off x="4514850" y="79143225"/>
          <a:ext cx="2190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xdr:twoCellAnchor>
    <xdr:from>
      <xdr:col>5</xdr:col>
      <xdr:colOff>457200</xdr:colOff>
      <xdr:row>432</xdr:row>
      <xdr:rowOff>123825</xdr:rowOff>
    </xdr:from>
    <xdr:to>
      <xdr:col>6</xdr:col>
      <xdr:colOff>142875</xdr:colOff>
      <xdr:row>432</xdr:row>
      <xdr:rowOff>123825</xdr:rowOff>
    </xdr:to>
    <xdr:sp macro="" textlink="">
      <xdr:nvSpPr>
        <xdr:cNvPr id="78" name="Line 2902">
          <a:extLst>
            <a:ext uri="{FF2B5EF4-FFF2-40B4-BE49-F238E27FC236}">
              <a16:creationId xmlns:a16="http://schemas.microsoft.com/office/drawing/2014/main" id="{00000000-0008-0000-0300-00004E000000}"/>
            </a:ext>
          </a:extLst>
        </xdr:cNvPr>
        <xdr:cNvSpPr>
          <a:spLocks noChangeShapeType="1"/>
        </xdr:cNvSpPr>
      </xdr:nvSpPr>
      <xdr:spPr bwMode="auto">
        <a:xfrm>
          <a:off x="4514850" y="79333725"/>
          <a:ext cx="2190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xdr:twoCellAnchor>
    <xdr:from>
      <xdr:col>10</xdr:col>
      <xdr:colOff>115957</xdr:colOff>
      <xdr:row>432</xdr:row>
      <xdr:rowOff>8282</xdr:rowOff>
    </xdr:from>
    <xdr:to>
      <xdr:col>10</xdr:col>
      <xdr:colOff>268357</xdr:colOff>
      <xdr:row>432</xdr:row>
      <xdr:rowOff>170207</xdr:rowOff>
    </xdr:to>
    <xdr:sp macro="" textlink="">
      <xdr:nvSpPr>
        <xdr:cNvPr id="79" name="AutoShape 2865">
          <a:extLst>
            <a:ext uri="{FF2B5EF4-FFF2-40B4-BE49-F238E27FC236}">
              <a16:creationId xmlns:a16="http://schemas.microsoft.com/office/drawing/2014/main" id="{00000000-0008-0000-0300-00004F000000}"/>
            </a:ext>
          </a:extLst>
        </xdr:cNvPr>
        <xdr:cNvSpPr>
          <a:spLocks noChangeArrowheads="1"/>
        </xdr:cNvSpPr>
      </xdr:nvSpPr>
      <xdr:spPr bwMode="auto">
        <a:xfrm>
          <a:off x="7374007" y="79218182"/>
          <a:ext cx="152400" cy="161925"/>
        </a:xfrm>
        <a:prstGeom prst="curvedLeftArrow">
          <a:avLst>
            <a:gd name="adj1" fmla="val 1343"/>
            <a:gd name="adj2" fmla="val 45348"/>
            <a:gd name="adj3" fmla="val 33333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10</xdr:col>
      <xdr:colOff>94007</xdr:colOff>
      <xdr:row>437</xdr:row>
      <xdr:rowOff>3727</xdr:rowOff>
    </xdr:from>
    <xdr:to>
      <xdr:col>10</xdr:col>
      <xdr:colOff>255932</xdr:colOff>
      <xdr:row>437</xdr:row>
      <xdr:rowOff>184702</xdr:rowOff>
    </xdr:to>
    <xdr:sp macro="" textlink="">
      <xdr:nvSpPr>
        <xdr:cNvPr id="80" name="AutoShape 2865">
          <a:extLst>
            <a:ext uri="{FF2B5EF4-FFF2-40B4-BE49-F238E27FC236}">
              <a16:creationId xmlns:a16="http://schemas.microsoft.com/office/drawing/2014/main" id="{00000000-0008-0000-0300-000050000000}"/>
            </a:ext>
          </a:extLst>
        </xdr:cNvPr>
        <xdr:cNvSpPr>
          <a:spLocks noChangeArrowheads="1"/>
        </xdr:cNvSpPr>
      </xdr:nvSpPr>
      <xdr:spPr bwMode="auto">
        <a:xfrm>
          <a:off x="7352057" y="80166127"/>
          <a:ext cx="161925" cy="180975"/>
        </a:xfrm>
        <a:prstGeom prst="curvedLeftArrow">
          <a:avLst>
            <a:gd name="adj1" fmla="val 1273"/>
            <a:gd name="adj2" fmla="val 42926"/>
            <a:gd name="adj3" fmla="val 33333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</xdr:col>
      <xdr:colOff>472109</xdr:colOff>
      <xdr:row>438</xdr:row>
      <xdr:rowOff>74544</xdr:rowOff>
    </xdr:from>
    <xdr:to>
      <xdr:col>6</xdr:col>
      <xdr:colOff>157784</xdr:colOff>
      <xdr:row>438</xdr:row>
      <xdr:rowOff>74544</xdr:rowOff>
    </xdr:to>
    <xdr:sp macro="" textlink="">
      <xdr:nvSpPr>
        <xdr:cNvPr id="81" name="Line 2902">
          <a:extLst>
            <a:ext uri="{FF2B5EF4-FFF2-40B4-BE49-F238E27FC236}">
              <a16:creationId xmlns:a16="http://schemas.microsoft.com/office/drawing/2014/main" id="{00000000-0008-0000-0300-000051000000}"/>
            </a:ext>
          </a:extLst>
        </xdr:cNvPr>
        <xdr:cNvSpPr>
          <a:spLocks noChangeShapeType="1"/>
        </xdr:cNvSpPr>
      </xdr:nvSpPr>
      <xdr:spPr bwMode="auto">
        <a:xfrm>
          <a:off x="4529759" y="80427444"/>
          <a:ext cx="2190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xdr:twoCellAnchor>
    <xdr:from>
      <xdr:col>5</xdr:col>
      <xdr:colOff>455543</xdr:colOff>
      <xdr:row>439</xdr:row>
      <xdr:rowOff>91109</xdr:rowOff>
    </xdr:from>
    <xdr:to>
      <xdr:col>6</xdr:col>
      <xdr:colOff>141218</xdr:colOff>
      <xdr:row>439</xdr:row>
      <xdr:rowOff>91109</xdr:rowOff>
    </xdr:to>
    <xdr:sp macro="" textlink="">
      <xdr:nvSpPr>
        <xdr:cNvPr id="82" name="Line 2902">
          <a:extLst>
            <a:ext uri="{FF2B5EF4-FFF2-40B4-BE49-F238E27FC236}">
              <a16:creationId xmlns:a16="http://schemas.microsoft.com/office/drawing/2014/main" id="{00000000-0008-0000-0300-000052000000}"/>
            </a:ext>
          </a:extLst>
        </xdr:cNvPr>
        <xdr:cNvSpPr>
          <a:spLocks noChangeShapeType="1"/>
        </xdr:cNvSpPr>
      </xdr:nvSpPr>
      <xdr:spPr bwMode="auto">
        <a:xfrm>
          <a:off x="4513193" y="80634509"/>
          <a:ext cx="2190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xdr:twoCellAnchor>
    <xdr:from>
      <xdr:col>5</xdr:col>
      <xdr:colOff>431108</xdr:colOff>
      <xdr:row>440</xdr:row>
      <xdr:rowOff>74542</xdr:rowOff>
    </xdr:from>
    <xdr:to>
      <xdr:col>6</xdr:col>
      <xdr:colOff>149087</xdr:colOff>
      <xdr:row>440</xdr:row>
      <xdr:rowOff>74543</xdr:rowOff>
    </xdr:to>
    <xdr:sp macro="" textlink="">
      <xdr:nvSpPr>
        <xdr:cNvPr id="83" name="Line 2902">
          <a:extLst>
            <a:ext uri="{FF2B5EF4-FFF2-40B4-BE49-F238E27FC236}">
              <a16:creationId xmlns:a16="http://schemas.microsoft.com/office/drawing/2014/main" id="{00000000-0008-0000-0300-000053000000}"/>
            </a:ext>
          </a:extLst>
        </xdr:cNvPr>
        <xdr:cNvSpPr>
          <a:spLocks noChangeShapeType="1"/>
        </xdr:cNvSpPr>
      </xdr:nvSpPr>
      <xdr:spPr bwMode="auto">
        <a:xfrm flipH="1" flipV="1">
          <a:off x="4488758" y="80808442"/>
          <a:ext cx="251379" cy="1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xdr:twoCellAnchor>
    <xdr:from>
      <xdr:col>10</xdr:col>
      <xdr:colOff>107674</xdr:colOff>
      <xdr:row>437</xdr:row>
      <xdr:rowOff>173935</xdr:rowOff>
    </xdr:from>
    <xdr:to>
      <xdr:col>10</xdr:col>
      <xdr:colOff>269599</xdr:colOff>
      <xdr:row>438</xdr:row>
      <xdr:rowOff>164410</xdr:rowOff>
    </xdr:to>
    <xdr:sp macro="" textlink="">
      <xdr:nvSpPr>
        <xdr:cNvPr id="84" name="AutoShape 2865">
          <a:extLst>
            <a:ext uri="{FF2B5EF4-FFF2-40B4-BE49-F238E27FC236}">
              <a16:creationId xmlns:a16="http://schemas.microsoft.com/office/drawing/2014/main" id="{00000000-0008-0000-0300-000054000000}"/>
            </a:ext>
          </a:extLst>
        </xdr:cNvPr>
        <xdr:cNvSpPr>
          <a:spLocks noChangeArrowheads="1"/>
        </xdr:cNvSpPr>
      </xdr:nvSpPr>
      <xdr:spPr bwMode="auto">
        <a:xfrm>
          <a:off x="7365724" y="80336335"/>
          <a:ext cx="161925" cy="180975"/>
        </a:xfrm>
        <a:prstGeom prst="curvedLeftArrow">
          <a:avLst>
            <a:gd name="adj1" fmla="val 1273"/>
            <a:gd name="adj2" fmla="val 42926"/>
            <a:gd name="adj3" fmla="val 33333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10</xdr:col>
      <xdr:colOff>24848</xdr:colOff>
      <xdr:row>440</xdr:row>
      <xdr:rowOff>16565</xdr:rowOff>
    </xdr:from>
    <xdr:to>
      <xdr:col>10</xdr:col>
      <xdr:colOff>427383</xdr:colOff>
      <xdr:row>440</xdr:row>
      <xdr:rowOff>159440</xdr:rowOff>
    </xdr:to>
    <xdr:sp macro="" textlink="">
      <xdr:nvSpPr>
        <xdr:cNvPr id="85" name="AutoShape 2852">
          <a:extLst>
            <a:ext uri="{FF2B5EF4-FFF2-40B4-BE49-F238E27FC236}">
              <a16:creationId xmlns:a16="http://schemas.microsoft.com/office/drawing/2014/main" id="{00000000-0008-0000-0300-000055000000}"/>
            </a:ext>
          </a:extLst>
        </xdr:cNvPr>
        <xdr:cNvSpPr>
          <a:spLocks noChangeArrowheads="1"/>
        </xdr:cNvSpPr>
      </xdr:nvSpPr>
      <xdr:spPr bwMode="auto">
        <a:xfrm>
          <a:off x="7282898" y="80750465"/>
          <a:ext cx="402535" cy="142875"/>
        </a:xfrm>
        <a:prstGeom prst="curvedRightArrow">
          <a:avLst>
            <a:gd name="adj1" fmla="val 1185"/>
            <a:gd name="adj2" fmla="val 40000"/>
            <a:gd name="adj3" fmla="val 44444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</xdr:col>
      <xdr:colOff>304800</xdr:colOff>
      <xdr:row>456</xdr:row>
      <xdr:rowOff>38100</xdr:rowOff>
    </xdr:from>
    <xdr:to>
      <xdr:col>2</xdr:col>
      <xdr:colOff>457200</xdr:colOff>
      <xdr:row>457</xdr:row>
      <xdr:rowOff>142875</xdr:rowOff>
    </xdr:to>
    <xdr:pic>
      <xdr:nvPicPr>
        <xdr:cNvPr id="86" name="Picture 231068">
          <a:extLst>
            <a:ext uri="{FF2B5EF4-FFF2-40B4-BE49-F238E27FC236}">
              <a16:creationId xmlns:a16="http://schemas.microsoft.com/office/drawing/2014/main" id="{00000000-0008-0000-0300-00005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81050" y="83715225"/>
          <a:ext cx="685800" cy="314325"/>
        </a:xfrm>
        <a:prstGeom prst="rect">
          <a:avLst/>
        </a:prstGeom>
        <a:noFill/>
      </xdr:spPr>
    </xdr:pic>
    <xdr:clientData/>
  </xdr:twoCellAnchor>
  <xdr:twoCellAnchor>
    <xdr:from>
      <xdr:col>1</xdr:col>
      <xdr:colOff>304800</xdr:colOff>
      <xdr:row>513</xdr:row>
      <xdr:rowOff>38100</xdr:rowOff>
    </xdr:from>
    <xdr:to>
      <xdr:col>2</xdr:col>
      <xdr:colOff>457200</xdr:colOff>
      <xdr:row>514</xdr:row>
      <xdr:rowOff>142875</xdr:rowOff>
    </xdr:to>
    <xdr:pic>
      <xdr:nvPicPr>
        <xdr:cNvPr id="87" name="Picture 231068">
          <a:extLst>
            <a:ext uri="{FF2B5EF4-FFF2-40B4-BE49-F238E27FC236}">
              <a16:creationId xmlns:a16="http://schemas.microsoft.com/office/drawing/2014/main" id="{00000000-0008-0000-0300-00005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81050" y="94373700"/>
          <a:ext cx="685800" cy="295275"/>
        </a:xfrm>
        <a:prstGeom prst="rect">
          <a:avLst/>
        </a:prstGeom>
        <a:noFill/>
      </xdr:spPr>
    </xdr:pic>
    <xdr:clientData/>
  </xdr:twoCellAnchor>
  <xdr:twoCellAnchor>
    <xdr:from>
      <xdr:col>1</xdr:col>
      <xdr:colOff>304800</xdr:colOff>
      <xdr:row>570</xdr:row>
      <xdr:rowOff>38100</xdr:rowOff>
    </xdr:from>
    <xdr:to>
      <xdr:col>2</xdr:col>
      <xdr:colOff>457200</xdr:colOff>
      <xdr:row>571</xdr:row>
      <xdr:rowOff>142875</xdr:rowOff>
    </xdr:to>
    <xdr:pic>
      <xdr:nvPicPr>
        <xdr:cNvPr id="88" name="Picture 231068">
          <a:extLst>
            <a:ext uri="{FF2B5EF4-FFF2-40B4-BE49-F238E27FC236}">
              <a16:creationId xmlns:a16="http://schemas.microsoft.com/office/drawing/2014/main" id="{00000000-0008-0000-0300-00005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81050" y="105041700"/>
          <a:ext cx="685800" cy="285750"/>
        </a:xfrm>
        <a:prstGeom prst="rect">
          <a:avLst/>
        </a:prstGeom>
        <a:noFill/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76200</xdr:colOff>
          <xdr:row>61</xdr:row>
          <xdr:rowOff>9525</xdr:rowOff>
        </xdr:from>
        <xdr:to>
          <xdr:col>6</xdr:col>
          <xdr:colOff>85725</xdr:colOff>
          <xdr:row>65</xdr:row>
          <xdr:rowOff>76200</xdr:rowOff>
        </xdr:to>
        <xdr:sp macro="" textlink="">
          <xdr:nvSpPr>
            <xdr:cNvPr id="347137" name="Object 1" hidden="1">
              <a:extLst>
                <a:ext uri="{63B3BB69-23CF-44E3-9099-C40C66FF867C}">
                  <a14:compatExt spid="_x0000_s347137"/>
                </a:ext>
                <a:ext uri="{FF2B5EF4-FFF2-40B4-BE49-F238E27FC236}">
                  <a16:creationId xmlns:a16="http://schemas.microsoft.com/office/drawing/2014/main" id="{00000000-0008-0000-0300-0000014C05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95250</xdr:colOff>
          <xdr:row>67</xdr:row>
          <xdr:rowOff>19050</xdr:rowOff>
        </xdr:from>
        <xdr:to>
          <xdr:col>1</xdr:col>
          <xdr:colOff>209550</xdr:colOff>
          <xdr:row>69</xdr:row>
          <xdr:rowOff>123825</xdr:rowOff>
        </xdr:to>
        <xdr:sp macro="" textlink="">
          <xdr:nvSpPr>
            <xdr:cNvPr id="347138" name="Object 2" hidden="1">
              <a:extLst>
                <a:ext uri="{63B3BB69-23CF-44E3-9099-C40C66FF867C}">
                  <a14:compatExt spid="_x0000_s347138"/>
                </a:ext>
                <a:ext uri="{FF2B5EF4-FFF2-40B4-BE49-F238E27FC236}">
                  <a16:creationId xmlns:a16="http://schemas.microsoft.com/office/drawing/2014/main" id="{00000000-0008-0000-0300-0000024C05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104775</xdr:colOff>
          <xdr:row>70</xdr:row>
          <xdr:rowOff>38100</xdr:rowOff>
        </xdr:from>
        <xdr:to>
          <xdr:col>2</xdr:col>
          <xdr:colOff>314325</xdr:colOff>
          <xdr:row>72</xdr:row>
          <xdr:rowOff>161925</xdr:rowOff>
        </xdr:to>
        <xdr:sp macro="" textlink="">
          <xdr:nvSpPr>
            <xdr:cNvPr id="347139" name="Object 3" hidden="1">
              <a:extLst>
                <a:ext uri="{63B3BB69-23CF-44E3-9099-C40C66FF867C}">
                  <a14:compatExt spid="_x0000_s347139"/>
                </a:ext>
                <a:ext uri="{FF2B5EF4-FFF2-40B4-BE49-F238E27FC236}">
                  <a16:creationId xmlns:a16="http://schemas.microsoft.com/office/drawing/2014/main" id="{00000000-0008-0000-0300-0000034C05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104775</xdr:colOff>
          <xdr:row>73</xdr:row>
          <xdr:rowOff>0</xdr:rowOff>
        </xdr:from>
        <xdr:to>
          <xdr:col>3</xdr:col>
          <xdr:colOff>409575</xdr:colOff>
          <xdr:row>76</xdr:row>
          <xdr:rowOff>9525</xdr:rowOff>
        </xdr:to>
        <xdr:sp macro="" textlink="">
          <xdr:nvSpPr>
            <xdr:cNvPr id="347140" name="Object 4" hidden="1">
              <a:extLst>
                <a:ext uri="{63B3BB69-23CF-44E3-9099-C40C66FF867C}">
                  <a14:compatExt spid="_x0000_s347140"/>
                </a:ext>
                <a:ext uri="{FF2B5EF4-FFF2-40B4-BE49-F238E27FC236}">
                  <a16:creationId xmlns:a16="http://schemas.microsoft.com/office/drawing/2014/main" id="{00000000-0008-0000-0300-0000044C05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95250</xdr:colOff>
          <xdr:row>76</xdr:row>
          <xdr:rowOff>57150</xdr:rowOff>
        </xdr:from>
        <xdr:to>
          <xdr:col>7</xdr:col>
          <xdr:colOff>352425</xdr:colOff>
          <xdr:row>80</xdr:row>
          <xdr:rowOff>85725</xdr:rowOff>
        </xdr:to>
        <xdr:sp macro="" textlink="">
          <xdr:nvSpPr>
            <xdr:cNvPr id="347141" name="Object 5" hidden="1">
              <a:extLst>
                <a:ext uri="{63B3BB69-23CF-44E3-9099-C40C66FF867C}">
                  <a14:compatExt spid="_x0000_s347141"/>
                </a:ext>
                <a:ext uri="{FF2B5EF4-FFF2-40B4-BE49-F238E27FC236}">
                  <a16:creationId xmlns:a16="http://schemas.microsoft.com/office/drawing/2014/main" id="{00000000-0008-0000-0300-0000054C05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123825</xdr:colOff>
          <xdr:row>132</xdr:row>
          <xdr:rowOff>0</xdr:rowOff>
        </xdr:from>
        <xdr:to>
          <xdr:col>7</xdr:col>
          <xdr:colOff>314325</xdr:colOff>
          <xdr:row>135</xdr:row>
          <xdr:rowOff>180975</xdr:rowOff>
        </xdr:to>
        <xdr:sp macro="" textlink="">
          <xdr:nvSpPr>
            <xdr:cNvPr id="347142" name="Object 6" hidden="1">
              <a:extLst>
                <a:ext uri="{63B3BB69-23CF-44E3-9099-C40C66FF867C}">
                  <a14:compatExt spid="_x0000_s347142"/>
                </a:ext>
                <a:ext uri="{FF2B5EF4-FFF2-40B4-BE49-F238E27FC236}">
                  <a16:creationId xmlns:a16="http://schemas.microsoft.com/office/drawing/2014/main" id="{00000000-0008-0000-0300-0000064C05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95250</xdr:colOff>
          <xdr:row>188</xdr:row>
          <xdr:rowOff>38100</xdr:rowOff>
        </xdr:from>
        <xdr:to>
          <xdr:col>7</xdr:col>
          <xdr:colOff>285750</xdr:colOff>
          <xdr:row>191</xdr:row>
          <xdr:rowOff>142875</xdr:rowOff>
        </xdr:to>
        <xdr:sp macro="" textlink="">
          <xdr:nvSpPr>
            <xdr:cNvPr id="347143" name="Object 7" hidden="1">
              <a:extLst>
                <a:ext uri="{63B3BB69-23CF-44E3-9099-C40C66FF867C}">
                  <a14:compatExt spid="_x0000_s347143"/>
                </a:ext>
                <a:ext uri="{FF2B5EF4-FFF2-40B4-BE49-F238E27FC236}">
                  <a16:creationId xmlns:a16="http://schemas.microsoft.com/office/drawing/2014/main" id="{00000000-0008-0000-0300-0000074C05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76200</xdr:colOff>
          <xdr:row>318</xdr:row>
          <xdr:rowOff>123825</xdr:rowOff>
        </xdr:from>
        <xdr:to>
          <xdr:col>7</xdr:col>
          <xdr:colOff>266700</xdr:colOff>
          <xdr:row>322</xdr:row>
          <xdr:rowOff>0</xdr:rowOff>
        </xdr:to>
        <xdr:sp macro="" textlink="">
          <xdr:nvSpPr>
            <xdr:cNvPr id="347144" name="Object 8" hidden="1">
              <a:extLst>
                <a:ext uri="{63B3BB69-23CF-44E3-9099-C40C66FF867C}">
                  <a14:compatExt spid="_x0000_s347144"/>
                </a:ext>
                <a:ext uri="{FF2B5EF4-FFF2-40B4-BE49-F238E27FC236}">
                  <a16:creationId xmlns:a16="http://schemas.microsoft.com/office/drawing/2014/main" id="{00000000-0008-0000-0300-0000084C05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209550</xdr:colOff>
          <xdr:row>370</xdr:row>
          <xdr:rowOff>133350</xdr:rowOff>
        </xdr:from>
        <xdr:to>
          <xdr:col>7</xdr:col>
          <xdr:colOff>400050</xdr:colOff>
          <xdr:row>374</xdr:row>
          <xdr:rowOff>85725</xdr:rowOff>
        </xdr:to>
        <xdr:sp macro="" textlink="">
          <xdr:nvSpPr>
            <xdr:cNvPr id="347145" name="Object 9" hidden="1">
              <a:extLst>
                <a:ext uri="{63B3BB69-23CF-44E3-9099-C40C66FF867C}">
                  <a14:compatExt spid="_x0000_s347145"/>
                </a:ext>
                <a:ext uri="{FF2B5EF4-FFF2-40B4-BE49-F238E27FC236}">
                  <a16:creationId xmlns:a16="http://schemas.microsoft.com/office/drawing/2014/main" id="{00000000-0008-0000-0300-0000094C05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57150</xdr:colOff>
          <xdr:row>136</xdr:row>
          <xdr:rowOff>9525</xdr:rowOff>
        </xdr:from>
        <xdr:to>
          <xdr:col>0</xdr:col>
          <xdr:colOff>457200</xdr:colOff>
          <xdr:row>137</xdr:row>
          <xdr:rowOff>9525</xdr:rowOff>
        </xdr:to>
        <xdr:sp macro="" textlink="">
          <xdr:nvSpPr>
            <xdr:cNvPr id="347146" name="Object 10" hidden="1">
              <a:extLst>
                <a:ext uri="{63B3BB69-23CF-44E3-9099-C40C66FF867C}">
                  <a14:compatExt spid="_x0000_s347146"/>
                </a:ext>
                <a:ext uri="{FF2B5EF4-FFF2-40B4-BE49-F238E27FC236}">
                  <a16:creationId xmlns:a16="http://schemas.microsoft.com/office/drawing/2014/main" id="{00000000-0008-0000-0300-00000A4C05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192</xdr:row>
          <xdr:rowOff>9525</xdr:rowOff>
        </xdr:from>
        <xdr:to>
          <xdr:col>0</xdr:col>
          <xdr:colOff>438150</xdr:colOff>
          <xdr:row>193</xdr:row>
          <xdr:rowOff>9525</xdr:rowOff>
        </xdr:to>
        <xdr:sp macro="" textlink="">
          <xdr:nvSpPr>
            <xdr:cNvPr id="347147" name="Object 11" hidden="1">
              <a:extLst>
                <a:ext uri="{63B3BB69-23CF-44E3-9099-C40C66FF867C}">
                  <a14:compatExt spid="_x0000_s347147"/>
                </a:ext>
                <a:ext uri="{FF2B5EF4-FFF2-40B4-BE49-F238E27FC236}">
                  <a16:creationId xmlns:a16="http://schemas.microsoft.com/office/drawing/2014/main" id="{00000000-0008-0000-0300-00000B4C05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57150</xdr:colOff>
          <xdr:row>322</xdr:row>
          <xdr:rowOff>9525</xdr:rowOff>
        </xdr:from>
        <xdr:to>
          <xdr:col>0</xdr:col>
          <xdr:colOff>457200</xdr:colOff>
          <xdr:row>322</xdr:row>
          <xdr:rowOff>371475</xdr:rowOff>
        </xdr:to>
        <xdr:sp macro="" textlink="">
          <xdr:nvSpPr>
            <xdr:cNvPr id="347148" name="Object 12" hidden="1">
              <a:extLst>
                <a:ext uri="{63B3BB69-23CF-44E3-9099-C40C66FF867C}">
                  <a14:compatExt spid="_x0000_s347148"/>
                </a:ext>
                <a:ext uri="{FF2B5EF4-FFF2-40B4-BE49-F238E27FC236}">
                  <a16:creationId xmlns:a16="http://schemas.microsoft.com/office/drawing/2014/main" id="{00000000-0008-0000-0300-00000C4C05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47625</xdr:colOff>
          <xdr:row>374</xdr:row>
          <xdr:rowOff>9525</xdr:rowOff>
        </xdr:from>
        <xdr:to>
          <xdr:col>0</xdr:col>
          <xdr:colOff>447675</xdr:colOff>
          <xdr:row>375</xdr:row>
          <xdr:rowOff>9525</xdr:rowOff>
        </xdr:to>
        <xdr:sp macro="" textlink="">
          <xdr:nvSpPr>
            <xdr:cNvPr id="347149" name="Object 13" hidden="1">
              <a:extLst>
                <a:ext uri="{63B3BB69-23CF-44E3-9099-C40C66FF867C}">
                  <a14:compatExt spid="_x0000_s347149"/>
                </a:ext>
                <a:ext uri="{FF2B5EF4-FFF2-40B4-BE49-F238E27FC236}">
                  <a16:creationId xmlns:a16="http://schemas.microsoft.com/office/drawing/2014/main" id="{00000000-0008-0000-0300-00000D4C05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333375</xdr:colOff>
          <xdr:row>374</xdr:row>
          <xdr:rowOff>9525</xdr:rowOff>
        </xdr:from>
        <xdr:to>
          <xdr:col>2</xdr:col>
          <xdr:colOff>304800</xdr:colOff>
          <xdr:row>375</xdr:row>
          <xdr:rowOff>9525</xdr:rowOff>
        </xdr:to>
        <xdr:sp macro="" textlink="">
          <xdr:nvSpPr>
            <xdr:cNvPr id="347150" name="Object 14" hidden="1">
              <a:extLst>
                <a:ext uri="{63B3BB69-23CF-44E3-9099-C40C66FF867C}">
                  <a14:compatExt spid="_x0000_s347150"/>
                </a:ext>
                <a:ext uri="{FF2B5EF4-FFF2-40B4-BE49-F238E27FC236}">
                  <a16:creationId xmlns:a16="http://schemas.microsoft.com/office/drawing/2014/main" id="{00000000-0008-0000-0300-00000E4C05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152400</xdr:colOff>
          <xdr:row>322</xdr:row>
          <xdr:rowOff>38100</xdr:rowOff>
        </xdr:from>
        <xdr:to>
          <xdr:col>2</xdr:col>
          <xdr:colOff>657225</xdr:colOff>
          <xdr:row>323</xdr:row>
          <xdr:rowOff>0</xdr:rowOff>
        </xdr:to>
        <xdr:sp macro="" textlink="">
          <xdr:nvSpPr>
            <xdr:cNvPr id="347151" name="Object 15" hidden="1">
              <a:extLst>
                <a:ext uri="{63B3BB69-23CF-44E3-9099-C40C66FF867C}">
                  <a14:compatExt spid="_x0000_s347151"/>
                </a:ext>
                <a:ext uri="{FF2B5EF4-FFF2-40B4-BE49-F238E27FC236}">
                  <a16:creationId xmlns:a16="http://schemas.microsoft.com/office/drawing/2014/main" id="{00000000-0008-0000-0300-00000F4C05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142875</xdr:colOff>
          <xdr:row>191</xdr:row>
          <xdr:rowOff>180975</xdr:rowOff>
        </xdr:from>
        <xdr:to>
          <xdr:col>2</xdr:col>
          <xdr:colOff>647700</xdr:colOff>
          <xdr:row>192</xdr:row>
          <xdr:rowOff>342900</xdr:rowOff>
        </xdr:to>
        <xdr:sp macro="" textlink="">
          <xdr:nvSpPr>
            <xdr:cNvPr id="347152" name="Object 16" hidden="1">
              <a:extLst>
                <a:ext uri="{63B3BB69-23CF-44E3-9099-C40C66FF867C}">
                  <a14:compatExt spid="_x0000_s347152"/>
                </a:ext>
                <a:ext uri="{FF2B5EF4-FFF2-40B4-BE49-F238E27FC236}">
                  <a16:creationId xmlns:a16="http://schemas.microsoft.com/office/drawing/2014/main" id="{00000000-0008-0000-0300-0000104C05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342900</xdr:colOff>
          <xdr:row>136</xdr:row>
          <xdr:rowOff>9525</xdr:rowOff>
        </xdr:from>
        <xdr:to>
          <xdr:col>2</xdr:col>
          <xdr:colOff>304800</xdr:colOff>
          <xdr:row>137</xdr:row>
          <xdr:rowOff>9525</xdr:rowOff>
        </xdr:to>
        <xdr:sp macro="" textlink="">
          <xdr:nvSpPr>
            <xdr:cNvPr id="347153" name="Object 17" hidden="1">
              <a:extLst>
                <a:ext uri="{63B3BB69-23CF-44E3-9099-C40C66FF867C}">
                  <a14:compatExt spid="_x0000_s347153"/>
                </a:ext>
                <a:ext uri="{FF2B5EF4-FFF2-40B4-BE49-F238E27FC236}">
                  <a16:creationId xmlns:a16="http://schemas.microsoft.com/office/drawing/2014/main" id="{00000000-0008-0000-0300-0000114C05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228600</xdr:colOff>
          <xdr:row>140</xdr:row>
          <xdr:rowOff>19050</xdr:rowOff>
        </xdr:from>
        <xdr:to>
          <xdr:col>5</xdr:col>
          <xdr:colOff>295275</xdr:colOff>
          <xdr:row>140</xdr:row>
          <xdr:rowOff>419100</xdr:rowOff>
        </xdr:to>
        <xdr:sp macro="" textlink="">
          <xdr:nvSpPr>
            <xdr:cNvPr id="347154" name="Object 18" hidden="1">
              <a:extLst>
                <a:ext uri="{63B3BB69-23CF-44E3-9099-C40C66FF867C}">
                  <a14:compatExt spid="_x0000_s347154"/>
                </a:ext>
                <a:ext uri="{FF2B5EF4-FFF2-40B4-BE49-F238E27FC236}">
                  <a16:creationId xmlns:a16="http://schemas.microsoft.com/office/drawing/2014/main" id="{00000000-0008-0000-0300-0000124C05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219075</xdr:colOff>
          <xdr:row>196</xdr:row>
          <xdr:rowOff>19050</xdr:rowOff>
        </xdr:from>
        <xdr:to>
          <xdr:col>5</xdr:col>
          <xdr:colOff>285750</xdr:colOff>
          <xdr:row>197</xdr:row>
          <xdr:rowOff>0</xdr:rowOff>
        </xdr:to>
        <xdr:sp macro="" textlink="">
          <xdr:nvSpPr>
            <xdr:cNvPr id="347155" name="Object 19" hidden="1">
              <a:extLst>
                <a:ext uri="{63B3BB69-23CF-44E3-9099-C40C66FF867C}">
                  <a14:compatExt spid="_x0000_s347155"/>
                </a:ext>
                <a:ext uri="{FF2B5EF4-FFF2-40B4-BE49-F238E27FC236}">
                  <a16:creationId xmlns:a16="http://schemas.microsoft.com/office/drawing/2014/main" id="{00000000-0008-0000-0300-0000134C05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200025</xdr:colOff>
          <xdr:row>326</xdr:row>
          <xdr:rowOff>19050</xdr:rowOff>
        </xdr:from>
        <xdr:to>
          <xdr:col>5</xdr:col>
          <xdr:colOff>266700</xdr:colOff>
          <xdr:row>326</xdr:row>
          <xdr:rowOff>419100</xdr:rowOff>
        </xdr:to>
        <xdr:sp macro="" textlink="">
          <xdr:nvSpPr>
            <xdr:cNvPr id="347156" name="Object 20" hidden="1">
              <a:extLst>
                <a:ext uri="{63B3BB69-23CF-44E3-9099-C40C66FF867C}">
                  <a14:compatExt spid="_x0000_s347156"/>
                </a:ext>
                <a:ext uri="{FF2B5EF4-FFF2-40B4-BE49-F238E27FC236}">
                  <a16:creationId xmlns:a16="http://schemas.microsoft.com/office/drawing/2014/main" id="{00000000-0008-0000-0300-0000144C05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238125</xdr:colOff>
          <xdr:row>378</xdr:row>
          <xdr:rowOff>0</xdr:rowOff>
        </xdr:from>
        <xdr:to>
          <xdr:col>5</xdr:col>
          <xdr:colOff>304800</xdr:colOff>
          <xdr:row>379</xdr:row>
          <xdr:rowOff>9525</xdr:rowOff>
        </xdr:to>
        <xdr:sp macro="" textlink="">
          <xdr:nvSpPr>
            <xdr:cNvPr id="347157" name="Object 21" hidden="1">
              <a:extLst>
                <a:ext uri="{63B3BB69-23CF-44E3-9099-C40C66FF867C}">
                  <a14:compatExt spid="_x0000_s347157"/>
                </a:ext>
                <a:ext uri="{FF2B5EF4-FFF2-40B4-BE49-F238E27FC236}">
                  <a16:creationId xmlns:a16="http://schemas.microsoft.com/office/drawing/2014/main" id="{00000000-0008-0000-0300-0000154C05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152400</xdr:colOff>
          <xdr:row>382</xdr:row>
          <xdr:rowOff>9525</xdr:rowOff>
        </xdr:from>
        <xdr:to>
          <xdr:col>6</xdr:col>
          <xdr:colOff>295275</xdr:colOff>
          <xdr:row>383</xdr:row>
          <xdr:rowOff>0</xdr:rowOff>
        </xdr:to>
        <xdr:sp macro="" textlink="">
          <xdr:nvSpPr>
            <xdr:cNvPr id="347158" name="Object 22" hidden="1">
              <a:extLst>
                <a:ext uri="{63B3BB69-23CF-44E3-9099-C40C66FF867C}">
                  <a14:compatExt spid="_x0000_s347158"/>
                </a:ext>
                <a:ext uri="{FF2B5EF4-FFF2-40B4-BE49-F238E27FC236}">
                  <a16:creationId xmlns:a16="http://schemas.microsoft.com/office/drawing/2014/main" id="{00000000-0008-0000-0300-0000164C05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171450</xdr:colOff>
          <xdr:row>330</xdr:row>
          <xdr:rowOff>9525</xdr:rowOff>
        </xdr:from>
        <xdr:to>
          <xdr:col>6</xdr:col>
          <xdr:colOff>314325</xdr:colOff>
          <xdr:row>331</xdr:row>
          <xdr:rowOff>0</xdr:rowOff>
        </xdr:to>
        <xdr:sp macro="" textlink="">
          <xdr:nvSpPr>
            <xdr:cNvPr id="347159" name="Object 23" hidden="1">
              <a:extLst>
                <a:ext uri="{63B3BB69-23CF-44E3-9099-C40C66FF867C}">
                  <a14:compatExt spid="_x0000_s347159"/>
                </a:ext>
                <a:ext uri="{FF2B5EF4-FFF2-40B4-BE49-F238E27FC236}">
                  <a16:creationId xmlns:a16="http://schemas.microsoft.com/office/drawing/2014/main" id="{00000000-0008-0000-0300-0000174C05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228600</xdr:colOff>
          <xdr:row>200</xdr:row>
          <xdr:rowOff>171450</xdr:rowOff>
        </xdr:from>
        <xdr:to>
          <xdr:col>6</xdr:col>
          <xdr:colOff>371475</xdr:colOff>
          <xdr:row>202</xdr:row>
          <xdr:rowOff>9525</xdr:rowOff>
        </xdr:to>
        <xdr:sp macro="" textlink="">
          <xdr:nvSpPr>
            <xdr:cNvPr id="347160" name="Object 24" hidden="1">
              <a:extLst>
                <a:ext uri="{63B3BB69-23CF-44E3-9099-C40C66FF867C}">
                  <a14:compatExt spid="_x0000_s347160"/>
                </a:ext>
                <a:ext uri="{FF2B5EF4-FFF2-40B4-BE49-F238E27FC236}">
                  <a16:creationId xmlns:a16="http://schemas.microsoft.com/office/drawing/2014/main" id="{00000000-0008-0000-0300-0000184C05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238125</xdr:colOff>
          <xdr:row>144</xdr:row>
          <xdr:rowOff>19050</xdr:rowOff>
        </xdr:from>
        <xdr:to>
          <xdr:col>6</xdr:col>
          <xdr:colOff>381000</xdr:colOff>
          <xdr:row>145</xdr:row>
          <xdr:rowOff>0</xdr:rowOff>
        </xdr:to>
        <xdr:sp macro="" textlink="">
          <xdr:nvSpPr>
            <xdr:cNvPr id="347161" name="Object 25" hidden="1">
              <a:extLst>
                <a:ext uri="{63B3BB69-23CF-44E3-9099-C40C66FF867C}">
                  <a14:compatExt spid="_x0000_s347161"/>
                </a:ext>
                <a:ext uri="{FF2B5EF4-FFF2-40B4-BE49-F238E27FC236}">
                  <a16:creationId xmlns:a16="http://schemas.microsoft.com/office/drawing/2014/main" id="{00000000-0008-0000-0300-0000194C05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333375</xdr:colOff>
          <xdr:row>1</xdr:row>
          <xdr:rowOff>85725</xdr:rowOff>
        </xdr:from>
        <xdr:to>
          <xdr:col>6</xdr:col>
          <xdr:colOff>228600</xdr:colOff>
          <xdr:row>18</xdr:row>
          <xdr:rowOff>104775</xdr:rowOff>
        </xdr:to>
        <xdr:sp macro="" textlink="">
          <xdr:nvSpPr>
            <xdr:cNvPr id="347162" name="Object 26" hidden="1">
              <a:extLst>
                <a:ext uri="{63B3BB69-23CF-44E3-9099-C40C66FF867C}">
                  <a14:compatExt spid="_x0000_s347162"/>
                </a:ext>
                <a:ext uri="{FF2B5EF4-FFF2-40B4-BE49-F238E27FC236}">
                  <a16:creationId xmlns:a16="http://schemas.microsoft.com/office/drawing/2014/main" id="{00000000-0008-0000-0300-00001A4C05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3</xdr:col>
      <xdr:colOff>1033511</xdr:colOff>
      <xdr:row>119</xdr:row>
      <xdr:rowOff>26997</xdr:rowOff>
    </xdr:from>
    <xdr:to>
      <xdr:col>3</xdr:col>
      <xdr:colOff>1033511</xdr:colOff>
      <xdr:row>120</xdr:row>
      <xdr:rowOff>1378</xdr:rowOff>
    </xdr:to>
    <xdr:cxnSp macro="">
      <xdr:nvCxnSpPr>
        <xdr:cNvPr id="115" name="3776 Düz Bağlayıcı">
          <a:extLst>
            <a:ext uri="{FF2B5EF4-FFF2-40B4-BE49-F238E27FC236}">
              <a16:creationId xmlns:a16="http://schemas.microsoft.com/office/drawing/2014/main" id="{00000000-0008-0000-0300-000073000000}"/>
            </a:ext>
          </a:extLst>
        </xdr:cNvPr>
        <xdr:cNvCxnSpPr>
          <a:cxnSpLocks noChangeShapeType="1"/>
        </xdr:cNvCxnSpPr>
      </xdr:nvCxnSpPr>
      <xdr:spPr bwMode="auto">
        <a:xfrm rot="5400000">
          <a:off x="3232308" y="22383650"/>
          <a:ext cx="174406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57150</xdr:colOff>
          <xdr:row>85</xdr:row>
          <xdr:rowOff>9525</xdr:rowOff>
        </xdr:from>
        <xdr:to>
          <xdr:col>6</xdr:col>
          <xdr:colOff>142875</xdr:colOff>
          <xdr:row>89</xdr:row>
          <xdr:rowOff>66675</xdr:rowOff>
        </xdr:to>
        <xdr:sp macro="" textlink="">
          <xdr:nvSpPr>
            <xdr:cNvPr id="347163" name="Object 27" hidden="1">
              <a:extLst>
                <a:ext uri="{63B3BB69-23CF-44E3-9099-C40C66FF867C}">
                  <a14:compatExt spid="_x0000_s347163"/>
                </a:ext>
                <a:ext uri="{FF2B5EF4-FFF2-40B4-BE49-F238E27FC236}">
                  <a16:creationId xmlns:a16="http://schemas.microsoft.com/office/drawing/2014/main" id="{00000000-0008-0000-0300-00001B4C05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twoCellAnchor>
    <xdr:from>
      <xdr:col>3</xdr:col>
      <xdr:colOff>1093391</xdr:colOff>
      <xdr:row>182</xdr:row>
      <xdr:rowOff>9611</xdr:rowOff>
    </xdr:from>
    <xdr:to>
      <xdr:col>3</xdr:col>
      <xdr:colOff>1093391</xdr:colOff>
      <xdr:row>182</xdr:row>
      <xdr:rowOff>181061</xdr:rowOff>
    </xdr:to>
    <xdr:cxnSp macro="">
      <xdr:nvCxnSpPr>
        <xdr:cNvPr id="117" name="3776 Düz Bağlayıcı">
          <a:extLst>
            <a:ext uri="{FF2B5EF4-FFF2-40B4-BE49-F238E27FC236}">
              <a16:creationId xmlns:a16="http://schemas.microsoft.com/office/drawing/2014/main" id="{00000000-0008-0000-0300-000075000000}"/>
            </a:ext>
          </a:extLst>
        </xdr:cNvPr>
        <xdr:cNvCxnSpPr>
          <a:cxnSpLocks noChangeShapeType="1"/>
        </xdr:cNvCxnSpPr>
      </xdr:nvCxnSpPr>
      <xdr:spPr bwMode="auto">
        <a:xfrm rot="5400000">
          <a:off x="3293666" y="34299611"/>
          <a:ext cx="1714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3</xdr:col>
      <xdr:colOff>967111</xdr:colOff>
      <xdr:row>312</xdr:row>
      <xdr:rowOff>6163</xdr:rowOff>
    </xdr:from>
    <xdr:to>
      <xdr:col>3</xdr:col>
      <xdr:colOff>967111</xdr:colOff>
      <xdr:row>312</xdr:row>
      <xdr:rowOff>177613</xdr:rowOff>
    </xdr:to>
    <xdr:cxnSp macro="">
      <xdr:nvCxnSpPr>
        <xdr:cNvPr id="118" name="3776 Düz Bağlayıcı">
          <a:extLst>
            <a:ext uri="{FF2B5EF4-FFF2-40B4-BE49-F238E27FC236}">
              <a16:creationId xmlns:a16="http://schemas.microsoft.com/office/drawing/2014/main" id="{00000000-0008-0000-0300-000076000000}"/>
            </a:ext>
          </a:extLst>
        </xdr:cNvPr>
        <xdr:cNvCxnSpPr>
          <a:cxnSpLocks noChangeShapeType="1"/>
        </xdr:cNvCxnSpPr>
      </xdr:nvCxnSpPr>
      <xdr:spPr bwMode="auto">
        <a:xfrm rot="5400000">
          <a:off x="3167386" y="55898863"/>
          <a:ext cx="1714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3</xdr:col>
      <xdr:colOff>832640</xdr:colOff>
      <xdr:row>365</xdr:row>
      <xdr:rowOff>28575</xdr:rowOff>
    </xdr:from>
    <xdr:to>
      <xdr:col>3</xdr:col>
      <xdr:colOff>832640</xdr:colOff>
      <xdr:row>365</xdr:row>
      <xdr:rowOff>200025</xdr:rowOff>
    </xdr:to>
    <xdr:cxnSp macro="">
      <xdr:nvCxnSpPr>
        <xdr:cNvPr id="119" name="3776 Düz Bağlayıcı">
          <a:extLst>
            <a:ext uri="{FF2B5EF4-FFF2-40B4-BE49-F238E27FC236}">
              <a16:creationId xmlns:a16="http://schemas.microsoft.com/office/drawing/2014/main" id="{00000000-0008-0000-0300-000077000000}"/>
            </a:ext>
          </a:extLst>
        </xdr:cNvPr>
        <xdr:cNvCxnSpPr>
          <a:cxnSpLocks noChangeShapeType="1"/>
        </xdr:cNvCxnSpPr>
      </xdr:nvCxnSpPr>
      <xdr:spPr bwMode="auto">
        <a:xfrm rot="5400000">
          <a:off x="3032915" y="67722750"/>
          <a:ext cx="1714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</xdr:col>
      <xdr:colOff>489852</xdr:colOff>
      <xdr:row>517</xdr:row>
      <xdr:rowOff>0</xdr:rowOff>
    </xdr:from>
    <xdr:to>
      <xdr:col>2</xdr:col>
      <xdr:colOff>159198</xdr:colOff>
      <xdr:row>518</xdr:row>
      <xdr:rowOff>0</xdr:rowOff>
    </xdr:to>
    <xdr:sp macro="" textlink="">
      <xdr:nvSpPr>
        <xdr:cNvPr id="120" name="Text Box 5112">
          <a:extLst>
            <a:ext uri="{FF2B5EF4-FFF2-40B4-BE49-F238E27FC236}">
              <a16:creationId xmlns:a16="http://schemas.microsoft.com/office/drawing/2014/main" id="{00000000-0008-0000-0300-000078000000}"/>
            </a:ext>
          </a:extLst>
        </xdr:cNvPr>
        <xdr:cNvSpPr txBox="1">
          <a:spLocks noChangeArrowheads="1"/>
        </xdr:cNvSpPr>
      </xdr:nvSpPr>
      <xdr:spPr bwMode="auto">
        <a:xfrm>
          <a:off x="966102" y="95078550"/>
          <a:ext cx="202746" cy="1905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tr-TR" sz="1000" b="0" i="0" strike="noStrike">
              <a:solidFill>
                <a:sysClr val="windowText" lastClr="000000"/>
              </a:solidFill>
              <a:latin typeface="Symbol"/>
            </a:rPr>
            <a:t>F</a:t>
          </a:r>
        </a:p>
      </xdr:txBody>
    </xdr:sp>
    <xdr:clientData/>
  </xdr:twoCellAnchor>
  <xdr:twoCellAnchor>
    <xdr:from>
      <xdr:col>2</xdr:col>
      <xdr:colOff>332980</xdr:colOff>
      <xdr:row>516</xdr:row>
      <xdr:rowOff>120064</xdr:rowOff>
    </xdr:from>
    <xdr:to>
      <xdr:col>2</xdr:col>
      <xdr:colOff>1243058</xdr:colOff>
      <xdr:row>519</xdr:row>
      <xdr:rowOff>11206</xdr:rowOff>
    </xdr:to>
    <xdr:sp macro="" textlink="">
      <xdr:nvSpPr>
        <xdr:cNvPr id="121" name="Text Box 5113">
          <a:extLst>
            <a:ext uri="{FF2B5EF4-FFF2-40B4-BE49-F238E27FC236}">
              <a16:creationId xmlns:a16="http://schemas.microsoft.com/office/drawing/2014/main" id="{00000000-0008-0000-0300-000079000000}"/>
            </a:ext>
          </a:extLst>
        </xdr:cNvPr>
        <xdr:cNvSpPr txBox="1">
          <a:spLocks noChangeArrowheads="1"/>
        </xdr:cNvSpPr>
      </xdr:nvSpPr>
      <xdr:spPr bwMode="auto">
        <a:xfrm>
          <a:off x="1342630" y="95017639"/>
          <a:ext cx="910078" cy="44359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tr-TR" sz="1800" b="0" i="0" strike="noStrike">
              <a:solidFill>
                <a:sysClr val="windowText" lastClr="000000"/>
              </a:solidFill>
              <a:latin typeface="Symbol"/>
            </a:rPr>
            <a:t>/</a:t>
          </a:r>
        </a:p>
      </xdr:txBody>
    </xdr:sp>
    <xdr:clientData/>
  </xdr:twoCellAnchor>
  <xdr:twoCellAnchor>
    <xdr:from>
      <xdr:col>1</xdr:col>
      <xdr:colOff>489852</xdr:colOff>
      <xdr:row>574</xdr:row>
      <xdr:rowOff>0</xdr:rowOff>
    </xdr:from>
    <xdr:to>
      <xdr:col>2</xdr:col>
      <xdr:colOff>159198</xdr:colOff>
      <xdr:row>575</xdr:row>
      <xdr:rowOff>0</xdr:rowOff>
    </xdr:to>
    <xdr:sp macro="" textlink="">
      <xdr:nvSpPr>
        <xdr:cNvPr id="122" name="Text Box 5112">
          <a:extLst>
            <a:ext uri="{FF2B5EF4-FFF2-40B4-BE49-F238E27FC236}">
              <a16:creationId xmlns:a16="http://schemas.microsoft.com/office/drawing/2014/main" id="{00000000-0008-0000-0300-00007A000000}"/>
            </a:ext>
          </a:extLst>
        </xdr:cNvPr>
        <xdr:cNvSpPr txBox="1">
          <a:spLocks noChangeArrowheads="1"/>
        </xdr:cNvSpPr>
      </xdr:nvSpPr>
      <xdr:spPr bwMode="auto">
        <a:xfrm>
          <a:off x="966102" y="105727500"/>
          <a:ext cx="202746" cy="1809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tr-TR" sz="1000" b="0" i="0" strike="noStrike">
              <a:solidFill>
                <a:sysClr val="windowText" lastClr="000000"/>
              </a:solidFill>
              <a:latin typeface="Symbol"/>
            </a:rPr>
            <a:t>F</a:t>
          </a:r>
        </a:p>
      </xdr:txBody>
    </xdr:sp>
    <xdr:clientData/>
  </xdr:twoCellAnchor>
  <xdr:twoCellAnchor>
    <xdr:from>
      <xdr:col>2</xdr:col>
      <xdr:colOff>310569</xdr:colOff>
      <xdr:row>573</xdr:row>
      <xdr:rowOff>134471</xdr:rowOff>
    </xdr:from>
    <xdr:to>
      <xdr:col>2</xdr:col>
      <xdr:colOff>1220647</xdr:colOff>
      <xdr:row>574</xdr:row>
      <xdr:rowOff>134471</xdr:rowOff>
    </xdr:to>
    <xdr:sp macro="" textlink="">
      <xdr:nvSpPr>
        <xdr:cNvPr id="123" name="Text Box 5113">
          <a:extLst>
            <a:ext uri="{FF2B5EF4-FFF2-40B4-BE49-F238E27FC236}">
              <a16:creationId xmlns:a16="http://schemas.microsoft.com/office/drawing/2014/main" id="{00000000-0008-0000-0300-00007B000000}"/>
            </a:ext>
          </a:extLst>
        </xdr:cNvPr>
        <xdr:cNvSpPr txBox="1">
          <a:spLocks noChangeArrowheads="1"/>
        </xdr:cNvSpPr>
      </xdr:nvSpPr>
      <xdr:spPr bwMode="auto">
        <a:xfrm>
          <a:off x="1320219" y="105680996"/>
          <a:ext cx="910078" cy="1809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tr-TR" sz="1800" b="0" i="0" strike="noStrike">
              <a:solidFill>
                <a:sysClr val="windowText" lastClr="000000"/>
              </a:solidFill>
              <a:latin typeface="Symbol"/>
            </a:rPr>
            <a:t>/</a:t>
          </a:r>
        </a:p>
      </xdr:txBody>
    </xdr:sp>
    <xdr:clientData/>
  </xdr:twoCellAnchor>
  <xdr:twoCellAnchor>
    <xdr:from>
      <xdr:col>5</xdr:col>
      <xdr:colOff>455543</xdr:colOff>
      <xdr:row>417</xdr:row>
      <xdr:rowOff>124240</xdr:rowOff>
    </xdr:from>
    <xdr:to>
      <xdr:col>6</xdr:col>
      <xdr:colOff>141218</xdr:colOff>
      <xdr:row>417</xdr:row>
      <xdr:rowOff>124240</xdr:rowOff>
    </xdr:to>
    <xdr:sp macro="" textlink="">
      <xdr:nvSpPr>
        <xdr:cNvPr id="124" name="Line 2902">
          <a:extLst>
            <a:ext uri="{FF2B5EF4-FFF2-40B4-BE49-F238E27FC236}">
              <a16:creationId xmlns:a16="http://schemas.microsoft.com/office/drawing/2014/main" id="{00000000-0008-0000-0300-00007C000000}"/>
            </a:ext>
          </a:extLst>
        </xdr:cNvPr>
        <xdr:cNvSpPr>
          <a:spLocks noChangeShapeType="1"/>
        </xdr:cNvSpPr>
      </xdr:nvSpPr>
      <xdr:spPr bwMode="auto">
        <a:xfrm>
          <a:off x="4513193" y="78000640"/>
          <a:ext cx="2190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xdr:twoCellAnchor>
    <xdr:from>
      <xdr:col>5</xdr:col>
      <xdr:colOff>455543</xdr:colOff>
      <xdr:row>417</xdr:row>
      <xdr:rowOff>124240</xdr:rowOff>
    </xdr:from>
    <xdr:to>
      <xdr:col>6</xdr:col>
      <xdr:colOff>141218</xdr:colOff>
      <xdr:row>417</xdr:row>
      <xdr:rowOff>124240</xdr:rowOff>
    </xdr:to>
    <xdr:sp macro="" textlink="">
      <xdr:nvSpPr>
        <xdr:cNvPr id="125" name="Line 2902">
          <a:extLst>
            <a:ext uri="{FF2B5EF4-FFF2-40B4-BE49-F238E27FC236}">
              <a16:creationId xmlns:a16="http://schemas.microsoft.com/office/drawing/2014/main" id="{00000000-0008-0000-0300-00007D000000}"/>
            </a:ext>
          </a:extLst>
        </xdr:cNvPr>
        <xdr:cNvSpPr>
          <a:spLocks noChangeShapeType="1"/>
        </xdr:cNvSpPr>
      </xdr:nvSpPr>
      <xdr:spPr bwMode="auto">
        <a:xfrm>
          <a:off x="4513193" y="78000640"/>
          <a:ext cx="2190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xdr:twoCellAnchor>
    <xdr:from>
      <xdr:col>1</xdr:col>
      <xdr:colOff>489852</xdr:colOff>
      <xdr:row>468</xdr:row>
      <xdr:rowOff>0</xdr:rowOff>
    </xdr:from>
    <xdr:to>
      <xdr:col>2</xdr:col>
      <xdr:colOff>159198</xdr:colOff>
      <xdr:row>469</xdr:row>
      <xdr:rowOff>0</xdr:rowOff>
    </xdr:to>
    <xdr:sp macro="" textlink="">
      <xdr:nvSpPr>
        <xdr:cNvPr id="126" name="Text Box 5112">
          <a:extLst>
            <a:ext uri="{FF2B5EF4-FFF2-40B4-BE49-F238E27FC236}">
              <a16:creationId xmlns:a16="http://schemas.microsoft.com/office/drawing/2014/main" id="{00000000-0008-0000-0300-00007E000000}"/>
            </a:ext>
          </a:extLst>
        </xdr:cNvPr>
        <xdr:cNvSpPr txBox="1">
          <a:spLocks noChangeArrowheads="1"/>
        </xdr:cNvSpPr>
      </xdr:nvSpPr>
      <xdr:spPr bwMode="auto">
        <a:xfrm>
          <a:off x="966102" y="85791675"/>
          <a:ext cx="202746" cy="1809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tr-TR" sz="1000" b="0" i="0" strike="noStrike">
              <a:solidFill>
                <a:srgbClr val="000000"/>
              </a:solidFill>
              <a:latin typeface="Symbol"/>
            </a:rPr>
            <a:t>F</a:t>
          </a:r>
        </a:p>
      </xdr:txBody>
    </xdr:sp>
    <xdr:clientData/>
  </xdr:twoCellAnchor>
  <xdr:twoCellAnchor>
    <xdr:from>
      <xdr:col>2</xdr:col>
      <xdr:colOff>1241988</xdr:colOff>
      <xdr:row>467</xdr:row>
      <xdr:rowOff>76328</xdr:rowOff>
    </xdr:from>
    <xdr:to>
      <xdr:col>3</xdr:col>
      <xdr:colOff>840441</xdr:colOff>
      <xdr:row>469</xdr:row>
      <xdr:rowOff>17759</xdr:rowOff>
    </xdr:to>
    <xdr:sp macro="" textlink="">
      <xdr:nvSpPr>
        <xdr:cNvPr id="127" name="Text Box 5113">
          <a:extLst>
            <a:ext uri="{FF2B5EF4-FFF2-40B4-BE49-F238E27FC236}">
              <a16:creationId xmlns:a16="http://schemas.microsoft.com/office/drawing/2014/main" id="{00000000-0008-0000-0300-00007F000000}"/>
            </a:ext>
          </a:extLst>
        </xdr:cNvPr>
        <xdr:cNvSpPr txBox="1">
          <a:spLocks noChangeArrowheads="1"/>
        </xdr:cNvSpPr>
      </xdr:nvSpPr>
      <xdr:spPr bwMode="auto">
        <a:xfrm>
          <a:off x="2251638" y="85706078"/>
          <a:ext cx="874803" cy="28433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tr-TR" sz="1800" b="0" i="0" strike="noStrike">
              <a:solidFill>
                <a:sysClr val="windowText" lastClr="000000"/>
              </a:solidFill>
              <a:latin typeface="Symbol"/>
            </a:rPr>
            <a:t>/</a:t>
          </a:r>
        </a:p>
      </xdr:txBody>
    </xdr:sp>
    <xdr:clientData/>
  </xdr:twoCellAnchor>
  <xdr:twoCellAnchor>
    <xdr:from>
      <xdr:col>1</xdr:col>
      <xdr:colOff>504264</xdr:colOff>
      <xdr:row>469</xdr:row>
      <xdr:rowOff>22412</xdr:rowOff>
    </xdr:from>
    <xdr:to>
      <xdr:col>2</xdr:col>
      <xdr:colOff>173610</xdr:colOff>
      <xdr:row>470</xdr:row>
      <xdr:rowOff>22412</xdr:rowOff>
    </xdr:to>
    <xdr:sp macro="" textlink="">
      <xdr:nvSpPr>
        <xdr:cNvPr id="128" name="Text Box 5112">
          <a:extLst>
            <a:ext uri="{FF2B5EF4-FFF2-40B4-BE49-F238E27FC236}">
              <a16:creationId xmlns:a16="http://schemas.microsoft.com/office/drawing/2014/main" id="{00000000-0008-0000-0300-000080000000}"/>
            </a:ext>
          </a:extLst>
        </xdr:cNvPr>
        <xdr:cNvSpPr txBox="1">
          <a:spLocks noChangeArrowheads="1"/>
        </xdr:cNvSpPr>
      </xdr:nvSpPr>
      <xdr:spPr bwMode="auto">
        <a:xfrm>
          <a:off x="980514" y="85995062"/>
          <a:ext cx="202746" cy="161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tr-TR" sz="1000" b="0" i="0" strike="noStrike">
              <a:solidFill>
                <a:srgbClr val="000000"/>
              </a:solidFill>
              <a:latin typeface="Symbol"/>
            </a:rPr>
            <a:t>F</a:t>
          </a:r>
        </a:p>
      </xdr:txBody>
    </xdr:sp>
    <xdr:clientData/>
  </xdr:twoCellAnchor>
  <xdr:twoCellAnchor>
    <xdr:from>
      <xdr:col>3</xdr:col>
      <xdr:colOff>1973</xdr:colOff>
      <xdr:row>468</xdr:row>
      <xdr:rowOff>99391</xdr:rowOff>
    </xdr:from>
    <xdr:to>
      <xdr:col>3</xdr:col>
      <xdr:colOff>179294</xdr:colOff>
      <xdr:row>470</xdr:row>
      <xdr:rowOff>33131</xdr:rowOff>
    </xdr:to>
    <xdr:sp macro="" textlink="">
      <xdr:nvSpPr>
        <xdr:cNvPr id="129" name="Text Box 5113">
          <a:extLst>
            <a:ext uri="{FF2B5EF4-FFF2-40B4-BE49-F238E27FC236}">
              <a16:creationId xmlns:a16="http://schemas.microsoft.com/office/drawing/2014/main" id="{00000000-0008-0000-0300-000081000000}"/>
            </a:ext>
          </a:extLst>
        </xdr:cNvPr>
        <xdr:cNvSpPr txBox="1">
          <a:spLocks noChangeArrowheads="1"/>
        </xdr:cNvSpPr>
      </xdr:nvSpPr>
      <xdr:spPr bwMode="auto">
        <a:xfrm>
          <a:off x="2287973" y="85891066"/>
          <a:ext cx="177321" cy="2766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tr-TR" sz="1800" b="0" i="0" strike="noStrike">
              <a:solidFill>
                <a:sysClr val="windowText" lastClr="000000"/>
              </a:solidFill>
              <a:latin typeface="Symbol"/>
            </a:rPr>
            <a:t>/</a:t>
          </a:r>
        </a:p>
      </xdr:txBody>
    </xdr:sp>
    <xdr:clientData/>
  </xdr:twoCellAnchor>
  <xdr:twoCellAnchor>
    <xdr:from>
      <xdr:col>0</xdr:col>
      <xdr:colOff>93058</xdr:colOff>
      <xdr:row>462</xdr:row>
      <xdr:rowOff>72107</xdr:rowOff>
    </xdr:from>
    <xdr:to>
      <xdr:col>2</xdr:col>
      <xdr:colOff>543243</xdr:colOff>
      <xdr:row>464</xdr:row>
      <xdr:rowOff>114493</xdr:rowOff>
    </xdr:to>
    <xdr:pic>
      <xdr:nvPicPr>
        <xdr:cNvPr id="130" name="Picture 231080">
          <a:extLst>
            <a:ext uri="{FF2B5EF4-FFF2-40B4-BE49-F238E27FC236}">
              <a16:creationId xmlns:a16="http://schemas.microsoft.com/office/drawing/2014/main" id="{00000000-0008-0000-0300-00008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93058" y="84796982"/>
          <a:ext cx="1459835" cy="394811"/>
        </a:xfrm>
        <a:prstGeom prst="rect">
          <a:avLst/>
        </a:prstGeom>
        <a:noFill/>
      </xdr:spPr>
    </xdr:pic>
    <xdr:clientData/>
  </xdr:twoCellAnchor>
  <xdr:twoCellAnchor>
    <xdr:from>
      <xdr:col>0</xdr:col>
      <xdr:colOff>82826</xdr:colOff>
      <xdr:row>465</xdr:row>
      <xdr:rowOff>16564</xdr:rowOff>
    </xdr:from>
    <xdr:to>
      <xdr:col>2</xdr:col>
      <xdr:colOff>299578</xdr:colOff>
      <xdr:row>466</xdr:row>
      <xdr:rowOff>16564</xdr:rowOff>
    </xdr:to>
    <xdr:pic>
      <xdr:nvPicPr>
        <xdr:cNvPr id="131" name="Picture 231082">
          <a:extLst>
            <a:ext uri="{FF2B5EF4-FFF2-40B4-BE49-F238E27FC236}">
              <a16:creationId xmlns:a16="http://schemas.microsoft.com/office/drawing/2014/main" id="{00000000-0008-0000-0300-00008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82826" y="85284364"/>
          <a:ext cx="1226402" cy="180975"/>
        </a:xfrm>
        <a:prstGeom prst="rect">
          <a:avLst/>
        </a:prstGeom>
        <a:noFill/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121</xdr:row>
          <xdr:rowOff>66675</xdr:rowOff>
        </xdr:from>
        <xdr:to>
          <xdr:col>3</xdr:col>
          <xdr:colOff>1209675</xdr:colOff>
          <xdr:row>216</xdr:row>
          <xdr:rowOff>171450</xdr:rowOff>
        </xdr:to>
        <xdr:sp macro="" textlink="">
          <xdr:nvSpPr>
            <xdr:cNvPr id="347164" name="Object 28" hidden="1">
              <a:extLst>
                <a:ext uri="{63B3BB69-23CF-44E3-9099-C40C66FF867C}">
                  <a14:compatExt spid="_x0000_s347164"/>
                </a:ext>
                <a:ext uri="{FF2B5EF4-FFF2-40B4-BE49-F238E27FC236}">
                  <a16:creationId xmlns:a16="http://schemas.microsoft.com/office/drawing/2014/main" id="{00000000-0008-0000-0300-00001C4C05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9</xdr:col>
      <xdr:colOff>614728</xdr:colOff>
      <xdr:row>116</xdr:row>
      <xdr:rowOff>30773</xdr:rowOff>
    </xdr:from>
    <xdr:to>
      <xdr:col>10</xdr:col>
      <xdr:colOff>27109</xdr:colOff>
      <xdr:row>116</xdr:row>
      <xdr:rowOff>183173</xdr:rowOff>
    </xdr:to>
    <xdr:sp macro="" textlink="">
      <xdr:nvSpPr>
        <xdr:cNvPr id="133" name="AutoShape 2829">
          <a:extLst>
            <a:ext uri="{FF2B5EF4-FFF2-40B4-BE49-F238E27FC236}">
              <a16:creationId xmlns:a16="http://schemas.microsoft.com/office/drawing/2014/main" id="{00000000-0008-0000-0300-000085000000}"/>
            </a:ext>
          </a:extLst>
        </xdr:cNvPr>
        <xdr:cNvSpPr>
          <a:spLocks noChangeArrowheads="1"/>
        </xdr:cNvSpPr>
      </xdr:nvSpPr>
      <xdr:spPr bwMode="auto">
        <a:xfrm>
          <a:off x="7129828" y="21700148"/>
          <a:ext cx="155331" cy="152400"/>
        </a:xfrm>
        <a:prstGeom prst="curvedLeftArrow">
          <a:avLst>
            <a:gd name="adj1" fmla="val 1185"/>
            <a:gd name="adj2" fmla="val 40000"/>
            <a:gd name="adj3" fmla="val 33333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9</xdr:col>
      <xdr:colOff>629383</xdr:colOff>
      <xdr:row>118</xdr:row>
      <xdr:rowOff>43229</xdr:rowOff>
    </xdr:from>
    <xdr:to>
      <xdr:col>10</xdr:col>
      <xdr:colOff>41764</xdr:colOff>
      <xdr:row>119</xdr:row>
      <xdr:rowOff>7327</xdr:rowOff>
    </xdr:to>
    <xdr:sp macro="" textlink="">
      <xdr:nvSpPr>
        <xdr:cNvPr id="134" name="AutoShape 2830">
          <a:extLst>
            <a:ext uri="{FF2B5EF4-FFF2-40B4-BE49-F238E27FC236}">
              <a16:creationId xmlns:a16="http://schemas.microsoft.com/office/drawing/2014/main" id="{00000000-0008-0000-0300-000086000000}"/>
            </a:ext>
          </a:extLst>
        </xdr:cNvPr>
        <xdr:cNvSpPr>
          <a:spLocks noChangeArrowheads="1"/>
        </xdr:cNvSpPr>
      </xdr:nvSpPr>
      <xdr:spPr bwMode="auto">
        <a:xfrm>
          <a:off x="7144483" y="22112654"/>
          <a:ext cx="155331" cy="164123"/>
        </a:xfrm>
        <a:prstGeom prst="curvedLeftArrow">
          <a:avLst>
            <a:gd name="adj1" fmla="val 1259"/>
            <a:gd name="adj2" fmla="val 42500"/>
            <a:gd name="adj3" fmla="val 33333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</xdr:col>
      <xdr:colOff>1030124</xdr:colOff>
      <xdr:row>117</xdr:row>
      <xdr:rowOff>29434</xdr:rowOff>
    </xdr:from>
    <xdr:to>
      <xdr:col>3</xdr:col>
      <xdr:colOff>1030124</xdr:colOff>
      <xdr:row>117</xdr:row>
      <xdr:rowOff>200884</xdr:rowOff>
    </xdr:to>
    <xdr:cxnSp macro="">
      <xdr:nvCxnSpPr>
        <xdr:cNvPr id="135" name="3776 Düz Bağlayıcı">
          <a:extLst>
            <a:ext uri="{FF2B5EF4-FFF2-40B4-BE49-F238E27FC236}">
              <a16:creationId xmlns:a16="http://schemas.microsoft.com/office/drawing/2014/main" id="{00000000-0008-0000-0300-000087000000}"/>
            </a:ext>
          </a:extLst>
        </xdr:cNvPr>
        <xdr:cNvCxnSpPr>
          <a:cxnSpLocks noChangeShapeType="1"/>
        </xdr:cNvCxnSpPr>
      </xdr:nvCxnSpPr>
      <xdr:spPr bwMode="auto">
        <a:xfrm rot="5400000">
          <a:off x="3230399" y="21984559"/>
          <a:ext cx="1714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9</xdr:col>
      <xdr:colOff>433551</xdr:colOff>
      <xdr:row>115</xdr:row>
      <xdr:rowOff>32845</xdr:rowOff>
    </xdr:from>
    <xdr:to>
      <xdr:col>10</xdr:col>
      <xdr:colOff>90651</xdr:colOff>
      <xdr:row>115</xdr:row>
      <xdr:rowOff>175720</xdr:rowOff>
    </xdr:to>
    <xdr:sp macro="" textlink="">
      <xdr:nvSpPr>
        <xdr:cNvPr id="136" name="AutoShape 2835">
          <a:extLst>
            <a:ext uri="{FF2B5EF4-FFF2-40B4-BE49-F238E27FC236}">
              <a16:creationId xmlns:a16="http://schemas.microsoft.com/office/drawing/2014/main" id="{00000000-0008-0000-0300-000088000000}"/>
            </a:ext>
          </a:extLst>
        </xdr:cNvPr>
        <xdr:cNvSpPr>
          <a:spLocks noChangeArrowheads="1"/>
        </xdr:cNvSpPr>
      </xdr:nvSpPr>
      <xdr:spPr bwMode="auto">
        <a:xfrm>
          <a:off x="6948651" y="21502195"/>
          <a:ext cx="400050" cy="142875"/>
        </a:xfrm>
        <a:prstGeom prst="curvedRightArrow">
          <a:avLst>
            <a:gd name="adj1" fmla="val 1185"/>
            <a:gd name="adj2" fmla="val 40000"/>
            <a:gd name="adj3" fmla="val 44444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9</xdr:col>
      <xdr:colOff>426982</xdr:colOff>
      <xdr:row>117</xdr:row>
      <xdr:rowOff>32845</xdr:rowOff>
    </xdr:from>
    <xdr:to>
      <xdr:col>10</xdr:col>
      <xdr:colOff>84082</xdr:colOff>
      <xdr:row>117</xdr:row>
      <xdr:rowOff>175720</xdr:rowOff>
    </xdr:to>
    <xdr:sp macro="" textlink="">
      <xdr:nvSpPr>
        <xdr:cNvPr id="137" name="AutoShape 2835">
          <a:extLst>
            <a:ext uri="{FF2B5EF4-FFF2-40B4-BE49-F238E27FC236}">
              <a16:creationId xmlns:a16="http://schemas.microsoft.com/office/drawing/2014/main" id="{00000000-0008-0000-0300-000089000000}"/>
            </a:ext>
          </a:extLst>
        </xdr:cNvPr>
        <xdr:cNvSpPr>
          <a:spLocks noChangeArrowheads="1"/>
        </xdr:cNvSpPr>
      </xdr:nvSpPr>
      <xdr:spPr bwMode="auto">
        <a:xfrm>
          <a:off x="6942082" y="21902245"/>
          <a:ext cx="400050" cy="142875"/>
        </a:xfrm>
        <a:prstGeom prst="curvedRightArrow">
          <a:avLst>
            <a:gd name="adj1" fmla="val 1185"/>
            <a:gd name="adj2" fmla="val 40000"/>
            <a:gd name="adj3" fmla="val 44444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10</xdr:col>
      <xdr:colOff>88050</xdr:colOff>
      <xdr:row>174</xdr:row>
      <xdr:rowOff>30773</xdr:rowOff>
    </xdr:from>
    <xdr:to>
      <xdr:col>10</xdr:col>
      <xdr:colOff>240020</xdr:colOff>
      <xdr:row>174</xdr:row>
      <xdr:rowOff>183173</xdr:rowOff>
    </xdr:to>
    <xdr:sp macro="" textlink="">
      <xdr:nvSpPr>
        <xdr:cNvPr id="138" name="AutoShape 2829">
          <a:extLst>
            <a:ext uri="{FF2B5EF4-FFF2-40B4-BE49-F238E27FC236}">
              <a16:creationId xmlns:a16="http://schemas.microsoft.com/office/drawing/2014/main" id="{00000000-0008-0000-0300-00008A000000}"/>
            </a:ext>
          </a:extLst>
        </xdr:cNvPr>
        <xdr:cNvSpPr>
          <a:spLocks noChangeArrowheads="1"/>
        </xdr:cNvSpPr>
      </xdr:nvSpPr>
      <xdr:spPr bwMode="auto">
        <a:xfrm>
          <a:off x="7346100" y="33034898"/>
          <a:ext cx="151970" cy="152400"/>
        </a:xfrm>
        <a:prstGeom prst="curvedLeftArrow">
          <a:avLst>
            <a:gd name="adj1" fmla="val 1185"/>
            <a:gd name="adj2" fmla="val 40000"/>
            <a:gd name="adj3" fmla="val 33333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9</xdr:col>
      <xdr:colOff>433551</xdr:colOff>
      <xdr:row>173</xdr:row>
      <xdr:rowOff>32845</xdr:rowOff>
    </xdr:from>
    <xdr:to>
      <xdr:col>10</xdr:col>
      <xdr:colOff>90651</xdr:colOff>
      <xdr:row>173</xdr:row>
      <xdr:rowOff>175720</xdr:rowOff>
    </xdr:to>
    <xdr:sp macro="" textlink="">
      <xdr:nvSpPr>
        <xdr:cNvPr id="139" name="AutoShape 2835">
          <a:extLst>
            <a:ext uri="{FF2B5EF4-FFF2-40B4-BE49-F238E27FC236}">
              <a16:creationId xmlns:a16="http://schemas.microsoft.com/office/drawing/2014/main" id="{00000000-0008-0000-0300-00008B000000}"/>
            </a:ext>
          </a:extLst>
        </xdr:cNvPr>
        <xdr:cNvSpPr>
          <a:spLocks noChangeArrowheads="1"/>
        </xdr:cNvSpPr>
      </xdr:nvSpPr>
      <xdr:spPr bwMode="auto">
        <a:xfrm>
          <a:off x="6948651" y="32836945"/>
          <a:ext cx="400050" cy="142875"/>
        </a:xfrm>
        <a:prstGeom prst="curvedRightArrow">
          <a:avLst>
            <a:gd name="adj1" fmla="val 1185"/>
            <a:gd name="adj2" fmla="val 40000"/>
            <a:gd name="adj3" fmla="val 44444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9</xdr:col>
      <xdr:colOff>549088</xdr:colOff>
      <xdr:row>181</xdr:row>
      <xdr:rowOff>33617</xdr:rowOff>
    </xdr:from>
    <xdr:to>
      <xdr:col>10</xdr:col>
      <xdr:colOff>206188</xdr:colOff>
      <xdr:row>181</xdr:row>
      <xdr:rowOff>176492</xdr:rowOff>
    </xdr:to>
    <xdr:sp macro="" textlink="">
      <xdr:nvSpPr>
        <xdr:cNvPr id="140" name="AutoShape 2835">
          <a:extLst>
            <a:ext uri="{FF2B5EF4-FFF2-40B4-BE49-F238E27FC236}">
              <a16:creationId xmlns:a16="http://schemas.microsoft.com/office/drawing/2014/main" id="{00000000-0008-0000-0300-00008C000000}"/>
            </a:ext>
          </a:extLst>
        </xdr:cNvPr>
        <xdr:cNvSpPr>
          <a:spLocks noChangeArrowheads="1"/>
        </xdr:cNvSpPr>
      </xdr:nvSpPr>
      <xdr:spPr bwMode="auto">
        <a:xfrm>
          <a:off x="7064188" y="34037867"/>
          <a:ext cx="400050" cy="142875"/>
        </a:xfrm>
        <a:prstGeom prst="curvedRightArrow">
          <a:avLst>
            <a:gd name="adj1" fmla="val 1185"/>
            <a:gd name="adj2" fmla="val 40000"/>
            <a:gd name="adj3" fmla="val 44444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</xdr:col>
      <xdr:colOff>1099684</xdr:colOff>
      <xdr:row>181</xdr:row>
      <xdr:rowOff>23232</xdr:rowOff>
    </xdr:from>
    <xdr:to>
      <xdr:col>3</xdr:col>
      <xdr:colOff>1099684</xdr:colOff>
      <xdr:row>181</xdr:row>
      <xdr:rowOff>193001</xdr:rowOff>
    </xdr:to>
    <xdr:cxnSp macro="">
      <xdr:nvCxnSpPr>
        <xdr:cNvPr id="141" name="3776 Düz Bağlayıcı">
          <a:extLst>
            <a:ext uri="{FF2B5EF4-FFF2-40B4-BE49-F238E27FC236}">
              <a16:creationId xmlns:a16="http://schemas.microsoft.com/office/drawing/2014/main" id="{00000000-0008-0000-0300-00008D000000}"/>
            </a:ext>
          </a:extLst>
        </xdr:cNvPr>
        <xdr:cNvCxnSpPr>
          <a:cxnSpLocks noChangeShapeType="1"/>
        </xdr:cNvCxnSpPr>
      </xdr:nvCxnSpPr>
      <xdr:spPr bwMode="auto">
        <a:xfrm rot="5400000">
          <a:off x="3300799" y="34112367"/>
          <a:ext cx="169769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3</xdr:col>
      <xdr:colOff>960782</xdr:colOff>
      <xdr:row>116</xdr:row>
      <xdr:rowOff>115957</xdr:rowOff>
    </xdr:from>
    <xdr:to>
      <xdr:col>4</xdr:col>
      <xdr:colOff>41413</xdr:colOff>
      <xdr:row>116</xdr:row>
      <xdr:rowOff>115957</xdr:rowOff>
    </xdr:to>
    <xdr:cxnSp macro="">
      <xdr:nvCxnSpPr>
        <xdr:cNvPr id="142" name="Straight Arrow Connector 141">
          <a:extLst>
            <a:ext uri="{FF2B5EF4-FFF2-40B4-BE49-F238E27FC236}">
              <a16:creationId xmlns:a16="http://schemas.microsoft.com/office/drawing/2014/main" id="{00000000-0008-0000-0300-00008E000000}"/>
            </a:ext>
          </a:extLst>
        </xdr:cNvPr>
        <xdr:cNvCxnSpPr/>
      </xdr:nvCxnSpPr>
      <xdr:spPr bwMode="auto">
        <a:xfrm>
          <a:off x="3246782" y="21785332"/>
          <a:ext cx="318881" cy="0"/>
        </a:xfrm>
        <a:prstGeom prst="straightConnector1">
          <a:avLst/>
        </a:pr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triangle"/>
        </a:ln>
        <a:effectLst/>
      </xdr:spPr>
    </xdr:cxnSp>
    <xdr:clientData/>
  </xdr:twoCellAnchor>
  <xdr:twoCellAnchor>
    <xdr:from>
      <xdr:col>3</xdr:col>
      <xdr:colOff>952499</xdr:colOff>
      <xdr:row>118</xdr:row>
      <xdr:rowOff>107674</xdr:rowOff>
    </xdr:from>
    <xdr:to>
      <xdr:col>4</xdr:col>
      <xdr:colOff>33130</xdr:colOff>
      <xdr:row>118</xdr:row>
      <xdr:rowOff>107674</xdr:rowOff>
    </xdr:to>
    <xdr:cxnSp macro="">
      <xdr:nvCxnSpPr>
        <xdr:cNvPr id="143" name="Straight Arrow Connector 142">
          <a:extLst>
            <a:ext uri="{FF2B5EF4-FFF2-40B4-BE49-F238E27FC236}">
              <a16:creationId xmlns:a16="http://schemas.microsoft.com/office/drawing/2014/main" id="{00000000-0008-0000-0300-00008F000000}"/>
            </a:ext>
          </a:extLst>
        </xdr:cNvPr>
        <xdr:cNvCxnSpPr/>
      </xdr:nvCxnSpPr>
      <xdr:spPr bwMode="auto">
        <a:xfrm>
          <a:off x="3238499" y="22177099"/>
          <a:ext cx="318881" cy="0"/>
        </a:xfrm>
        <a:prstGeom prst="straightConnector1">
          <a:avLst/>
        </a:pr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triangle"/>
        </a:ln>
        <a:effectLst/>
      </xdr:spPr>
    </xdr:cxnSp>
    <xdr:clientData/>
  </xdr:twoCellAnchor>
  <xdr:twoCellAnchor>
    <xdr:from>
      <xdr:col>3</xdr:col>
      <xdr:colOff>960783</xdr:colOff>
      <xdr:row>120</xdr:row>
      <xdr:rowOff>107674</xdr:rowOff>
    </xdr:from>
    <xdr:to>
      <xdr:col>4</xdr:col>
      <xdr:colOff>57979</xdr:colOff>
      <xdr:row>120</xdr:row>
      <xdr:rowOff>107675</xdr:rowOff>
    </xdr:to>
    <xdr:cxnSp macro="">
      <xdr:nvCxnSpPr>
        <xdr:cNvPr id="144" name="Straight Arrow Connector 143">
          <a:extLst>
            <a:ext uri="{FF2B5EF4-FFF2-40B4-BE49-F238E27FC236}">
              <a16:creationId xmlns:a16="http://schemas.microsoft.com/office/drawing/2014/main" id="{00000000-0008-0000-0300-000090000000}"/>
            </a:ext>
          </a:extLst>
        </xdr:cNvPr>
        <xdr:cNvCxnSpPr/>
      </xdr:nvCxnSpPr>
      <xdr:spPr bwMode="auto">
        <a:xfrm flipH="1" flipV="1">
          <a:off x="3246783" y="22577149"/>
          <a:ext cx="335446" cy="1"/>
        </a:xfrm>
        <a:prstGeom prst="straightConnector1">
          <a:avLst/>
        </a:pr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triangle"/>
        </a:ln>
        <a:effectLst/>
      </xdr:spPr>
    </xdr:cxnSp>
    <xdr:clientData/>
  </xdr:twoCellAnchor>
  <xdr:twoCellAnchor>
    <xdr:from>
      <xdr:col>3</xdr:col>
      <xdr:colOff>969064</xdr:colOff>
      <xdr:row>121</xdr:row>
      <xdr:rowOff>107674</xdr:rowOff>
    </xdr:from>
    <xdr:to>
      <xdr:col>4</xdr:col>
      <xdr:colOff>66260</xdr:colOff>
      <xdr:row>121</xdr:row>
      <xdr:rowOff>107675</xdr:rowOff>
    </xdr:to>
    <xdr:cxnSp macro="">
      <xdr:nvCxnSpPr>
        <xdr:cNvPr id="145" name="Straight Arrow Connector 144">
          <a:extLst>
            <a:ext uri="{FF2B5EF4-FFF2-40B4-BE49-F238E27FC236}">
              <a16:creationId xmlns:a16="http://schemas.microsoft.com/office/drawing/2014/main" id="{00000000-0008-0000-0300-000091000000}"/>
            </a:ext>
          </a:extLst>
        </xdr:cNvPr>
        <xdr:cNvCxnSpPr/>
      </xdr:nvCxnSpPr>
      <xdr:spPr bwMode="auto">
        <a:xfrm flipH="1" flipV="1">
          <a:off x="3255064" y="22777174"/>
          <a:ext cx="335446" cy="1"/>
        </a:xfrm>
        <a:prstGeom prst="straightConnector1">
          <a:avLst/>
        </a:pr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triangle"/>
        </a:ln>
        <a:effectLst/>
      </xdr:spPr>
    </xdr:cxnSp>
    <xdr:clientData/>
  </xdr:twoCellAnchor>
  <xdr:twoCellAnchor>
    <xdr:from>
      <xdr:col>3</xdr:col>
      <xdr:colOff>1010478</xdr:colOff>
      <xdr:row>113</xdr:row>
      <xdr:rowOff>16566</xdr:rowOff>
    </xdr:from>
    <xdr:to>
      <xdr:col>3</xdr:col>
      <xdr:colOff>1010478</xdr:colOff>
      <xdr:row>114</xdr:row>
      <xdr:rowOff>5798</xdr:rowOff>
    </xdr:to>
    <xdr:sp macro="" textlink="">
      <xdr:nvSpPr>
        <xdr:cNvPr id="146" name="Line 2881">
          <a:extLst>
            <a:ext uri="{FF2B5EF4-FFF2-40B4-BE49-F238E27FC236}">
              <a16:creationId xmlns:a16="http://schemas.microsoft.com/office/drawing/2014/main" id="{00000000-0008-0000-0300-000092000000}"/>
            </a:ext>
          </a:extLst>
        </xdr:cNvPr>
        <xdr:cNvSpPr>
          <a:spLocks noChangeShapeType="1"/>
        </xdr:cNvSpPr>
      </xdr:nvSpPr>
      <xdr:spPr bwMode="auto">
        <a:xfrm>
          <a:off x="3296478" y="21085866"/>
          <a:ext cx="0" cy="189257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xdr:twoCellAnchor>
    <xdr:from>
      <xdr:col>3</xdr:col>
      <xdr:colOff>1010477</xdr:colOff>
      <xdr:row>114</xdr:row>
      <xdr:rowOff>8283</xdr:rowOff>
    </xdr:from>
    <xdr:to>
      <xdr:col>3</xdr:col>
      <xdr:colOff>1010477</xdr:colOff>
      <xdr:row>114</xdr:row>
      <xdr:rowOff>196298</xdr:rowOff>
    </xdr:to>
    <xdr:sp macro="" textlink="">
      <xdr:nvSpPr>
        <xdr:cNvPr id="147" name="Line 2881">
          <a:extLst>
            <a:ext uri="{FF2B5EF4-FFF2-40B4-BE49-F238E27FC236}">
              <a16:creationId xmlns:a16="http://schemas.microsoft.com/office/drawing/2014/main" id="{00000000-0008-0000-0300-000093000000}"/>
            </a:ext>
          </a:extLst>
        </xdr:cNvPr>
        <xdr:cNvSpPr>
          <a:spLocks noChangeShapeType="1"/>
        </xdr:cNvSpPr>
      </xdr:nvSpPr>
      <xdr:spPr bwMode="auto">
        <a:xfrm>
          <a:off x="3296477" y="21277608"/>
          <a:ext cx="0" cy="18801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xdr:twoCellAnchor>
    <xdr:from>
      <xdr:col>3</xdr:col>
      <xdr:colOff>1018760</xdr:colOff>
      <xdr:row>114</xdr:row>
      <xdr:rowOff>190500</xdr:rowOff>
    </xdr:from>
    <xdr:to>
      <xdr:col>3</xdr:col>
      <xdr:colOff>1018760</xdr:colOff>
      <xdr:row>115</xdr:row>
      <xdr:rowOff>179733</xdr:rowOff>
    </xdr:to>
    <xdr:sp macro="" textlink="">
      <xdr:nvSpPr>
        <xdr:cNvPr id="148" name="Line 2881">
          <a:extLst>
            <a:ext uri="{FF2B5EF4-FFF2-40B4-BE49-F238E27FC236}">
              <a16:creationId xmlns:a16="http://schemas.microsoft.com/office/drawing/2014/main" id="{00000000-0008-0000-0300-000094000000}"/>
            </a:ext>
          </a:extLst>
        </xdr:cNvPr>
        <xdr:cNvSpPr>
          <a:spLocks noChangeShapeType="1"/>
        </xdr:cNvSpPr>
      </xdr:nvSpPr>
      <xdr:spPr bwMode="auto">
        <a:xfrm>
          <a:off x="3304760" y="21459825"/>
          <a:ext cx="0" cy="189258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xdr:twoCellAnchor>
    <xdr:from>
      <xdr:col>3</xdr:col>
      <xdr:colOff>952500</xdr:colOff>
      <xdr:row>174</xdr:row>
      <xdr:rowOff>114300</xdr:rowOff>
    </xdr:from>
    <xdr:to>
      <xdr:col>4</xdr:col>
      <xdr:colOff>33131</xdr:colOff>
      <xdr:row>174</xdr:row>
      <xdr:rowOff>114300</xdr:rowOff>
    </xdr:to>
    <xdr:cxnSp macro="">
      <xdr:nvCxnSpPr>
        <xdr:cNvPr id="149" name="Straight Arrow Connector 148">
          <a:extLst>
            <a:ext uri="{FF2B5EF4-FFF2-40B4-BE49-F238E27FC236}">
              <a16:creationId xmlns:a16="http://schemas.microsoft.com/office/drawing/2014/main" id="{00000000-0008-0000-0300-000095000000}"/>
            </a:ext>
          </a:extLst>
        </xdr:cNvPr>
        <xdr:cNvCxnSpPr/>
      </xdr:nvCxnSpPr>
      <xdr:spPr bwMode="auto">
        <a:xfrm>
          <a:off x="3238500" y="33118425"/>
          <a:ext cx="318881" cy="0"/>
        </a:xfrm>
        <a:prstGeom prst="straightConnector1">
          <a:avLst/>
        </a:pr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triangle"/>
        </a:ln>
        <a:effectLst/>
      </xdr:spPr>
    </xdr:cxnSp>
    <xdr:clientData/>
  </xdr:twoCellAnchor>
  <xdr:twoCellAnchor>
    <xdr:from>
      <xdr:col>3</xdr:col>
      <xdr:colOff>952500</xdr:colOff>
      <xdr:row>175</xdr:row>
      <xdr:rowOff>114300</xdr:rowOff>
    </xdr:from>
    <xdr:to>
      <xdr:col>4</xdr:col>
      <xdr:colOff>33131</xdr:colOff>
      <xdr:row>175</xdr:row>
      <xdr:rowOff>114300</xdr:rowOff>
    </xdr:to>
    <xdr:cxnSp macro="">
      <xdr:nvCxnSpPr>
        <xdr:cNvPr id="150" name="Straight Arrow Connector 149">
          <a:extLst>
            <a:ext uri="{FF2B5EF4-FFF2-40B4-BE49-F238E27FC236}">
              <a16:creationId xmlns:a16="http://schemas.microsoft.com/office/drawing/2014/main" id="{00000000-0008-0000-0300-000096000000}"/>
            </a:ext>
          </a:extLst>
        </xdr:cNvPr>
        <xdr:cNvCxnSpPr/>
      </xdr:nvCxnSpPr>
      <xdr:spPr bwMode="auto">
        <a:xfrm>
          <a:off x="3238500" y="33318450"/>
          <a:ext cx="318881" cy="0"/>
        </a:xfrm>
        <a:prstGeom prst="straightConnector1">
          <a:avLst/>
        </a:pr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triangle"/>
        </a:ln>
        <a:effectLst/>
      </xdr:spPr>
    </xdr:cxnSp>
    <xdr:clientData/>
  </xdr:twoCellAnchor>
  <xdr:twoCellAnchor>
    <xdr:from>
      <xdr:col>3</xdr:col>
      <xdr:colOff>952500</xdr:colOff>
      <xdr:row>176</xdr:row>
      <xdr:rowOff>104775</xdr:rowOff>
    </xdr:from>
    <xdr:to>
      <xdr:col>4</xdr:col>
      <xdr:colOff>33131</xdr:colOff>
      <xdr:row>176</xdr:row>
      <xdr:rowOff>104775</xdr:rowOff>
    </xdr:to>
    <xdr:cxnSp macro="">
      <xdr:nvCxnSpPr>
        <xdr:cNvPr id="151" name="Straight Arrow Connector 150">
          <a:extLst>
            <a:ext uri="{FF2B5EF4-FFF2-40B4-BE49-F238E27FC236}">
              <a16:creationId xmlns:a16="http://schemas.microsoft.com/office/drawing/2014/main" id="{00000000-0008-0000-0300-000097000000}"/>
            </a:ext>
          </a:extLst>
        </xdr:cNvPr>
        <xdr:cNvCxnSpPr/>
      </xdr:nvCxnSpPr>
      <xdr:spPr bwMode="auto">
        <a:xfrm>
          <a:off x="3238500" y="33508950"/>
          <a:ext cx="318881" cy="0"/>
        </a:xfrm>
        <a:prstGeom prst="straightConnector1">
          <a:avLst/>
        </a:pr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triangle"/>
        </a:ln>
        <a:effectLst/>
      </xdr:spPr>
    </xdr:cxnSp>
    <xdr:clientData/>
  </xdr:twoCellAnchor>
  <xdr:twoCellAnchor>
    <xdr:from>
      <xdr:col>3</xdr:col>
      <xdr:colOff>962025</xdr:colOff>
      <xdr:row>177</xdr:row>
      <xdr:rowOff>104775</xdr:rowOff>
    </xdr:from>
    <xdr:to>
      <xdr:col>4</xdr:col>
      <xdr:colOff>42656</xdr:colOff>
      <xdr:row>177</xdr:row>
      <xdr:rowOff>104775</xdr:rowOff>
    </xdr:to>
    <xdr:cxnSp macro="">
      <xdr:nvCxnSpPr>
        <xdr:cNvPr id="152" name="Straight Arrow Connector 151">
          <a:extLst>
            <a:ext uri="{FF2B5EF4-FFF2-40B4-BE49-F238E27FC236}">
              <a16:creationId xmlns:a16="http://schemas.microsoft.com/office/drawing/2014/main" id="{00000000-0008-0000-0300-000098000000}"/>
            </a:ext>
          </a:extLst>
        </xdr:cNvPr>
        <xdr:cNvCxnSpPr/>
      </xdr:nvCxnSpPr>
      <xdr:spPr bwMode="auto">
        <a:xfrm>
          <a:off x="3248025" y="33708975"/>
          <a:ext cx="318881" cy="0"/>
        </a:xfrm>
        <a:prstGeom prst="straightConnector1">
          <a:avLst/>
        </a:pr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triangle"/>
        </a:ln>
        <a:effectLst/>
      </xdr:spPr>
    </xdr:cxnSp>
    <xdr:clientData/>
  </xdr:twoCellAnchor>
  <xdr:twoCellAnchor>
    <xdr:from>
      <xdr:col>3</xdr:col>
      <xdr:colOff>942975</xdr:colOff>
      <xdr:row>180</xdr:row>
      <xdr:rowOff>104775</xdr:rowOff>
    </xdr:from>
    <xdr:to>
      <xdr:col>4</xdr:col>
      <xdr:colOff>23606</xdr:colOff>
      <xdr:row>180</xdr:row>
      <xdr:rowOff>104775</xdr:rowOff>
    </xdr:to>
    <xdr:cxnSp macro="">
      <xdr:nvCxnSpPr>
        <xdr:cNvPr id="153" name="Straight Arrow Connector 152">
          <a:extLst>
            <a:ext uri="{FF2B5EF4-FFF2-40B4-BE49-F238E27FC236}">
              <a16:creationId xmlns:a16="http://schemas.microsoft.com/office/drawing/2014/main" id="{00000000-0008-0000-0300-000099000000}"/>
            </a:ext>
          </a:extLst>
        </xdr:cNvPr>
        <xdr:cNvCxnSpPr/>
      </xdr:nvCxnSpPr>
      <xdr:spPr bwMode="auto">
        <a:xfrm>
          <a:off x="3228975" y="33909000"/>
          <a:ext cx="318881" cy="0"/>
        </a:xfrm>
        <a:prstGeom prst="straightConnector1">
          <a:avLst/>
        </a:pr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triangle"/>
        </a:ln>
        <a:effectLst/>
      </xdr:spPr>
    </xdr:cxnSp>
    <xdr:clientData/>
  </xdr:twoCellAnchor>
  <xdr:twoCellAnchor>
    <xdr:from>
      <xdr:col>3</xdr:col>
      <xdr:colOff>933450</xdr:colOff>
      <xdr:row>183</xdr:row>
      <xdr:rowOff>114300</xdr:rowOff>
    </xdr:from>
    <xdr:to>
      <xdr:col>4</xdr:col>
      <xdr:colOff>30646</xdr:colOff>
      <xdr:row>183</xdr:row>
      <xdr:rowOff>114301</xdr:rowOff>
    </xdr:to>
    <xdr:cxnSp macro="">
      <xdr:nvCxnSpPr>
        <xdr:cNvPr id="154" name="Straight Arrow Connector 153">
          <a:extLst>
            <a:ext uri="{FF2B5EF4-FFF2-40B4-BE49-F238E27FC236}">
              <a16:creationId xmlns:a16="http://schemas.microsoft.com/office/drawing/2014/main" id="{00000000-0008-0000-0300-00009A000000}"/>
            </a:ext>
          </a:extLst>
        </xdr:cNvPr>
        <xdr:cNvCxnSpPr/>
      </xdr:nvCxnSpPr>
      <xdr:spPr bwMode="auto">
        <a:xfrm flipH="1" flipV="1">
          <a:off x="3219450" y="34518600"/>
          <a:ext cx="335446" cy="1"/>
        </a:xfrm>
        <a:prstGeom prst="straightConnector1">
          <a:avLst/>
        </a:pr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triangle"/>
        </a:ln>
        <a:effectLst/>
      </xdr:spPr>
    </xdr:cxnSp>
    <xdr:clientData/>
  </xdr:twoCellAnchor>
  <xdr:twoCellAnchor>
    <xdr:from>
      <xdr:col>3</xdr:col>
      <xdr:colOff>962025</xdr:colOff>
      <xdr:row>184</xdr:row>
      <xdr:rowOff>133350</xdr:rowOff>
    </xdr:from>
    <xdr:to>
      <xdr:col>4</xdr:col>
      <xdr:colOff>59221</xdr:colOff>
      <xdr:row>184</xdr:row>
      <xdr:rowOff>133351</xdr:rowOff>
    </xdr:to>
    <xdr:cxnSp macro="">
      <xdr:nvCxnSpPr>
        <xdr:cNvPr id="155" name="Straight Arrow Connector 154">
          <a:extLst>
            <a:ext uri="{FF2B5EF4-FFF2-40B4-BE49-F238E27FC236}">
              <a16:creationId xmlns:a16="http://schemas.microsoft.com/office/drawing/2014/main" id="{00000000-0008-0000-0300-00009B000000}"/>
            </a:ext>
          </a:extLst>
        </xdr:cNvPr>
        <xdr:cNvCxnSpPr/>
      </xdr:nvCxnSpPr>
      <xdr:spPr bwMode="auto">
        <a:xfrm flipH="1" flipV="1">
          <a:off x="3248025" y="34737675"/>
          <a:ext cx="335446" cy="1"/>
        </a:xfrm>
        <a:prstGeom prst="straightConnector1">
          <a:avLst/>
        </a:pr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triangle"/>
        </a:ln>
        <a:effectLst/>
      </xdr:spPr>
    </xdr:cxnSp>
    <xdr:clientData/>
  </xdr:twoCellAnchor>
  <xdr:twoCellAnchor>
    <xdr:from>
      <xdr:col>9</xdr:col>
      <xdr:colOff>457200</xdr:colOff>
      <xdr:row>226</xdr:row>
      <xdr:rowOff>38100</xdr:rowOff>
    </xdr:from>
    <xdr:to>
      <xdr:col>10</xdr:col>
      <xdr:colOff>114300</xdr:colOff>
      <xdr:row>226</xdr:row>
      <xdr:rowOff>180975</xdr:rowOff>
    </xdr:to>
    <xdr:sp macro="" textlink="">
      <xdr:nvSpPr>
        <xdr:cNvPr id="156" name="AutoShape 2839">
          <a:extLst>
            <a:ext uri="{FF2B5EF4-FFF2-40B4-BE49-F238E27FC236}">
              <a16:creationId xmlns:a16="http://schemas.microsoft.com/office/drawing/2014/main" id="{00000000-0008-0000-0300-00009C000000}"/>
            </a:ext>
          </a:extLst>
        </xdr:cNvPr>
        <xdr:cNvSpPr>
          <a:spLocks noChangeArrowheads="1"/>
        </xdr:cNvSpPr>
      </xdr:nvSpPr>
      <xdr:spPr bwMode="auto">
        <a:xfrm>
          <a:off x="6972300" y="42681525"/>
          <a:ext cx="400050" cy="142875"/>
        </a:xfrm>
        <a:prstGeom prst="curvedRightArrow">
          <a:avLst>
            <a:gd name="adj1" fmla="val 1185"/>
            <a:gd name="adj2" fmla="val 40000"/>
            <a:gd name="adj3" fmla="val 44444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9</xdr:col>
      <xdr:colOff>457200</xdr:colOff>
      <xdr:row>227</xdr:row>
      <xdr:rowOff>38100</xdr:rowOff>
    </xdr:from>
    <xdr:to>
      <xdr:col>10</xdr:col>
      <xdr:colOff>114300</xdr:colOff>
      <xdr:row>227</xdr:row>
      <xdr:rowOff>180975</xdr:rowOff>
    </xdr:to>
    <xdr:sp macro="" textlink="">
      <xdr:nvSpPr>
        <xdr:cNvPr id="157" name="AutoShape 2840">
          <a:extLst>
            <a:ext uri="{FF2B5EF4-FFF2-40B4-BE49-F238E27FC236}">
              <a16:creationId xmlns:a16="http://schemas.microsoft.com/office/drawing/2014/main" id="{00000000-0008-0000-0300-00009D000000}"/>
            </a:ext>
          </a:extLst>
        </xdr:cNvPr>
        <xdr:cNvSpPr>
          <a:spLocks noChangeArrowheads="1"/>
        </xdr:cNvSpPr>
      </xdr:nvSpPr>
      <xdr:spPr bwMode="auto">
        <a:xfrm>
          <a:off x="6972300" y="42891075"/>
          <a:ext cx="400050" cy="142875"/>
        </a:xfrm>
        <a:prstGeom prst="curvedRightArrow">
          <a:avLst>
            <a:gd name="adj1" fmla="val 1185"/>
            <a:gd name="adj2" fmla="val 40000"/>
            <a:gd name="adj3" fmla="val 44444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9</xdr:col>
      <xdr:colOff>457200</xdr:colOff>
      <xdr:row>228</xdr:row>
      <xdr:rowOff>38100</xdr:rowOff>
    </xdr:from>
    <xdr:to>
      <xdr:col>10</xdr:col>
      <xdr:colOff>114300</xdr:colOff>
      <xdr:row>228</xdr:row>
      <xdr:rowOff>180975</xdr:rowOff>
    </xdr:to>
    <xdr:sp macro="" textlink="">
      <xdr:nvSpPr>
        <xdr:cNvPr id="158" name="AutoShape 2841">
          <a:extLst>
            <a:ext uri="{FF2B5EF4-FFF2-40B4-BE49-F238E27FC236}">
              <a16:creationId xmlns:a16="http://schemas.microsoft.com/office/drawing/2014/main" id="{00000000-0008-0000-0300-00009E000000}"/>
            </a:ext>
          </a:extLst>
        </xdr:cNvPr>
        <xdr:cNvSpPr>
          <a:spLocks noChangeArrowheads="1"/>
        </xdr:cNvSpPr>
      </xdr:nvSpPr>
      <xdr:spPr bwMode="auto">
        <a:xfrm>
          <a:off x="6972300" y="43091100"/>
          <a:ext cx="400050" cy="142875"/>
        </a:xfrm>
        <a:prstGeom prst="curvedRightArrow">
          <a:avLst>
            <a:gd name="adj1" fmla="val 1185"/>
            <a:gd name="adj2" fmla="val 40000"/>
            <a:gd name="adj3" fmla="val 44444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10</xdr:col>
      <xdr:colOff>114300</xdr:colOff>
      <xdr:row>229</xdr:row>
      <xdr:rowOff>28575</xdr:rowOff>
    </xdr:from>
    <xdr:to>
      <xdr:col>10</xdr:col>
      <xdr:colOff>266700</xdr:colOff>
      <xdr:row>229</xdr:row>
      <xdr:rowOff>190500</xdr:rowOff>
    </xdr:to>
    <xdr:sp macro="" textlink="">
      <xdr:nvSpPr>
        <xdr:cNvPr id="159" name="AutoShape 2864">
          <a:extLst>
            <a:ext uri="{FF2B5EF4-FFF2-40B4-BE49-F238E27FC236}">
              <a16:creationId xmlns:a16="http://schemas.microsoft.com/office/drawing/2014/main" id="{00000000-0008-0000-0300-00009F000000}"/>
            </a:ext>
          </a:extLst>
        </xdr:cNvPr>
        <xdr:cNvSpPr>
          <a:spLocks noChangeArrowheads="1"/>
        </xdr:cNvSpPr>
      </xdr:nvSpPr>
      <xdr:spPr bwMode="auto">
        <a:xfrm>
          <a:off x="7372350" y="43681650"/>
          <a:ext cx="152400" cy="161925"/>
        </a:xfrm>
        <a:prstGeom prst="curvedLeftArrow">
          <a:avLst>
            <a:gd name="adj1" fmla="val 1259"/>
            <a:gd name="adj2" fmla="val 42500"/>
            <a:gd name="adj3" fmla="val 33333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10</xdr:col>
      <xdr:colOff>114300</xdr:colOff>
      <xdr:row>230</xdr:row>
      <xdr:rowOff>28575</xdr:rowOff>
    </xdr:from>
    <xdr:to>
      <xdr:col>10</xdr:col>
      <xdr:colOff>266700</xdr:colOff>
      <xdr:row>230</xdr:row>
      <xdr:rowOff>190500</xdr:rowOff>
    </xdr:to>
    <xdr:sp macro="" textlink="">
      <xdr:nvSpPr>
        <xdr:cNvPr id="160" name="AutoShape 2866">
          <a:extLst>
            <a:ext uri="{FF2B5EF4-FFF2-40B4-BE49-F238E27FC236}">
              <a16:creationId xmlns:a16="http://schemas.microsoft.com/office/drawing/2014/main" id="{00000000-0008-0000-0300-0000A0000000}"/>
            </a:ext>
          </a:extLst>
        </xdr:cNvPr>
        <xdr:cNvSpPr>
          <a:spLocks noChangeArrowheads="1"/>
        </xdr:cNvSpPr>
      </xdr:nvSpPr>
      <xdr:spPr bwMode="auto">
        <a:xfrm>
          <a:off x="7372350" y="43881675"/>
          <a:ext cx="152400" cy="161925"/>
        </a:xfrm>
        <a:prstGeom prst="curvedLeftArrow">
          <a:avLst>
            <a:gd name="adj1" fmla="val 1259"/>
            <a:gd name="adj2" fmla="val 42500"/>
            <a:gd name="adj3" fmla="val 33333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10</xdr:col>
      <xdr:colOff>104775</xdr:colOff>
      <xdr:row>231</xdr:row>
      <xdr:rowOff>28575</xdr:rowOff>
    </xdr:from>
    <xdr:to>
      <xdr:col>10</xdr:col>
      <xdr:colOff>257175</xdr:colOff>
      <xdr:row>231</xdr:row>
      <xdr:rowOff>190500</xdr:rowOff>
    </xdr:to>
    <xdr:sp macro="" textlink="">
      <xdr:nvSpPr>
        <xdr:cNvPr id="161" name="AutoShape 2867">
          <a:extLst>
            <a:ext uri="{FF2B5EF4-FFF2-40B4-BE49-F238E27FC236}">
              <a16:creationId xmlns:a16="http://schemas.microsoft.com/office/drawing/2014/main" id="{00000000-0008-0000-0300-0000A1000000}"/>
            </a:ext>
          </a:extLst>
        </xdr:cNvPr>
        <xdr:cNvSpPr>
          <a:spLocks noChangeArrowheads="1"/>
        </xdr:cNvSpPr>
      </xdr:nvSpPr>
      <xdr:spPr bwMode="auto">
        <a:xfrm>
          <a:off x="7362825" y="44081700"/>
          <a:ext cx="152400" cy="161925"/>
        </a:xfrm>
        <a:prstGeom prst="curvedLeftArrow">
          <a:avLst>
            <a:gd name="adj1" fmla="val 1259"/>
            <a:gd name="adj2" fmla="val 42500"/>
            <a:gd name="adj3" fmla="val 33333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</xdr:col>
      <xdr:colOff>1081447</xdr:colOff>
      <xdr:row>226</xdr:row>
      <xdr:rowOff>61857</xdr:rowOff>
    </xdr:from>
    <xdr:to>
      <xdr:col>3</xdr:col>
      <xdr:colOff>1089121</xdr:colOff>
      <xdr:row>229</xdr:row>
      <xdr:rowOff>0</xdr:rowOff>
    </xdr:to>
    <xdr:grpSp>
      <xdr:nvGrpSpPr>
        <xdr:cNvPr id="162" name="4723 Grup">
          <a:extLst>
            <a:ext uri="{FF2B5EF4-FFF2-40B4-BE49-F238E27FC236}">
              <a16:creationId xmlns:a16="http://schemas.microsoft.com/office/drawing/2014/main" id="{00000000-0008-0000-0300-0000A2000000}"/>
            </a:ext>
          </a:extLst>
        </xdr:cNvPr>
        <xdr:cNvGrpSpPr>
          <a:grpSpLocks/>
        </xdr:cNvGrpSpPr>
      </xdr:nvGrpSpPr>
      <xdr:grpSpPr bwMode="auto">
        <a:xfrm>
          <a:off x="3367447" y="20883507"/>
          <a:ext cx="7674" cy="547743"/>
          <a:chOff x="-214166" y="32337237"/>
          <a:chExt cx="1936" cy="634088"/>
        </a:xfrm>
      </xdr:grpSpPr>
      <xdr:sp macro="" textlink="">
        <xdr:nvSpPr>
          <xdr:cNvPr id="163" name="Line 2893">
            <a:extLst>
              <a:ext uri="{FF2B5EF4-FFF2-40B4-BE49-F238E27FC236}">
                <a16:creationId xmlns:a16="http://schemas.microsoft.com/office/drawing/2014/main" id="{00000000-0008-0000-0300-0000A3000000}"/>
              </a:ext>
            </a:extLst>
          </xdr:cNvPr>
          <xdr:cNvSpPr>
            <a:spLocks noChangeShapeType="1"/>
          </xdr:cNvSpPr>
        </xdr:nvSpPr>
        <xdr:spPr bwMode="auto">
          <a:xfrm>
            <a:off x="-214166" y="32337237"/>
            <a:ext cx="0" cy="172810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 type="triangle" w="med" len="med"/>
          </a:ln>
        </xdr:spPr>
      </xdr:sp>
      <xdr:sp macro="" textlink="">
        <xdr:nvSpPr>
          <xdr:cNvPr id="164" name="Line 2899">
            <a:extLst>
              <a:ext uri="{FF2B5EF4-FFF2-40B4-BE49-F238E27FC236}">
                <a16:creationId xmlns:a16="http://schemas.microsoft.com/office/drawing/2014/main" id="{00000000-0008-0000-0300-0000A4000000}"/>
              </a:ext>
            </a:extLst>
          </xdr:cNvPr>
          <xdr:cNvSpPr>
            <a:spLocks noChangeShapeType="1"/>
          </xdr:cNvSpPr>
        </xdr:nvSpPr>
        <xdr:spPr bwMode="auto">
          <a:xfrm>
            <a:off x="-212230" y="32776744"/>
            <a:ext cx="0" cy="194581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 type="triangle" w="med" len="med"/>
          </a:ln>
        </xdr:spPr>
        <xdr:txBody>
          <a:bodyPr/>
          <a:lstStyle/>
          <a:p>
            <a:endParaRPr lang="en-US"/>
          </a:p>
        </xdr:txBody>
      </xdr:sp>
      <xdr:sp macro="" textlink="">
        <xdr:nvSpPr>
          <xdr:cNvPr id="165" name="Line 2900">
            <a:extLst>
              <a:ext uri="{FF2B5EF4-FFF2-40B4-BE49-F238E27FC236}">
                <a16:creationId xmlns:a16="http://schemas.microsoft.com/office/drawing/2014/main" id="{00000000-0008-0000-0300-0000A5000000}"/>
              </a:ext>
            </a:extLst>
          </xdr:cNvPr>
          <xdr:cNvSpPr>
            <a:spLocks noChangeShapeType="1"/>
          </xdr:cNvSpPr>
        </xdr:nvSpPr>
        <xdr:spPr bwMode="auto">
          <a:xfrm>
            <a:off x="-213253" y="32520807"/>
            <a:ext cx="0" cy="204107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 type="triangle" w="med" len="med"/>
          </a:ln>
        </xdr:spPr>
      </xdr:sp>
    </xdr:grpSp>
    <xdr:clientData/>
  </xdr:twoCellAnchor>
  <xdr:twoCellAnchor>
    <xdr:from>
      <xdr:col>10</xdr:col>
      <xdr:colOff>104775</xdr:colOff>
      <xdr:row>242</xdr:row>
      <xdr:rowOff>28575</xdr:rowOff>
    </xdr:from>
    <xdr:to>
      <xdr:col>10</xdr:col>
      <xdr:colOff>257175</xdr:colOff>
      <xdr:row>242</xdr:row>
      <xdr:rowOff>190500</xdr:rowOff>
    </xdr:to>
    <xdr:sp macro="" textlink="">
      <xdr:nvSpPr>
        <xdr:cNvPr id="166" name="AutoShape 2868">
          <a:extLst>
            <a:ext uri="{FF2B5EF4-FFF2-40B4-BE49-F238E27FC236}">
              <a16:creationId xmlns:a16="http://schemas.microsoft.com/office/drawing/2014/main" id="{00000000-0008-0000-0300-0000A6000000}"/>
            </a:ext>
          </a:extLst>
        </xdr:cNvPr>
        <xdr:cNvSpPr>
          <a:spLocks noChangeArrowheads="1"/>
        </xdr:cNvSpPr>
      </xdr:nvSpPr>
      <xdr:spPr bwMode="auto">
        <a:xfrm>
          <a:off x="7362825" y="44281725"/>
          <a:ext cx="152400" cy="161925"/>
        </a:xfrm>
        <a:prstGeom prst="curvedLeftArrow">
          <a:avLst>
            <a:gd name="adj1" fmla="val 1259"/>
            <a:gd name="adj2" fmla="val 42500"/>
            <a:gd name="adj3" fmla="val 33333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95250</xdr:colOff>
          <xdr:row>260</xdr:row>
          <xdr:rowOff>38100</xdr:rowOff>
        </xdr:from>
        <xdr:to>
          <xdr:col>7</xdr:col>
          <xdr:colOff>285750</xdr:colOff>
          <xdr:row>263</xdr:row>
          <xdr:rowOff>142875</xdr:rowOff>
        </xdr:to>
        <xdr:sp macro="" textlink="">
          <xdr:nvSpPr>
            <xdr:cNvPr id="347165" name="Object 29" hidden="1">
              <a:extLst>
                <a:ext uri="{63B3BB69-23CF-44E3-9099-C40C66FF867C}">
                  <a14:compatExt spid="_x0000_s347165"/>
                </a:ext>
                <a:ext uri="{FF2B5EF4-FFF2-40B4-BE49-F238E27FC236}">
                  <a16:creationId xmlns:a16="http://schemas.microsoft.com/office/drawing/2014/main" id="{00000000-0008-0000-0300-00001D4C05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264</xdr:row>
          <xdr:rowOff>9525</xdr:rowOff>
        </xdr:from>
        <xdr:to>
          <xdr:col>0</xdr:col>
          <xdr:colOff>438150</xdr:colOff>
          <xdr:row>265</xdr:row>
          <xdr:rowOff>9525</xdr:rowOff>
        </xdr:to>
        <xdr:sp macro="" textlink="">
          <xdr:nvSpPr>
            <xdr:cNvPr id="347166" name="Object 30" hidden="1">
              <a:extLst>
                <a:ext uri="{63B3BB69-23CF-44E3-9099-C40C66FF867C}">
                  <a14:compatExt spid="_x0000_s347166"/>
                </a:ext>
                <a:ext uri="{FF2B5EF4-FFF2-40B4-BE49-F238E27FC236}">
                  <a16:creationId xmlns:a16="http://schemas.microsoft.com/office/drawing/2014/main" id="{00000000-0008-0000-0300-00001E4C05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333375</xdr:colOff>
          <xdr:row>264</xdr:row>
          <xdr:rowOff>0</xdr:rowOff>
        </xdr:from>
        <xdr:to>
          <xdr:col>2</xdr:col>
          <xdr:colOff>304800</xdr:colOff>
          <xdr:row>265</xdr:row>
          <xdr:rowOff>0</xdr:rowOff>
        </xdr:to>
        <xdr:sp macro="" textlink="">
          <xdr:nvSpPr>
            <xdr:cNvPr id="347167" name="Object 31" hidden="1">
              <a:extLst>
                <a:ext uri="{63B3BB69-23CF-44E3-9099-C40C66FF867C}">
                  <a14:compatExt spid="_x0000_s347167"/>
                </a:ext>
                <a:ext uri="{FF2B5EF4-FFF2-40B4-BE49-F238E27FC236}">
                  <a16:creationId xmlns:a16="http://schemas.microsoft.com/office/drawing/2014/main" id="{00000000-0008-0000-0300-00001F4C05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295275</xdr:colOff>
          <xdr:row>268</xdr:row>
          <xdr:rowOff>19050</xdr:rowOff>
        </xdr:from>
        <xdr:to>
          <xdr:col>6</xdr:col>
          <xdr:colOff>104775</xdr:colOff>
          <xdr:row>268</xdr:row>
          <xdr:rowOff>419100</xdr:rowOff>
        </xdr:to>
        <xdr:sp macro="" textlink="">
          <xdr:nvSpPr>
            <xdr:cNvPr id="347168" name="Object 32" hidden="1">
              <a:extLst>
                <a:ext uri="{63B3BB69-23CF-44E3-9099-C40C66FF867C}">
                  <a14:compatExt spid="_x0000_s347168"/>
                </a:ext>
                <a:ext uri="{FF2B5EF4-FFF2-40B4-BE49-F238E27FC236}">
                  <a16:creationId xmlns:a16="http://schemas.microsoft.com/office/drawing/2014/main" id="{00000000-0008-0000-0300-0000204C05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228600</xdr:colOff>
          <xdr:row>272</xdr:row>
          <xdr:rowOff>171450</xdr:rowOff>
        </xdr:from>
        <xdr:to>
          <xdr:col>6</xdr:col>
          <xdr:colOff>371475</xdr:colOff>
          <xdr:row>274</xdr:row>
          <xdr:rowOff>9525</xdr:rowOff>
        </xdr:to>
        <xdr:sp macro="" textlink="">
          <xdr:nvSpPr>
            <xdr:cNvPr id="347169" name="Object 33" hidden="1">
              <a:extLst>
                <a:ext uri="{63B3BB69-23CF-44E3-9099-C40C66FF867C}">
                  <a14:compatExt spid="_x0000_s347169"/>
                </a:ext>
                <a:ext uri="{FF2B5EF4-FFF2-40B4-BE49-F238E27FC236}">
                  <a16:creationId xmlns:a16="http://schemas.microsoft.com/office/drawing/2014/main" id="{00000000-0008-0000-0300-0000214C05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twoCellAnchor>
    <xdr:from>
      <xdr:col>3</xdr:col>
      <xdr:colOff>1093391</xdr:colOff>
      <xdr:row>254</xdr:row>
      <xdr:rowOff>9611</xdr:rowOff>
    </xdr:from>
    <xdr:to>
      <xdr:col>3</xdr:col>
      <xdr:colOff>1093391</xdr:colOff>
      <xdr:row>254</xdr:row>
      <xdr:rowOff>181061</xdr:rowOff>
    </xdr:to>
    <xdr:cxnSp macro="">
      <xdr:nvCxnSpPr>
        <xdr:cNvPr id="172" name="3776 Düz Bağlayıcı">
          <a:extLst>
            <a:ext uri="{FF2B5EF4-FFF2-40B4-BE49-F238E27FC236}">
              <a16:creationId xmlns:a16="http://schemas.microsoft.com/office/drawing/2014/main" id="{00000000-0008-0000-0300-0000AC000000}"/>
            </a:ext>
          </a:extLst>
        </xdr:cNvPr>
        <xdr:cNvCxnSpPr>
          <a:cxnSpLocks noChangeShapeType="1"/>
        </xdr:cNvCxnSpPr>
      </xdr:nvCxnSpPr>
      <xdr:spPr bwMode="auto">
        <a:xfrm rot="5400000">
          <a:off x="3293666" y="44948561"/>
          <a:ext cx="1714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10</xdr:col>
      <xdr:colOff>111264</xdr:colOff>
      <xdr:row>233</xdr:row>
      <xdr:rowOff>44380</xdr:rowOff>
    </xdr:from>
    <xdr:to>
      <xdr:col>10</xdr:col>
      <xdr:colOff>272038</xdr:colOff>
      <xdr:row>233</xdr:row>
      <xdr:rowOff>196780</xdr:rowOff>
    </xdr:to>
    <xdr:sp macro="" textlink="">
      <xdr:nvSpPr>
        <xdr:cNvPr id="173" name="AutoShape 2829">
          <a:extLst>
            <a:ext uri="{FF2B5EF4-FFF2-40B4-BE49-F238E27FC236}">
              <a16:creationId xmlns:a16="http://schemas.microsoft.com/office/drawing/2014/main" id="{00000000-0008-0000-0300-0000AD000000}"/>
            </a:ext>
          </a:extLst>
        </xdr:cNvPr>
        <xdr:cNvSpPr>
          <a:spLocks noChangeArrowheads="1"/>
        </xdr:cNvSpPr>
      </xdr:nvSpPr>
      <xdr:spPr bwMode="auto">
        <a:xfrm>
          <a:off x="7369314" y="43497430"/>
          <a:ext cx="160774" cy="152400"/>
        </a:xfrm>
        <a:prstGeom prst="curvedLeftArrow">
          <a:avLst>
            <a:gd name="adj1" fmla="val 1185"/>
            <a:gd name="adj2" fmla="val 40000"/>
            <a:gd name="adj3" fmla="val 33333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9</xdr:col>
      <xdr:colOff>433551</xdr:colOff>
      <xdr:row>234</xdr:row>
      <xdr:rowOff>32845</xdr:rowOff>
    </xdr:from>
    <xdr:to>
      <xdr:col>10</xdr:col>
      <xdr:colOff>90651</xdr:colOff>
      <xdr:row>234</xdr:row>
      <xdr:rowOff>175720</xdr:rowOff>
    </xdr:to>
    <xdr:sp macro="" textlink="">
      <xdr:nvSpPr>
        <xdr:cNvPr id="174" name="AutoShape 2835">
          <a:extLst>
            <a:ext uri="{FF2B5EF4-FFF2-40B4-BE49-F238E27FC236}">
              <a16:creationId xmlns:a16="http://schemas.microsoft.com/office/drawing/2014/main" id="{00000000-0008-0000-0300-0000AE000000}"/>
            </a:ext>
          </a:extLst>
        </xdr:cNvPr>
        <xdr:cNvSpPr>
          <a:spLocks noChangeArrowheads="1"/>
        </xdr:cNvSpPr>
      </xdr:nvSpPr>
      <xdr:spPr bwMode="auto">
        <a:xfrm>
          <a:off x="6948651" y="43285870"/>
          <a:ext cx="400050" cy="142875"/>
        </a:xfrm>
        <a:prstGeom prst="curvedRightArrow">
          <a:avLst>
            <a:gd name="adj1" fmla="val 1185"/>
            <a:gd name="adj2" fmla="val 40000"/>
            <a:gd name="adj3" fmla="val 44444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9</xdr:col>
      <xdr:colOff>549088</xdr:colOff>
      <xdr:row>243</xdr:row>
      <xdr:rowOff>33617</xdr:rowOff>
    </xdr:from>
    <xdr:to>
      <xdr:col>10</xdr:col>
      <xdr:colOff>206188</xdr:colOff>
      <xdr:row>243</xdr:row>
      <xdr:rowOff>176492</xdr:rowOff>
    </xdr:to>
    <xdr:sp macro="" textlink="">
      <xdr:nvSpPr>
        <xdr:cNvPr id="175" name="AutoShape 2835">
          <a:extLst>
            <a:ext uri="{FF2B5EF4-FFF2-40B4-BE49-F238E27FC236}">
              <a16:creationId xmlns:a16="http://schemas.microsoft.com/office/drawing/2014/main" id="{00000000-0008-0000-0300-0000AF000000}"/>
            </a:ext>
          </a:extLst>
        </xdr:cNvPr>
        <xdr:cNvSpPr>
          <a:spLocks noChangeArrowheads="1"/>
        </xdr:cNvSpPr>
      </xdr:nvSpPr>
      <xdr:spPr bwMode="auto">
        <a:xfrm>
          <a:off x="7064188" y="44486792"/>
          <a:ext cx="400050" cy="142875"/>
        </a:xfrm>
        <a:prstGeom prst="curvedRightArrow">
          <a:avLst>
            <a:gd name="adj1" fmla="val 1185"/>
            <a:gd name="adj2" fmla="val 40000"/>
            <a:gd name="adj3" fmla="val 44444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</xdr:col>
      <xdr:colOff>1099684</xdr:colOff>
      <xdr:row>243</xdr:row>
      <xdr:rowOff>23232</xdr:rowOff>
    </xdr:from>
    <xdr:to>
      <xdr:col>3</xdr:col>
      <xdr:colOff>1099684</xdr:colOff>
      <xdr:row>243</xdr:row>
      <xdr:rowOff>193001</xdr:rowOff>
    </xdr:to>
    <xdr:cxnSp macro="">
      <xdr:nvCxnSpPr>
        <xdr:cNvPr id="176" name="3776 Düz Bağlayıcı">
          <a:extLst>
            <a:ext uri="{FF2B5EF4-FFF2-40B4-BE49-F238E27FC236}">
              <a16:creationId xmlns:a16="http://schemas.microsoft.com/office/drawing/2014/main" id="{00000000-0008-0000-0300-0000B0000000}"/>
            </a:ext>
          </a:extLst>
        </xdr:cNvPr>
        <xdr:cNvCxnSpPr>
          <a:cxnSpLocks noChangeShapeType="1"/>
        </xdr:cNvCxnSpPr>
      </xdr:nvCxnSpPr>
      <xdr:spPr bwMode="auto">
        <a:xfrm rot="5400000">
          <a:off x="3300799" y="44561292"/>
          <a:ext cx="169769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3</xdr:col>
      <xdr:colOff>952500</xdr:colOff>
      <xdr:row>233</xdr:row>
      <xdr:rowOff>114300</xdr:rowOff>
    </xdr:from>
    <xdr:to>
      <xdr:col>4</xdr:col>
      <xdr:colOff>33131</xdr:colOff>
      <xdr:row>233</xdr:row>
      <xdr:rowOff>114300</xdr:rowOff>
    </xdr:to>
    <xdr:cxnSp macro="">
      <xdr:nvCxnSpPr>
        <xdr:cNvPr id="177" name="Straight Arrow Connector 176">
          <a:extLst>
            <a:ext uri="{FF2B5EF4-FFF2-40B4-BE49-F238E27FC236}">
              <a16:creationId xmlns:a16="http://schemas.microsoft.com/office/drawing/2014/main" id="{00000000-0008-0000-0300-0000B1000000}"/>
            </a:ext>
          </a:extLst>
        </xdr:cNvPr>
        <xdr:cNvCxnSpPr/>
      </xdr:nvCxnSpPr>
      <xdr:spPr bwMode="auto">
        <a:xfrm>
          <a:off x="3238500" y="43567350"/>
          <a:ext cx="318881" cy="0"/>
        </a:xfrm>
        <a:prstGeom prst="straightConnector1">
          <a:avLst/>
        </a:pr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triangle"/>
        </a:ln>
        <a:effectLst/>
      </xdr:spPr>
    </xdr:cxnSp>
    <xdr:clientData/>
  </xdr:twoCellAnchor>
  <xdr:twoCellAnchor>
    <xdr:from>
      <xdr:col>3</xdr:col>
      <xdr:colOff>952500</xdr:colOff>
      <xdr:row>229</xdr:row>
      <xdr:rowOff>114300</xdr:rowOff>
    </xdr:from>
    <xdr:to>
      <xdr:col>4</xdr:col>
      <xdr:colOff>33131</xdr:colOff>
      <xdr:row>229</xdr:row>
      <xdr:rowOff>114300</xdr:rowOff>
    </xdr:to>
    <xdr:cxnSp macro="">
      <xdr:nvCxnSpPr>
        <xdr:cNvPr id="178" name="Straight Arrow Connector 177">
          <a:extLst>
            <a:ext uri="{FF2B5EF4-FFF2-40B4-BE49-F238E27FC236}">
              <a16:creationId xmlns:a16="http://schemas.microsoft.com/office/drawing/2014/main" id="{00000000-0008-0000-0300-0000B2000000}"/>
            </a:ext>
          </a:extLst>
        </xdr:cNvPr>
        <xdr:cNvCxnSpPr/>
      </xdr:nvCxnSpPr>
      <xdr:spPr bwMode="auto">
        <a:xfrm>
          <a:off x="3238500" y="43767375"/>
          <a:ext cx="318881" cy="0"/>
        </a:xfrm>
        <a:prstGeom prst="straightConnector1">
          <a:avLst/>
        </a:pr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triangle"/>
        </a:ln>
        <a:effectLst/>
      </xdr:spPr>
    </xdr:cxnSp>
    <xdr:clientData/>
  </xdr:twoCellAnchor>
  <xdr:twoCellAnchor>
    <xdr:from>
      <xdr:col>3</xdr:col>
      <xdr:colOff>952500</xdr:colOff>
      <xdr:row>230</xdr:row>
      <xdr:rowOff>104775</xdr:rowOff>
    </xdr:from>
    <xdr:to>
      <xdr:col>4</xdr:col>
      <xdr:colOff>33131</xdr:colOff>
      <xdr:row>230</xdr:row>
      <xdr:rowOff>104775</xdr:rowOff>
    </xdr:to>
    <xdr:cxnSp macro="">
      <xdr:nvCxnSpPr>
        <xdr:cNvPr id="179" name="Straight Arrow Connector 178">
          <a:extLst>
            <a:ext uri="{FF2B5EF4-FFF2-40B4-BE49-F238E27FC236}">
              <a16:creationId xmlns:a16="http://schemas.microsoft.com/office/drawing/2014/main" id="{00000000-0008-0000-0300-0000B3000000}"/>
            </a:ext>
          </a:extLst>
        </xdr:cNvPr>
        <xdr:cNvCxnSpPr/>
      </xdr:nvCxnSpPr>
      <xdr:spPr bwMode="auto">
        <a:xfrm>
          <a:off x="3238500" y="43957875"/>
          <a:ext cx="318881" cy="0"/>
        </a:xfrm>
        <a:prstGeom prst="straightConnector1">
          <a:avLst/>
        </a:pr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triangle"/>
        </a:ln>
        <a:effectLst/>
      </xdr:spPr>
    </xdr:cxnSp>
    <xdr:clientData/>
  </xdr:twoCellAnchor>
  <xdr:twoCellAnchor>
    <xdr:from>
      <xdr:col>3</xdr:col>
      <xdr:colOff>962025</xdr:colOff>
      <xdr:row>231</xdr:row>
      <xdr:rowOff>104775</xdr:rowOff>
    </xdr:from>
    <xdr:to>
      <xdr:col>4</xdr:col>
      <xdr:colOff>42656</xdr:colOff>
      <xdr:row>231</xdr:row>
      <xdr:rowOff>104775</xdr:rowOff>
    </xdr:to>
    <xdr:cxnSp macro="">
      <xdr:nvCxnSpPr>
        <xdr:cNvPr id="180" name="Straight Arrow Connector 179">
          <a:extLst>
            <a:ext uri="{FF2B5EF4-FFF2-40B4-BE49-F238E27FC236}">
              <a16:creationId xmlns:a16="http://schemas.microsoft.com/office/drawing/2014/main" id="{00000000-0008-0000-0300-0000B4000000}"/>
            </a:ext>
          </a:extLst>
        </xdr:cNvPr>
        <xdr:cNvCxnSpPr/>
      </xdr:nvCxnSpPr>
      <xdr:spPr bwMode="auto">
        <a:xfrm>
          <a:off x="3248025" y="44157900"/>
          <a:ext cx="318881" cy="0"/>
        </a:xfrm>
        <a:prstGeom prst="straightConnector1">
          <a:avLst/>
        </a:pr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triangle"/>
        </a:ln>
        <a:effectLst/>
      </xdr:spPr>
    </xdr:cxnSp>
    <xdr:clientData/>
  </xdr:twoCellAnchor>
  <xdr:twoCellAnchor>
    <xdr:from>
      <xdr:col>3</xdr:col>
      <xdr:colOff>942975</xdr:colOff>
      <xdr:row>242</xdr:row>
      <xdr:rowOff>104775</xdr:rowOff>
    </xdr:from>
    <xdr:to>
      <xdr:col>4</xdr:col>
      <xdr:colOff>23606</xdr:colOff>
      <xdr:row>242</xdr:row>
      <xdr:rowOff>104775</xdr:rowOff>
    </xdr:to>
    <xdr:cxnSp macro="">
      <xdr:nvCxnSpPr>
        <xdr:cNvPr id="181" name="Straight Arrow Connector 180">
          <a:extLst>
            <a:ext uri="{FF2B5EF4-FFF2-40B4-BE49-F238E27FC236}">
              <a16:creationId xmlns:a16="http://schemas.microsoft.com/office/drawing/2014/main" id="{00000000-0008-0000-0300-0000B5000000}"/>
            </a:ext>
          </a:extLst>
        </xdr:cNvPr>
        <xdr:cNvCxnSpPr/>
      </xdr:nvCxnSpPr>
      <xdr:spPr bwMode="auto">
        <a:xfrm>
          <a:off x="3228975" y="44357925"/>
          <a:ext cx="318881" cy="0"/>
        </a:xfrm>
        <a:prstGeom prst="straightConnector1">
          <a:avLst/>
        </a:pr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triangle"/>
        </a:ln>
        <a:effectLst/>
      </xdr:spPr>
    </xdr:cxnSp>
    <xdr:clientData/>
  </xdr:twoCellAnchor>
  <xdr:twoCellAnchor>
    <xdr:from>
      <xdr:col>3</xdr:col>
      <xdr:colOff>933450</xdr:colOff>
      <xdr:row>255</xdr:row>
      <xdr:rowOff>114300</xdr:rowOff>
    </xdr:from>
    <xdr:to>
      <xdr:col>4</xdr:col>
      <xdr:colOff>30646</xdr:colOff>
      <xdr:row>255</xdr:row>
      <xdr:rowOff>114301</xdr:rowOff>
    </xdr:to>
    <xdr:cxnSp macro="">
      <xdr:nvCxnSpPr>
        <xdr:cNvPr id="182" name="Straight Arrow Connector 181">
          <a:extLst>
            <a:ext uri="{FF2B5EF4-FFF2-40B4-BE49-F238E27FC236}">
              <a16:creationId xmlns:a16="http://schemas.microsoft.com/office/drawing/2014/main" id="{00000000-0008-0000-0300-0000B6000000}"/>
            </a:ext>
          </a:extLst>
        </xdr:cNvPr>
        <xdr:cNvCxnSpPr/>
      </xdr:nvCxnSpPr>
      <xdr:spPr bwMode="auto">
        <a:xfrm flipH="1" flipV="1">
          <a:off x="3219450" y="45167550"/>
          <a:ext cx="335446" cy="1"/>
        </a:xfrm>
        <a:prstGeom prst="straightConnector1">
          <a:avLst/>
        </a:pr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triangle"/>
        </a:ln>
        <a:effectLst/>
      </xdr:spPr>
    </xdr:cxnSp>
    <xdr:clientData/>
  </xdr:twoCellAnchor>
  <xdr:twoCellAnchor>
    <xdr:from>
      <xdr:col>3</xdr:col>
      <xdr:colOff>962025</xdr:colOff>
      <xdr:row>256</xdr:row>
      <xdr:rowOff>133350</xdr:rowOff>
    </xdr:from>
    <xdr:to>
      <xdr:col>4</xdr:col>
      <xdr:colOff>59221</xdr:colOff>
      <xdr:row>256</xdr:row>
      <xdr:rowOff>133351</xdr:rowOff>
    </xdr:to>
    <xdr:cxnSp macro="">
      <xdr:nvCxnSpPr>
        <xdr:cNvPr id="183" name="Straight Arrow Connector 182">
          <a:extLst>
            <a:ext uri="{FF2B5EF4-FFF2-40B4-BE49-F238E27FC236}">
              <a16:creationId xmlns:a16="http://schemas.microsoft.com/office/drawing/2014/main" id="{00000000-0008-0000-0300-0000B7000000}"/>
            </a:ext>
          </a:extLst>
        </xdr:cNvPr>
        <xdr:cNvCxnSpPr/>
      </xdr:nvCxnSpPr>
      <xdr:spPr bwMode="auto">
        <a:xfrm flipH="1" flipV="1">
          <a:off x="3248025" y="45386625"/>
          <a:ext cx="335446" cy="1"/>
        </a:xfrm>
        <a:prstGeom prst="straightConnector1">
          <a:avLst/>
        </a:pr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triangle"/>
        </a:ln>
        <a:effectLst/>
      </xdr:spPr>
    </xdr:cxn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266700</xdr:colOff>
          <xdr:row>202</xdr:row>
          <xdr:rowOff>161925</xdr:rowOff>
        </xdr:from>
        <xdr:to>
          <xdr:col>8</xdr:col>
          <xdr:colOff>371475</xdr:colOff>
          <xdr:row>225</xdr:row>
          <xdr:rowOff>209550</xdr:rowOff>
        </xdr:to>
        <xdr:sp macro="" textlink="">
          <xdr:nvSpPr>
            <xdr:cNvPr id="347170" name="Object 34" hidden="1">
              <a:extLst>
                <a:ext uri="{63B3BB69-23CF-44E3-9099-C40C66FF867C}">
                  <a14:compatExt spid="_x0000_s347170"/>
                </a:ext>
                <a:ext uri="{FF2B5EF4-FFF2-40B4-BE49-F238E27FC236}">
                  <a16:creationId xmlns:a16="http://schemas.microsoft.com/office/drawing/2014/main" id="{00000000-0008-0000-0300-0000224C05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3</xdr:col>
      <xdr:colOff>1085995</xdr:colOff>
      <xdr:row>234</xdr:row>
      <xdr:rowOff>11206</xdr:rowOff>
    </xdr:from>
    <xdr:to>
      <xdr:col>3</xdr:col>
      <xdr:colOff>1085995</xdr:colOff>
      <xdr:row>234</xdr:row>
      <xdr:rowOff>190939</xdr:rowOff>
    </xdr:to>
    <xdr:sp macro="" textlink="">
      <xdr:nvSpPr>
        <xdr:cNvPr id="185" name="Line 2881">
          <a:extLst>
            <a:ext uri="{FF2B5EF4-FFF2-40B4-BE49-F238E27FC236}">
              <a16:creationId xmlns:a16="http://schemas.microsoft.com/office/drawing/2014/main" id="{00000000-0008-0000-0300-0000B9000000}"/>
            </a:ext>
          </a:extLst>
        </xdr:cNvPr>
        <xdr:cNvSpPr>
          <a:spLocks noChangeShapeType="1"/>
        </xdr:cNvSpPr>
      </xdr:nvSpPr>
      <xdr:spPr bwMode="auto">
        <a:xfrm>
          <a:off x="3371995" y="43264231"/>
          <a:ext cx="0" cy="179733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xdr:twoCellAnchor>
    <xdr:from>
      <xdr:col>3</xdr:col>
      <xdr:colOff>1086970</xdr:colOff>
      <xdr:row>173</xdr:row>
      <xdr:rowOff>33618</xdr:rowOff>
    </xdr:from>
    <xdr:to>
      <xdr:col>3</xdr:col>
      <xdr:colOff>1086970</xdr:colOff>
      <xdr:row>174</xdr:row>
      <xdr:rowOff>1681</xdr:rowOff>
    </xdr:to>
    <xdr:cxnSp macro="">
      <xdr:nvCxnSpPr>
        <xdr:cNvPr id="186" name="3776 Düz Bağlayıcı">
          <a:extLst>
            <a:ext uri="{FF2B5EF4-FFF2-40B4-BE49-F238E27FC236}">
              <a16:creationId xmlns:a16="http://schemas.microsoft.com/office/drawing/2014/main" id="{00000000-0008-0000-0300-0000BA000000}"/>
            </a:ext>
          </a:extLst>
        </xdr:cNvPr>
        <xdr:cNvCxnSpPr>
          <a:cxnSpLocks noChangeShapeType="1"/>
        </xdr:cNvCxnSpPr>
      </xdr:nvCxnSpPr>
      <xdr:spPr bwMode="auto">
        <a:xfrm rot="5400000">
          <a:off x="3288926" y="32921762"/>
          <a:ext cx="168088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9</xdr:col>
      <xdr:colOff>457200</xdr:colOff>
      <xdr:row>253</xdr:row>
      <xdr:rowOff>47625</xdr:rowOff>
    </xdr:from>
    <xdr:to>
      <xdr:col>10</xdr:col>
      <xdr:colOff>114300</xdr:colOff>
      <xdr:row>253</xdr:row>
      <xdr:rowOff>190500</xdr:rowOff>
    </xdr:to>
    <xdr:sp macro="" textlink="">
      <xdr:nvSpPr>
        <xdr:cNvPr id="187" name="AutoShape 2852">
          <a:extLst>
            <a:ext uri="{FF2B5EF4-FFF2-40B4-BE49-F238E27FC236}">
              <a16:creationId xmlns:a16="http://schemas.microsoft.com/office/drawing/2014/main" id="{00000000-0008-0000-0300-0000BB000000}"/>
            </a:ext>
          </a:extLst>
        </xdr:cNvPr>
        <xdr:cNvSpPr>
          <a:spLocks noChangeArrowheads="1"/>
        </xdr:cNvSpPr>
      </xdr:nvSpPr>
      <xdr:spPr bwMode="auto">
        <a:xfrm>
          <a:off x="6972300" y="44700825"/>
          <a:ext cx="400050" cy="142875"/>
        </a:xfrm>
        <a:prstGeom prst="curvedRightArrow">
          <a:avLst>
            <a:gd name="adj1" fmla="val 1185"/>
            <a:gd name="adj2" fmla="val 40000"/>
            <a:gd name="adj3" fmla="val 44444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</xdr:col>
      <xdr:colOff>896470</xdr:colOff>
      <xdr:row>253</xdr:row>
      <xdr:rowOff>112059</xdr:rowOff>
    </xdr:from>
    <xdr:to>
      <xdr:col>3</xdr:col>
      <xdr:colOff>1237519</xdr:colOff>
      <xdr:row>253</xdr:row>
      <xdr:rowOff>112060</xdr:rowOff>
    </xdr:to>
    <xdr:cxnSp macro="">
      <xdr:nvCxnSpPr>
        <xdr:cNvPr id="188" name="Straight Arrow Connector 187">
          <a:extLst>
            <a:ext uri="{FF2B5EF4-FFF2-40B4-BE49-F238E27FC236}">
              <a16:creationId xmlns:a16="http://schemas.microsoft.com/office/drawing/2014/main" id="{00000000-0008-0000-0300-0000BC000000}"/>
            </a:ext>
          </a:extLst>
        </xdr:cNvPr>
        <xdr:cNvCxnSpPr/>
      </xdr:nvCxnSpPr>
      <xdr:spPr bwMode="auto">
        <a:xfrm flipH="1" flipV="1">
          <a:off x="3182470" y="44765259"/>
          <a:ext cx="341049" cy="1"/>
        </a:xfrm>
        <a:prstGeom prst="straightConnector1">
          <a:avLst/>
        </a:pr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triangle"/>
        </a:ln>
        <a:effectLst/>
      </xdr:spPr>
    </xdr:cxnSp>
    <xdr:clientData/>
  </xdr:twoCellAnchor>
  <xdr:twoCellAnchor>
    <xdr:from>
      <xdr:col>1</xdr:col>
      <xdr:colOff>337858</xdr:colOff>
      <xdr:row>1</xdr:row>
      <xdr:rowOff>82364</xdr:rowOff>
    </xdr:from>
    <xdr:to>
      <xdr:col>1</xdr:col>
      <xdr:colOff>528567</xdr:colOff>
      <xdr:row>2</xdr:row>
      <xdr:rowOff>158048</xdr:rowOff>
    </xdr:to>
    <xdr:sp macro="" textlink="">
      <xdr:nvSpPr>
        <xdr:cNvPr id="189" name="3744 Metin kutusu">
          <a:extLst>
            <a:ext uri="{FF2B5EF4-FFF2-40B4-BE49-F238E27FC236}">
              <a16:creationId xmlns:a16="http://schemas.microsoft.com/office/drawing/2014/main" id="{00000000-0008-0000-0300-0000BD000000}"/>
            </a:ext>
          </a:extLst>
        </xdr:cNvPr>
        <xdr:cNvSpPr txBox="1"/>
      </xdr:nvSpPr>
      <xdr:spPr>
        <a:xfrm>
          <a:off x="814108" y="272864"/>
          <a:ext cx="190709" cy="256659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l"/>
          <a:r>
            <a:rPr lang="el-GR" sz="1100"/>
            <a:t>δ</a:t>
          </a:r>
          <a:endParaRPr lang="tr-TR" sz="1100"/>
        </a:p>
      </xdr:txBody>
    </xdr:sp>
    <xdr:clientData/>
  </xdr:twoCellAnchor>
  <xdr:twoCellAnchor>
    <xdr:from>
      <xdr:col>4</xdr:col>
      <xdr:colOff>405937</xdr:colOff>
      <xdr:row>212</xdr:row>
      <xdr:rowOff>91309</xdr:rowOff>
    </xdr:from>
    <xdr:to>
      <xdr:col>5</xdr:col>
      <xdr:colOff>62950</xdr:colOff>
      <xdr:row>213</xdr:row>
      <xdr:rowOff>166994</xdr:rowOff>
    </xdr:to>
    <xdr:sp macro="" textlink="">
      <xdr:nvSpPr>
        <xdr:cNvPr id="190" name="3744 Metin kutusu">
          <a:extLst>
            <a:ext uri="{FF2B5EF4-FFF2-40B4-BE49-F238E27FC236}">
              <a16:creationId xmlns:a16="http://schemas.microsoft.com/office/drawing/2014/main" id="{00000000-0008-0000-0300-0000BE000000}"/>
            </a:ext>
          </a:extLst>
        </xdr:cNvPr>
        <xdr:cNvSpPr txBox="1"/>
      </xdr:nvSpPr>
      <xdr:spPr>
        <a:xfrm>
          <a:off x="3930187" y="40029634"/>
          <a:ext cx="190413" cy="2566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l"/>
          <a:r>
            <a:rPr lang="el-GR" sz="1100"/>
            <a:t>δ</a:t>
          </a:r>
          <a:endParaRPr lang="tr-TR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304800</xdr:colOff>
          <xdr:row>146</xdr:row>
          <xdr:rowOff>85725</xdr:rowOff>
        </xdr:from>
        <xdr:to>
          <xdr:col>9</xdr:col>
          <xdr:colOff>247650</xdr:colOff>
          <xdr:row>225</xdr:row>
          <xdr:rowOff>266700</xdr:rowOff>
        </xdr:to>
        <xdr:sp macro="" textlink="">
          <xdr:nvSpPr>
            <xdr:cNvPr id="347171" name="Object 35" hidden="1">
              <a:extLst>
                <a:ext uri="{63B3BB69-23CF-44E3-9099-C40C66FF867C}">
                  <a14:compatExt spid="_x0000_s347171"/>
                </a:ext>
                <a:ext uri="{FF2B5EF4-FFF2-40B4-BE49-F238E27FC236}">
                  <a16:creationId xmlns:a16="http://schemas.microsoft.com/office/drawing/2014/main" id="{00000000-0008-0000-0300-0000234C05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133350</xdr:colOff>
          <xdr:row>90</xdr:row>
          <xdr:rowOff>28575</xdr:rowOff>
        </xdr:from>
        <xdr:to>
          <xdr:col>8</xdr:col>
          <xdr:colOff>676275</xdr:colOff>
          <xdr:row>224</xdr:row>
          <xdr:rowOff>142875</xdr:rowOff>
        </xdr:to>
        <xdr:sp macro="" textlink="">
          <xdr:nvSpPr>
            <xdr:cNvPr id="347172" name="Object 36" hidden="1">
              <a:extLst>
                <a:ext uri="{63B3BB69-23CF-44E3-9099-C40C66FF867C}">
                  <a14:compatExt spid="_x0000_s347172"/>
                </a:ext>
                <a:ext uri="{FF2B5EF4-FFF2-40B4-BE49-F238E27FC236}">
                  <a16:creationId xmlns:a16="http://schemas.microsoft.com/office/drawing/2014/main" id="{00000000-0008-0000-0300-0000244C05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295275</xdr:colOff>
          <xdr:row>278</xdr:row>
          <xdr:rowOff>28575</xdr:rowOff>
        </xdr:from>
        <xdr:to>
          <xdr:col>8</xdr:col>
          <xdr:colOff>523875</xdr:colOff>
          <xdr:row>295</xdr:row>
          <xdr:rowOff>0</xdr:rowOff>
        </xdr:to>
        <xdr:sp macro="" textlink="">
          <xdr:nvSpPr>
            <xdr:cNvPr id="347173" name="Object 37" hidden="1">
              <a:extLst>
                <a:ext uri="{63B3BB69-23CF-44E3-9099-C40C66FF867C}">
                  <a14:compatExt spid="_x0000_s347173"/>
                </a:ext>
                <a:ext uri="{FF2B5EF4-FFF2-40B4-BE49-F238E27FC236}">
                  <a16:creationId xmlns:a16="http://schemas.microsoft.com/office/drawing/2014/main" id="{00000000-0008-0000-0300-0000254C05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133350</xdr:colOff>
          <xdr:row>335</xdr:row>
          <xdr:rowOff>95250</xdr:rowOff>
        </xdr:from>
        <xdr:to>
          <xdr:col>9</xdr:col>
          <xdr:colOff>114300</xdr:colOff>
          <xdr:row>346</xdr:row>
          <xdr:rowOff>66675</xdr:rowOff>
        </xdr:to>
        <xdr:sp macro="" textlink="">
          <xdr:nvSpPr>
            <xdr:cNvPr id="347174" name="Object 38" hidden="1">
              <a:extLst>
                <a:ext uri="{63B3BB69-23CF-44E3-9099-C40C66FF867C}">
                  <a14:compatExt spid="_x0000_s347174"/>
                </a:ext>
                <a:ext uri="{FF2B5EF4-FFF2-40B4-BE49-F238E27FC236}">
                  <a16:creationId xmlns:a16="http://schemas.microsoft.com/office/drawing/2014/main" id="{00000000-0008-0000-0300-0000264C05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2</xdr:col>
      <xdr:colOff>1064559</xdr:colOff>
      <xdr:row>390</xdr:row>
      <xdr:rowOff>44824</xdr:rowOff>
    </xdr:from>
    <xdr:to>
      <xdr:col>7</xdr:col>
      <xdr:colOff>494343</xdr:colOff>
      <xdr:row>404</xdr:row>
      <xdr:rowOff>92447</xdr:rowOff>
    </xdr:to>
    <xdr:pic>
      <xdr:nvPicPr>
        <xdr:cNvPr id="195" name="Picture 220669">
          <a:extLst>
            <a:ext uri="{FF2B5EF4-FFF2-40B4-BE49-F238E27FC236}">
              <a16:creationId xmlns:a16="http://schemas.microsoft.com/office/drawing/2014/main" id="{00000000-0008-0000-0300-0000C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74209" y="72977749"/>
          <a:ext cx="3525534" cy="258127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885825</xdr:colOff>
          <xdr:row>472</xdr:row>
          <xdr:rowOff>171450</xdr:rowOff>
        </xdr:from>
        <xdr:to>
          <xdr:col>6</xdr:col>
          <xdr:colOff>47625</xdr:colOff>
          <xdr:row>490</xdr:row>
          <xdr:rowOff>47625</xdr:rowOff>
        </xdr:to>
        <xdr:sp macro="" textlink="">
          <xdr:nvSpPr>
            <xdr:cNvPr id="347175" name="Object 39" hidden="1">
              <a:extLst>
                <a:ext uri="{63B3BB69-23CF-44E3-9099-C40C66FF867C}">
                  <a14:compatExt spid="_x0000_s347175"/>
                </a:ext>
                <a:ext uri="{FF2B5EF4-FFF2-40B4-BE49-F238E27FC236}">
                  <a16:creationId xmlns:a16="http://schemas.microsoft.com/office/drawing/2014/main" id="{00000000-0008-0000-0300-0000274C05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790575</xdr:colOff>
          <xdr:row>522</xdr:row>
          <xdr:rowOff>114300</xdr:rowOff>
        </xdr:from>
        <xdr:to>
          <xdr:col>9</xdr:col>
          <xdr:colOff>180975</xdr:colOff>
          <xdr:row>541</xdr:row>
          <xdr:rowOff>171450</xdr:rowOff>
        </xdr:to>
        <xdr:sp macro="" textlink="">
          <xdr:nvSpPr>
            <xdr:cNvPr id="347176" name="Object 40" hidden="1">
              <a:extLst>
                <a:ext uri="{63B3BB69-23CF-44E3-9099-C40C66FF867C}">
                  <a14:compatExt spid="_x0000_s347176"/>
                </a:ext>
                <a:ext uri="{FF2B5EF4-FFF2-40B4-BE49-F238E27FC236}">
                  <a16:creationId xmlns:a16="http://schemas.microsoft.com/office/drawing/2014/main" id="{00000000-0008-0000-0300-0000284C05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3</xdr:col>
      <xdr:colOff>952500</xdr:colOff>
      <xdr:row>307</xdr:row>
      <xdr:rowOff>22412</xdr:rowOff>
    </xdr:from>
    <xdr:to>
      <xdr:col>3</xdr:col>
      <xdr:colOff>952500</xdr:colOff>
      <xdr:row>307</xdr:row>
      <xdr:rowOff>193862</xdr:rowOff>
    </xdr:to>
    <xdr:cxnSp macro="">
      <xdr:nvCxnSpPr>
        <xdr:cNvPr id="198" name="3776 Düz Bağlayıcı">
          <a:extLst>
            <a:ext uri="{FF2B5EF4-FFF2-40B4-BE49-F238E27FC236}">
              <a16:creationId xmlns:a16="http://schemas.microsoft.com/office/drawing/2014/main" id="{00000000-0008-0000-0300-0000C6000000}"/>
            </a:ext>
          </a:extLst>
        </xdr:cNvPr>
        <xdr:cNvCxnSpPr>
          <a:cxnSpLocks noChangeShapeType="1"/>
        </xdr:cNvCxnSpPr>
      </xdr:nvCxnSpPr>
      <xdr:spPr bwMode="auto">
        <a:xfrm rot="5400000">
          <a:off x="3152775" y="54914987"/>
          <a:ext cx="1714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3</xdr:col>
      <xdr:colOff>974912</xdr:colOff>
      <xdr:row>309</xdr:row>
      <xdr:rowOff>22412</xdr:rowOff>
    </xdr:from>
    <xdr:to>
      <xdr:col>3</xdr:col>
      <xdr:colOff>974912</xdr:colOff>
      <xdr:row>309</xdr:row>
      <xdr:rowOff>193862</xdr:rowOff>
    </xdr:to>
    <xdr:cxnSp macro="">
      <xdr:nvCxnSpPr>
        <xdr:cNvPr id="199" name="3776 Düz Bağlayıcı">
          <a:extLst>
            <a:ext uri="{FF2B5EF4-FFF2-40B4-BE49-F238E27FC236}">
              <a16:creationId xmlns:a16="http://schemas.microsoft.com/office/drawing/2014/main" id="{00000000-0008-0000-0300-0000C7000000}"/>
            </a:ext>
          </a:extLst>
        </xdr:cNvPr>
        <xdr:cNvCxnSpPr>
          <a:cxnSpLocks noChangeShapeType="1"/>
        </xdr:cNvCxnSpPr>
      </xdr:nvCxnSpPr>
      <xdr:spPr bwMode="auto">
        <a:xfrm rot="5400000">
          <a:off x="3175187" y="55315037"/>
          <a:ext cx="1714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3</xdr:col>
      <xdr:colOff>739588</xdr:colOff>
      <xdr:row>306</xdr:row>
      <xdr:rowOff>112059</xdr:rowOff>
    </xdr:from>
    <xdr:to>
      <xdr:col>3</xdr:col>
      <xdr:colOff>1064072</xdr:colOff>
      <xdr:row>306</xdr:row>
      <xdr:rowOff>112059</xdr:rowOff>
    </xdr:to>
    <xdr:cxnSp macro="">
      <xdr:nvCxnSpPr>
        <xdr:cNvPr id="200" name="Straight Arrow Connector 199">
          <a:extLst>
            <a:ext uri="{FF2B5EF4-FFF2-40B4-BE49-F238E27FC236}">
              <a16:creationId xmlns:a16="http://schemas.microsoft.com/office/drawing/2014/main" id="{00000000-0008-0000-0300-0000C8000000}"/>
            </a:ext>
          </a:extLst>
        </xdr:cNvPr>
        <xdr:cNvCxnSpPr/>
      </xdr:nvCxnSpPr>
      <xdr:spPr bwMode="auto">
        <a:xfrm>
          <a:off x="3025588" y="54718884"/>
          <a:ext cx="324484" cy="0"/>
        </a:xfrm>
        <a:prstGeom prst="straightConnector1">
          <a:avLst/>
        </a:pr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triangle"/>
        </a:ln>
        <a:effectLst/>
      </xdr:spPr>
    </xdr:cxnSp>
    <xdr:clientData/>
  </xdr:twoCellAnchor>
  <xdr:twoCellAnchor>
    <xdr:from>
      <xdr:col>3</xdr:col>
      <xdr:colOff>773206</xdr:colOff>
      <xdr:row>308</xdr:row>
      <xdr:rowOff>100853</xdr:rowOff>
    </xdr:from>
    <xdr:to>
      <xdr:col>3</xdr:col>
      <xdr:colOff>1097690</xdr:colOff>
      <xdr:row>308</xdr:row>
      <xdr:rowOff>100853</xdr:rowOff>
    </xdr:to>
    <xdr:cxnSp macro="">
      <xdr:nvCxnSpPr>
        <xdr:cNvPr id="201" name="Straight Arrow Connector 200">
          <a:extLst>
            <a:ext uri="{FF2B5EF4-FFF2-40B4-BE49-F238E27FC236}">
              <a16:creationId xmlns:a16="http://schemas.microsoft.com/office/drawing/2014/main" id="{00000000-0008-0000-0300-0000C9000000}"/>
            </a:ext>
          </a:extLst>
        </xdr:cNvPr>
        <xdr:cNvCxnSpPr/>
      </xdr:nvCxnSpPr>
      <xdr:spPr bwMode="auto">
        <a:xfrm>
          <a:off x="3059206" y="55107728"/>
          <a:ext cx="324484" cy="0"/>
        </a:xfrm>
        <a:prstGeom prst="straightConnector1">
          <a:avLst/>
        </a:pr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triangle"/>
        </a:ln>
        <a:effectLst/>
      </xdr:spPr>
    </xdr:cxnSp>
    <xdr:clientData/>
  </xdr:twoCellAnchor>
  <xdr:twoCellAnchor>
    <xdr:from>
      <xdr:col>3</xdr:col>
      <xdr:colOff>762000</xdr:colOff>
      <xdr:row>313</xdr:row>
      <xdr:rowOff>123264</xdr:rowOff>
    </xdr:from>
    <xdr:to>
      <xdr:col>3</xdr:col>
      <xdr:colOff>1103049</xdr:colOff>
      <xdr:row>313</xdr:row>
      <xdr:rowOff>123265</xdr:rowOff>
    </xdr:to>
    <xdr:cxnSp macro="">
      <xdr:nvCxnSpPr>
        <xdr:cNvPr id="202" name="Straight Arrow Connector 201">
          <a:extLst>
            <a:ext uri="{FF2B5EF4-FFF2-40B4-BE49-F238E27FC236}">
              <a16:creationId xmlns:a16="http://schemas.microsoft.com/office/drawing/2014/main" id="{00000000-0008-0000-0300-0000CA000000}"/>
            </a:ext>
          </a:extLst>
        </xdr:cNvPr>
        <xdr:cNvCxnSpPr/>
      </xdr:nvCxnSpPr>
      <xdr:spPr bwMode="auto">
        <a:xfrm flipH="1" flipV="1">
          <a:off x="3048000" y="56130264"/>
          <a:ext cx="341049" cy="1"/>
        </a:xfrm>
        <a:prstGeom prst="straightConnector1">
          <a:avLst/>
        </a:pr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triangle"/>
        </a:ln>
        <a:effectLst/>
      </xdr:spPr>
    </xdr:cxnSp>
    <xdr:clientData/>
  </xdr:twoCellAnchor>
  <xdr:twoCellAnchor>
    <xdr:from>
      <xdr:col>3</xdr:col>
      <xdr:colOff>773206</xdr:colOff>
      <xdr:row>314</xdr:row>
      <xdr:rowOff>112059</xdr:rowOff>
    </xdr:from>
    <xdr:to>
      <xdr:col>3</xdr:col>
      <xdr:colOff>1114255</xdr:colOff>
      <xdr:row>314</xdr:row>
      <xdr:rowOff>112060</xdr:rowOff>
    </xdr:to>
    <xdr:cxnSp macro="">
      <xdr:nvCxnSpPr>
        <xdr:cNvPr id="203" name="Straight Arrow Connector 202">
          <a:extLst>
            <a:ext uri="{FF2B5EF4-FFF2-40B4-BE49-F238E27FC236}">
              <a16:creationId xmlns:a16="http://schemas.microsoft.com/office/drawing/2014/main" id="{00000000-0008-0000-0300-0000CB000000}"/>
            </a:ext>
          </a:extLst>
        </xdr:cNvPr>
        <xdr:cNvCxnSpPr/>
      </xdr:nvCxnSpPr>
      <xdr:spPr bwMode="auto">
        <a:xfrm flipH="1" flipV="1">
          <a:off x="3059206" y="56319084"/>
          <a:ext cx="341049" cy="1"/>
        </a:xfrm>
        <a:prstGeom prst="straightConnector1">
          <a:avLst/>
        </a:pr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triangle"/>
        </a:ln>
        <a:effectLst/>
      </xdr:spPr>
    </xdr:cxnSp>
    <xdr:clientData/>
  </xdr:twoCellAnchor>
  <xdr:twoCellAnchor>
    <xdr:from>
      <xdr:col>10</xdr:col>
      <xdr:colOff>145677</xdr:colOff>
      <xdr:row>306</xdr:row>
      <xdr:rowOff>33618</xdr:rowOff>
    </xdr:from>
    <xdr:to>
      <xdr:col>10</xdr:col>
      <xdr:colOff>298077</xdr:colOff>
      <xdr:row>306</xdr:row>
      <xdr:rowOff>186018</xdr:rowOff>
    </xdr:to>
    <xdr:sp macro="" textlink="">
      <xdr:nvSpPr>
        <xdr:cNvPr id="204" name="AutoShape 2874">
          <a:extLst>
            <a:ext uri="{FF2B5EF4-FFF2-40B4-BE49-F238E27FC236}">
              <a16:creationId xmlns:a16="http://schemas.microsoft.com/office/drawing/2014/main" id="{00000000-0008-0000-0300-0000CC000000}"/>
            </a:ext>
          </a:extLst>
        </xdr:cNvPr>
        <xdr:cNvSpPr>
          <a:spLocks noChangeArrowheads="1"/>
        </xdr:cNvSpPr>
      </xdr:nvSpPr>
      <xdr:spPr bwMode="auto">
        <a:xfrm>
          <a:off x="7403727" y="54640443"/>
          <a:ext cx="152400" cy="152400"/>
        </a:xfrm>
        <a:prstGeom prst="curvedLeftArrow">
          <a:avLst>
            <a:gd name="adj1" fmla="val 1259"/>
            <a:gd name="adj2" fmla="val 42500"/>
            <a:gd name="adj3" fmla="val 33333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9</xdr:col>
      <xdr:colOff>515471</xdr:colOff>
      <xdr:row>307</xdr:row>
      <xdr:rowOff>56030</xdr:rowOff>
    </xdr:from>
    <xdr:to>
      <xdr:col>10</xdr:col>
      <xdr:colOff>172571</xdr:colOff>
      <xdr:row>307</xdr:row>
      <xdr:rowOff>198905</xdr:rowOff>
    </xdr:to>
    <xdr:sp macro="" textlink="">
      <xdr:nvSpPr>
        <xdr:cNvPr id="205" name="AutoShape 2852">
          <a:extLst>
            <a:ext uri="{FF2B5EF4-FFF2-40B4-BE49-F238E27FC236}">
              <a16:creationId xmlns:a16="http://schemas.microsoft.com/office/drawing/2014/main" id="{00000000-0008-0000-0300-0000CD000000}"/>
            </a:ext>
          </a:extLst>
        </xdr:cNvPr>
        <xdr:cNvSpPr>
          <a:spLocks noChangeArrowheads="1"/>
        </xdr:cNvSpPr>
      </xdr:nvSpPr>
      <xdr:spPr bwMode="auto">
        <a:xfrm>
          <a:off x="7030571" y="54862880"/>
          <a:ext cx="400050" cy="142875"/>
        </a:xfrm>
        <a:prstGeom prst="curvedRightArrow">
          <a:avLst>
            <a:gd name="adj1" fmla="val 1185"/>
            <a:gd name="adj2" fmla="val 40000"/>
            <a:gd name="adj3" fmla="val 44444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9</xdr:col>
      <xdr:colOff>571500</xdr:colOff>
      <xdr:row>309</xdr:row>
      <xdr:rowOff>44823</xdr:rowOff>
    </xdr:from>
    <xdr:to>
      <xdr:col>10</xdr:col>
      <xdr:colOff>228600</xdr:colOff>
      <xdr:row>309</xdr:row>
      <xdr:rowOff>187698</xdr:rowOff>
    </xdr:to>
    <xdr:sp macro="" textlink="">
      <xdr:nvSpPr>
        <xdr:cNvPr id="206" name="AutoShape 2852">
          <a:extLst>
            <a:ext uri="{FF2B5EF4-FFF2-40B4-BE49-F238E27FC236}">
              <a16:creationId xmlns:a16="http://schemas.microsoft.com/office/drawing/2014/main" id="{00000000-0008-0000-0300-0000CE000000}"/>
            </a:ext>
          </a:extLst>
        </xdr:cNvPr>
        <xdr:cNvSpPr>
          <a:spLocks noChangeArrowheads="1"/>
        </xdr:cNvSpPr>
      </xdr:nvSpPr>
      <xdr:spPr bwMode="auto">
        <a:xfrm>
          <a:off x="7086600" y="55251723"/>
          <a:ext cx="400050" cy="142875"/>
        </a:xfrm>
        <a:prstGeom prst="curvedRightArrow">
          <a:avLst>
            <a:gd name="adj1" fmla="val 1185"/>
            <a:gd name="adj2" fmla="val 40000"/>
            <a:gd name="adj3" fmla="val 44444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10</xdr:col>
      <xdr:colOff>142875</xdr:colOff>
      <xdr:row>310</xdr:row>
      <xdr:rowOff>28575</xdr:rowOff>
    </xdr:from>
    <xdr:to>
      <xdr:col>10</xdr:col>
      <xdr:colOff>295275</xdr:colOff>
      <xdr:row>310</xdr:row>
      <xdr:rowOff>190500</xdr:rowOff>
    </xdr:to>
    <xdr:sp macro="" textlink="">
      <xdr:nvSpPr>
        <xdr:cNvPr id="207" name="AutoShape 2873">
          <a:extLst>
            <a:ext uri="{FF2B5EF4-FFF2-40B4-BE49-F238E27FC236}">
              <a16:creationId xmlns:a16="http://schemas.microsoft.com/office/drawing/2014/main" id="{00000000-0008-0000-0300-0000CF000000}"/>
            </a:ext>
          </a:extLst>
        </xdr:cNvPr>
        <xdr:cNvSpPr>
          <a:spLocks noChangeArrowheads="1"/>
        </xdr:cNvSpPr>
      </xdr:nvSpPr>
      <xdr:spPr bwMode="auto">
        <a:xfrm>
          <a:off x="7400925" y="55435500"/>
          <a:ext cx="152400" cy="161925"/>
        </a:xfrm>
        <a:prstGeom prst="curvedLeftArrow">
          <a:avLst>
            <a:gd name="adj1" fmla="val 1259"/>
            <a:gd name="adj2" fmla="val 42500"/>
            <a:gd name="adj3" fmla="val 33333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</xdr:col>
      <xdr:colOff>974912</xdr:colOff>
      <xdr:row>311</xdr:row>
      <xdr:rowOff>22412</xdr:rowOff>
    </xdr:from>
    <xdr:to>
      <xdr:col>3</xdr:col>
      <xdr:colOff>974912</xdr:colOff>
      <xdr:row>311</xdr:row>
      <xdr:rowOff>193862</xdr:rowOff>
    </xdr:to>
    <xdr:cxnSp macro="">
      <xdr:nvCxnSpPr>
        <xdr:cNvPr id="208" name="3776 Düz Bağlayıcı">
          <a:extLst>
            <a:ext uri="{FF2B5EF4-FFF2-40B4-BE49-F238E27FC236}">
              <a16:creationId xmlns:a16="http://schemas.microsoft.com/office/drawing/2014/main" id="{00000000-0008-0000-0300-0000D0000000}"/>
            </a:ext>
          </a:extLst>
        </xdr:cNvPr>
        <xdr:cNvCxnSpPr>
          <a:cxnSpLocks noChangeShapeType="1"/>
        </xdr:cNvCxnSpPr>
      </xdr:nvCxnSpPr>
      <xdr:spPr bwMode="auto">
        <a:xfrm rot="5400000">
          <a:off x="3175187" y="55715087"/>
          <a:ext cx="1714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3</xdr:col>
      <xdr:colOff>773206</xdr:colOff>
      <xdr:row>310</xdr:row>
      <xdr:rowOff>100853</xdr:rowOff>
    </xdr:from>
    <xdr:to>
      <xdr:col>3</xdr:col>
      <xdr:colOff>1097690</xdr:colOff>
      <xdr:row>310</xdr:row>
      <xdr:rowOff>100853</xdr:rowOff>
    </xdr:to>
    <xdr:cxnSp macro="">
      <xdr:nvCxnSpPr>
        <xdr:cNvPr id="209" name="Straight Arrow Connector 208">
          <a:extLst>
            <a:ext uri="{FF2B5EF4-FFF2-40B4-BE49-F238E27FC236}">
              <a16:creationId xmlns:a16="http://schemas.microsoft.com/office/drawing/2014/main" id="{00000000-0008-0000-0300-0000D1000000}"/>
            </a:ext>
          </a:extLst>
        </xdr:cNvPr>
        <xdr:cNvCxnSpPr/>
      </xdr:nvCxnSpPr>
      <xdr:spPr bwMode="auto">
        <a:xfrm>
          <a:off x="3059206" y="55507778"/>
          <a:ext cx="324484" cy="0"/>
        </a:xfrm>
        <a:prstGeom prst="straightConnector1">
          <a:avLst/>
        </a:pr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triangle"/>
        </a:ln>
        <a:effectLst/>
      </xdr:spPr>
    </xdr:cxnSp>
    <xdr:clientData/>
  </xdr:twoCellAnchor>
  <xdr:twoCellAnchor>
    <xdr:from>
      <xdr:col>9</xdr:col>
      <xdr:colOff>571500</xdr:colOff>
      <xdr:row>311</xdr:row>
      <xdr:rowOff>44823</xdr:rowOff>
    </xdr:from>
    <xdr:to>
      <xdr:col>10</xdr:col>
      <xdr:colOff>228600</xdr:colOff>
      <xdr:row>311</xdr:row>
      <xdr:rowOff>187698</xdr:rowOff>
    </xdr:to>
    <xdr:sp macro="" textlink="">
      <xdr:nvSpPr>
        <xdr:cNvPr id="210" name="AutoShape 2852">
          <a:extLst>
            <a:ext uri="{FF2B5EF4-FFF2-40B4-BE49-F238E27FC236}">
              <a16:creationId xmlns:a16="http://schemas.microsoft.com/office/drawing/2014/main" id="{00000000-0008-0000-0300-0000D2000000}"/>
            </a:ext>
          </a:extLst>
        </xdr:cNvPr>
        <xdr:cNvSpPr>
          <a:spLocks noChangeArrowheads="1"/>
        </xdr:cNvSpPr>
      </xdr:nvSpPr>
      <xdr:spPr bwMode="auto">
        <a:xfrm>
          <a:off x="7086600" y="55651773"/>
          <a:ext cx="400050" cy="142875"/>
        </a:xfrm>
        <a:prstGeom prst="curvedRightArrow">
          <a:avLst>
            <a:gd name="adj1" fmla="val 1185"/>
            <a:gd name="adj2" fmla="val 40000"/>
            <a:gd name="adj3" fmla="val 44444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10</xdr:col>
      <xdr:colOff>104775</xdr:colOff>
      <xdr:row>357</xdr:row>
      <xdr:rowOff>9525</xdr:rowOff>
    </xdr:from>
    <xdr:to>
      <xdr:col>10</xdr:col>
      <xdr:colOff>257175</xdr:colOff>
      <xdr:row>358</xdr:row>
      <xdr:rowOff>19050</xdr:rowOff>
    </xdr:to>
    <xdr:sp macro="" textlink="">
      <xdr:nvSpPr>
        <xdr:cNvPr id="211" name="AutoShape 2876">
          <a:extLst>
            <a:ext uri="{FF2B5EF4-FFF2-40B4-BE49-F238E27FC236}">
              <a16:creationId xmlns:a16="http://schemas.microsoft.com/office/drawing/2014/main" id="{00000000-0008-0000-0300-0000D3000000}"/>
            </a:ext>
          </a:extLst>
        </xdr:cNvPr>
        <xdr:cNvSpPr>
          <a:spLocks noChangeArrowheads="1"/>
        </xdr:cNvSpPr>
      </xdr:nvSpPr>
      <xdr:spPr bwMode="auto">
        <a:xfrm>
          <a:off x="7362825" y="66017775"/>
          <a:ext cx="152400" cy="209550"/>
        </a:xfrm>
        <a:prstGeom prst="curvedLeftArrow">
          <a:avLst>
            <a:gd name="adj1" fmla="val 1556"/>
            <a:gd name="adj2" fmla="val 52500"/>
            <a:gd name="adj3" fmla="val 33333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</xdr:col>
      <xdr:colOff>672353</xdr:colOff>
      <xdr:row>357</xdr:row>
      <xdr:rowOff>100852</xdr:rowOff>
    </xdr:from>
    <xdr:to>
      <xdr:col>3</xdr:col>
      <xdr:colOff>996837</xdr:colOff>
      <xdr:row>357</xdr:row>
      <xdr:rowOff>100852</xdr:rowOff>
    </xdr:to>
    <xdr:cxnSp macro="">
      <xdr:nvCxnSpPr>
        <xdr:cNvPr id="212" name="Straight Arrow Connector 211">
          <a:extLst>
            <a:ext uri="{FF2B5EF4-FFF2-40B4-BE49-F238E27FC236}">
              <a16:creationId xmlns:a16="http://schemas.microsoft.com/office/drawing/2014/main" id="{00000000-0008-0000-0300-0000D4000000}"/>
            </a:ext>
          </a:extLst>
        </xdr:cNvPr>
        <xdr:cNvCxnSpPr/>
      </xdr:nvCxnSpPr>
      <xdr:spPr bwMode="auto">
        <a:xfrm>
          <a:off x="2958353" y="66109102"/>
          <a:ext cx="324484" cy="0"/>
        </a:xfrm>
        <a:prstGeom prst="straightConnector1">
          <a:avLst/>
        </a:pr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triangle"/>
        </a:ln>
        <a:effectLst/>
      </xdr:spPr>
    </xdr:cxnSp>
    <xdr:clientData/>
  </xdr:twoCellAnchor>
  <xdr:twoCellAnchor>
    <xdr:from>
      <xdr:col>3</xdr:col>
      <xdr:colOff>672353</xdr:colOff>
      <xdr:row>359</xdr:row>
      <xdr:rowOff>89647</xdr:rowOff>
    </xdr:from>
    <xdr:to>
      <xdr:col>3</xdr:col>
      <xdr:colOff>996837</xdr:colOff>
      <xdr:row>359</xdr:row>
      <xdr:rowOff>89647</xdr:rowOff>
    </xdr:to>
    <xdr:cxnSp macro="">
      <xdr:nvCxnSpPr>
        <xdr:cNvPr id="213" name="Straight Arrow Connector 212">
          <a:extLst>
            <a:ext uri="{FF2B5EF4-FFF2-40B4-BE49-F238E27FC236}">
              <a16:creationId xmlns:a16="http://schemas.microsoft.com/office/drawing/2014/main" id="{00000000-0008-0000-0300-0000D5000000}"/>
            </a:ext>
          </a:extLst>
        </xdr:cNvPr>
        <xdr:cNvCxnSpPr/>
      </xdr:nvCxnSpPr>
      <xdr:spPr bwMode="auto">
        <a:xfrm>
          <a:off x="2958353" y="66497947"/>
          <a:ext cx="324484" cy="0"/>
        </a:xfrm>
        <a:prstGeom prst="straightConnector1">
          <a:avLst/>
        </a:pr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triangle"/>
        </a:ln>
        <a:effectLst/>
      </xdr:spPr>
    </xdr:cxnSp>
    <xdr:clientData/>
  </xdr:twoCellAnchor>
  <xdr:twoCellAnchor>
    <xdr:from>
      <xdr:col>3</xdr:col>
      <xdr:colOff>638735</xdr:colOff>
      <xdr:row>361</xdr:row>
      <xdr:rowOff>100853</xdr:rowOff>
    </xdr:from>
    <xdr:to>
      <xdr:col>3</xdr:col>
      <xdr:colOff>963219</xdr:colOff>
      <xdr:row>361</xdr:row>
      <xdr:rowOff>100853</xdr:rowOff>
    </xdr:to>
    <xdr:cxnSp macro="">
      <xdr:nvCxnSpPr>
        <xdr:cNvPr id="214" name="Straight Arrow Connector 213">
          <a:extLst>
            <a:ext uri="{FF2B5EF4-FFF2-40B4-BE49-F238E27FC236}">
              <a16:creationId xmlns:a16="http://schemas.microsoft.com/office/drawing/2014/main" id="{00000000-0008-0000-0300-0000D6000000}"/>
            </a:ext>
          </a:extLst>
        </xdr:cNvPr>
        <xdr:cNvCxnSpPr/>
      </xdr:nvCxnSpPr>
      <xdr:spPr bwMode="auto">
        <a:xfrm>
          <a:off x="2924735" y="66909203"/>
          <a:ext cx="324484" cy="0"/>
        </a:xfrm>
        <a:prstGeom prst="straightConnector1">
          <a:avLst/>
        </a:pr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triangle"/>
        </a:ln>
        <a:effectLst/>
      </xdr:spPr>
    </xdr:cxnSp>
    <xdr:clientData/>
  </xdr:twoCellAnchor>
  <xdr:twoCellAnchor>
    <xdr:from>
      <xdr:col>3</xdr:col>
      <xdr:colOff>840441</xdr:colOff>
      <xdr:row>358</xdr:row>
      <xdr:rowOff>22411</xdr:rowOff>
    </xdr:from>
    <xdr:to>
      <xdr:col>3</xdr:col>
      <xdr:colOff>840441</xdr:colOff>
      <xdr:row>359</xdr:row>
      <xdr:rowOff>31937</xdr:rowOff>
    </xdr:to>
    <xdr:sp macro="" textlink="">
      <xdr:nvSpPr>
        <xdr:cNvPr id="215" name="Line 2926">
          <a:extLst>
            <a:ext uri="{FF2B5EF4-FFF2-40B4-BE49-F238E27FC236}">
              <a16:creationId xmlns:a16="http://schemas.microsoft.com/office/drawing/2014/main" id="{00000000-0008-0000-0300-0000D7000000}"/>
            </a:ext>
          </a:extLst>
        </xdr:cNvPr>
        <xdr:cNvSpPr>
          <a:spLocks noChangeShapeType="1"/>
        </xdr:cNvSpPr>
      </xdr:nvSpPr>
      <xdr:spPr bwMode="auto">
        <a:xfrm>
          <a:off x="3126441" y="66230686"/>
          <a:ext cx="0" cy="209551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xdr:twoCellAnchor>
    <xdr:from>
      <xdr:col>3</xdr:col>
      <xdr:colOff>818029</xdr:colOff>
      <xdr:row>359</xdr:row>
      <xdr:rowOff>190500</xdr:rowOff>
    </xdr:from>
    <xdr:to>
      <xdr:col>3</xdr:col>
      <xdr:colOff>818029</xdr:colOff>
      <xdr:row>360</xdr:row>
      <xdr:rowOff>200025</xdr:rowOff>
    </xdr:to>
    <xdr:sp macro="" textlink="">
      <xdr:nvSpPr>
        <xdr:cNvPr id="216" name="Line 2926">
          <a:extLst>
            <a:ext uri="{FF2B5EF4-FFF2-40B4-BE49-F238E27FC236}">
              <a16:creationId xmlns:a16="http://schemas.microsoft.com/office/drawing/2014/main" id="{00000000-0008-0000-0300-0000D8000000}"/>
            </a:ext>
          </a:extLst>
        </xdr:cNvPr>
        <xdr:cNvSpPr>
          <a:spLocks noChangeShapeType="1"/>
        </xdr:cNvSpPr>
      </xdr:nvSpPr>
      <xdr:spPr bwMode="auto">
        <a:xfrm>
          <a:off x="3104029" y="66598800"/>
          <a:ext cx="0" cy="2095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xdr:twoCellAnchor>
    <xdr:from>
      <xdr:col>3</xdr:col>
      <xdr:colOff>829235</xdr:colOff>
      <xdr:row>362</xdr:row>
      <xdr:rowOff>0</xdr:rowOff>
    </xdr:from>
    <xdr:to>
      <xdr:col>3</xdr:col>
      <xdr:colOff>829235</xdr:colOff>
      <xdr:row>363</xdr:row>
      <xdr:rowOff>9525</xdr:rowOff>
    </xdr:to>
    <xdr:sp macro="" textlink="">
      <xdr:nvSpPr>
        <xdr:cNvPr id="217" name="Line 2926">
          <a:extLst>
            <a:ext uri="{FF2B5EF4-FFF2-40B4-BE49-F238E27FC236}">
              <a16:creationId xmlns:a16="http://schemas.microsoft.com/office/drawing/2014/main" id="{00000000-0008-0000-0300-0000D9000000}"/>
            </a:ext>
          </a:extLst>
        </xdr:cNvPr>
        <xdr:cNvSpPr>
          <a:spLocks noChangeShapeType="1"/>
        </xdr:cNvSpPr>
      </xdr:nvSpPr>
      <xdr:spPr bwMode="auto">
        <a:xfrm>
          <a:off x="3115235" y="67008375"/>
          <a:ext cx="0" cy="2095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xdr:twoCellAnchor>
    <xdr:from>
      <xdr:col>3</xdr:col>
      <xdr:colOff>627530</xdr:colOff>
      <xdr:row>363</xdr:row>
      <xdr:rowOff>100853</xdr:rowOff>
    </xdr:from>
    <xdr:to>
      <xdr:col>3</xdr:col>
      <xdr:colOff>952014</xdr:colOff>
      <xdr:row>363</xdr:row>
      <xdr:rowOff>100853</xdr:rowOff>
    </xdr:to>
    <xdr:cxnSp macro="">
      <xdr:nvCxnSpPr>
        <xdr:cNvPr id="218" name="Straight Arrow Connector 217">
          <a:extLst>
            <a:ext uri="{FF2B5EF4-FFF2-40B4-BE49-F238E27FC236}">
              <a16:creationId xmlns:a16="http://schemas.microsoft.com/office/drawing/2014/main" id="{00000000-0008-0000-0300-0000DA000000}"/>
            </a:ext>
          </a:extLst>
        </xdr:cNvPr>
        <xdr:cNvCxnSpPr/>
      </xdr:nvCxnSpPr>
      <xdr:spPr bwMode="auto">
        <a:xfrm>
          <a:off x="2913530" y="67309253"/>
          <a:ext cx="324484" cy="0"/>
        </a:xfrm>
        <a:prstGeom prst="straightConnector1">
          <a:avLst/>
        </a:pr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triangle"/>
        </a:ln>
        <a:effectLst/>
      </xdr:spPr>
    </xdr:cxnSp>
    <xdr:clientData/>
  </xdr:twoCellAnchor>
  <xdr:twoCellAnchor>
    <xdr:from>
      <xdr:col>3</xdr:col>
      <xdr:colOff>616324</xdr:colOff>
      <xdr:row>364</xdr:row>
      <xdr:rowOff>134471</xdr:rowOff>
    </xdr:from>
    <xdr:to>
      <xdr:col>3</xdr:col>
      <xdr:colOff>957373</xdr:colOff>
      <xdr:row>364</xdr:row>
      <xdr:rowOff>134472</xdr:rowOff>
    </xdr:to>
    <xdr:cxnSp macro="">
      <xdr:nvCxnSpPr>
        <xdr:cNvPr id="219" name="Straight Arrow Connector 218">
          <a:extLst>
            <a:ext uri="{FF2B5EF4-FFF2-40B4-BE49-F238E27FC236}">
              <a16:creationId xmlns:a16="http://schemas.microsoft.com/office/drawing/2014/main" id="{00000000-0008-0000-0300-0000DB000000}"/>
            </a:ext>
          </a:extLst>
        </xdr:cNvPr>
        <xdr:cNvCxnSpPr/>
      </xdr:nvCxnSpPr>
      <xdr:spPr bwMode="auto">
        <a:xfrm flipH="1" flipV="1">
          <a:off x="2902324" y="67542896"/>
          <a:ext cx="341049" cy="1"/>
        </a:xfrm>
        <a:prstGeom prst="straightConnector1">
          <a:avLst/>
        </a:pr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triangle"/>
        </a:ln>
        <a:effectLst/>
      </xdr:spPr>
    </xdr:cxnSp>
    <xdr:clientData/>
  </xdr:twoCellAnchor>
  <xdr:twoCellAnchor>
    <xdr:from>
      <xdr:col>3</xdr:col>
      <xdr:colOff>638736</xdr:colOff>
      <xdr:row>366</xdr:row>
      <xdr:rowOff>112059</xdr:rowOff>
    </xdr:from>
    <xdr:to>
      <xdr:col>3</xdr:col>
      <xdr:colOff>979785</xdr:colOff>
      <xdr:row>366</xdr:row>
      <xdr:rowOff>112060</xdr:rowOff>
    </xdr:to>
    <xdr:cxnSp macro="">
      <xdr:nvCxnSpPr>
        <xdr:cNvPr id="220" name="Straight Arrow Connector 219">
          <a:extLst>
            <a:ext uri="{FF2B5EF4-FFF2-40B4-BE49-F238E27FC236}">
              <a16:creationId xmlns:a16="http://schemas.microsoft.com/office/drawing/2014/main" id="{00000000-0008-0000-0300-0000DC000000}"/>
            </a:ext>
          </a:extLst>
        </xdr:cNvPr>
        <xdr:cNvCxnSpPr/>
      </xdr:nvCxnSpPr>
      <xdr:spPr bwMode="auto">
        <a:xfrm flipH="1" flipV="1">
          <a:off x="2924736" y="67920534"/>
          <a:ext cx="341049" cy="1"/>
        </a:xfrm>
        <a:prstGeom prst="straightConnector1">
          <a:avLst/>
        </a:pr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triangle"/>
        </a:ln>
        <a:effectLst/>
      </xdr:spPr>
    </xdr:cxnSp>
    <xdr:clientData/>
  </xdr:twoCellAnchor>
  <xdr:twoCellAnchor>
    <xdr:from>
      <xdr:col>3</xdr:col>
      <xdr:colOff>638736</xdr:colOff>
      <xdr:row>367</xdr:row>
      <xdr:rowOff>123265</xdr:rowOff>
    </xdr:from>
    <xdr:to>
      <xdr:col>3</xdr:col>
      <xdr:colOff>979785</xdr:colOff>
      <xdr:row>367</xdr:row>
      <xdr:rowOff>123266</xdr:rowOff>
    </xdr:to>
    <xdr:cxnSp macro="">
      <xdr:nvCxnSpPr>
        <xdr:cNvPr id="221" name="Straight Arrow Connector 220">
          <a:extLst>
            <a:ext uri="{FF2B5EF4-FFF2-40B4-BE49-F238E27FC236}">
              <a16:creationId xmlns:a16="http://schemas.microsoft.com/office/drawing/2014/main" id="{00000000-0008-0000-0300-0000DD000000}"/>
            </a:ext>
          </a:extLst>
        </xdr:cNvPr>
        <xdr:cNvCxnSpPr/>
      </xdr:nvCxnSpPr>
      <xdr:spPr bwMode="auto">
        <a:xfrm flipH="1" flipV="1">
          <a:off x="2924736" y="68131765"/>
          <a:ext cx="341049" cy="1"/>
        </a:xfrm>
        <a:prstGeom prst="straightConnector1">
          <a:avLst/>
        </a:pr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triangle"/>
        </a:ln>
        <a:effectLst/>
      </xdr:spPr>
    </xdr:cxnSp>
    <xdr:clientData/>
  </xdr:twoCellAnchor>
  <xdr:twoCellAnchor>
    <xdr:from>
      <xdr:col>9</xdr:col>
      <xdr:colOff>515471</xdr:colOff>
      <xdr:row>358</xdr:row>
      <xdr:rowOff>33618</xdr:rowOff>
    </xdr:from>
    <xdr:to>
      <xdr:col>10</xdr:col>
      <xdr:colOff>172571</xdr:colOff>
      <xdr:row>358</xdr:row>
      <xdr:rowOff>176493</xdr:rowOff>
    </xdr:to>
    <xdr:sp macro="" textlink="">
      <xdr:nvSpPr>
        <xdr:cNvPr id="222" name="AutoShape 2852">
          <a:extLst>
            <a:ext uri="{FF2B5EF4-FFF2-40B4-BE49-F238E27FC236}">
              <a16:creationId xmlns:a16="http://schemas.microsoft.com/office/drawing/2014/main" id="{00000000-0008-0000-0300-0000DE000000}"/>
            </a:ext>
          </a:extLst>
        </xdr:cNvPr>
        <xdr:cNvSpPr>
          <a:spLocks noChangeArrowheads="1"/>
        </xdr:cNvSpPr>
      </xdr:nvSpPr>
      <xdr:spPr bwMode="auto">
        <a:xfrm>
          <a:off x="7030571" y="66241893"/>
          <a:ext cx="400050" cy="142875"/>
        </a:xfrm>
        <a:prstGeom prst="curvedRightArrow">
          <a:avLst>
            <a:gd name="adj1" fmla="val 1185"/>
            <a:gd name="adj2" fmla="val 40000"/>
            <a:gd name="adj3" fmla="val 44444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9</xdr:col>
      <xdr:colOff>526677</xdr:colOff>
      <xdr:row>360</xdr:row>
      <xdr:rowOff>33618</xdr:rowOff>
    </xdr:from>
    <xdr:to>
      <xdr:col>10</xdr:col>
      <xdr:colOff>183777</xdr:colOff>
      <xdr:row>360</xdr:row>
      <xdr:rowOff>176493</xdr:rowOff>
    </xdr:to>
    <xdr:sp macro="" textlink="">
      <xdr:nvSpPr>
        <xdr:cNvPr id="223" name="AutoShape 2852">
          <a:extLst>
            <a:ext uri="{FF2B5EF4-FFF2-40B4-BE49-F238E27FC236}">
              <a16:creationId xmlns:a16="http://schemas.microsoft.com/office/drawing/2014/main" id="{00000000-0008-0000-0300-0000DF000000}"/>
            </a:ext>
          </a:extLst>
        </xdr:cNvPr>
        <xdr:cNvSpPr>
          <a:spLocks noChangeArrowheads="1"/>
        </xdr:cNvSpPr>
      </xdr:nvSpPr>
      <xdr:spPr bwMode="auto">
        <a:xfrm>
          <a:off x="7041777" y="66641943"/>
          <a:ext cx="400050" cy="142875"/>
        </a:xfrm>
        <a:prstGeom prst="curvedRightArrow">
          <a:avLst>
            <a:gd name="adj1" fmla="val 1185"/>
            <a:gd name="adj2" fmla="val 40000"/>
            <a:gd name="adj3" fmla="val 44444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9</xdr:col>
      <xdr:colOff>515472</xdr:colOff>
      <xdr:row>362</xdr:row>
      <xdr:rowOff>33618</xdr:rowOff>
    </xdr:from>
    <xdr:to>
      <xdr:col>10</xdr:col>
      <xdr:colOff>172572</xdr:colOff>
      <xdr:row>362</xdr:row>
      <xdr:rowOff>176493</xdr:rowOff>
    </xdr:to>
    <xdr:sp macro="" textlink="">
      <xdr:nvSpPr>
        <xdr:cNvPr id="224" name="AutoShape 2852">
          <a:extLst>
            <a:ext uri="{FF2B5EF4-FFF2-40B4-BE49-F238E27FC236}">
              <a16:creationId xmlns:a16="http://schemas.microsoft.com/office/drawing/2014/main" id="{00000000-0008-0000-0300-0000E0000000}"/>
            </a:ext>
          </a:extLst>
        </xdr:cNvPr>
        <xdr:cNvSpPr>
          <a:spLocks noChangeArrowheads="1"/>
        </xdr:cNvSpPr>
      </xdr:nvSpPr>
      <xdr:spPr bwMode="auto">
        <a:xfrm>
          <a:off x="7030572" y="67041993"/>
          <a:ext cx="400050" cy="142875"/>
        </a:xfrm>
        <a:prstGeom prst="curvedRightArrow">
          <a:avLst>
            <a:gd name="adj1" fmla="val 1185"/>
            <a:gd name="adj2" fmla="val 40000"/>
            <a:gd name="adj3" fmla="val 44444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10</xdr:col>
      <xdr:colOff>85725</xdr:colOff>
      <xdr:row>423</xdr:row>
      <xdr:rowOff>28575</xdr:rowOff>
    </xdr:from>
    <xdr:to>
      <xdr:col>10</xdr:col>
      <xdr:colOff>238125</xdr:colOff>
      <xdr:row>423</xdr:row>
      <xdr:rowOff>190500</xdr:rowOff>
    </xdr:to>
    <xdr:sp macro="" textlink="">
      <xdr:nvSpPr>
        <xdr:cNvPr id="225" name="AutoShape 2865">
          <a:extLst>
            <a:ext uri="{FF2B5EF4-FFF2-40B4-BE49-F238E27FC236}">
              <a16:creationId xmlns:a16="http://schemas.microsoft.com/office/drawing/2014/main" id="{B8DD3D5E-035E-4EA5-92B7-22317F7A4D33}"/>
            </a:ext>
          </a:extLst>
        </xdr:cNvPr>
        <xdr:cNvSpPr>
          <a:spLocks noChangeArrowheads="1"/>
        </xdr:cNvSpPr>
      </xdr:nvSpPr>
      <xdr:spPr bwMode="auto">
        <a:xfrm>
          <a:off x="7369549" y="77405193"/>
          <a:ext cx="152400" cy="161925"/>
        </a:xfrm>
        <a:prstGeom prst="curvedLeftArrow">
          <a:avLst>
            <a:gd name="adj1" fmla="val 1343"/>
            <a:gd name="adj2" fmla="val 45348"/>
            <a:gd name="adj3" fmla="val 33333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10</xdr:col>
      <xdr:colOff>84482</xdr:colOff>
      <xdr:row>425</xdr:row>
      <xdr:rowOff>162339</xdr:rowOff>
    </xdr:from>
    <xdr:to>
      <xdr:col>10</xdr:col>
      <xdr:colOff>236882</xdr:colOff>
      <xdr:row>426</xdr:row>
      <xdr:rowOff>124239</xdr:rowOff>
    </xdr:to>
    <xdr:sp macro="" textlink="">
      <xdr:nvSpPr>
        <xdr:cNvPr id="226" name="AutoShape 2866">
          <a:extLst>
            <a:ext uri="{FF2B5EF4-FFF2-40B4-BE49-F238E27FC236}">
              <a16:creationId xmlns:a16="http://schemas.microsoft.com/office/drawing/2014/main" id="{1A765DD8-5DB8-4584-880E-E9B64578EAFE}"/>
            </a:ext>
          </a:extLst>
        </xdr:cNvPr>
        <xdr:cNvSpPr>
          <a:spLocks noChangeArrowheads="1"/>
        </xdr:cNvSpPr>
      </xdr:nvSpPr>
      <xdr:spPr bwMode="auto">
        <a:xfrm>
          <a:off x="7368306" y="77919957"/>
          <a:ext cx="152400" cy="152400"/>
        </a:xfrm>
        <a:prstGeom prst="curvedLeftArrow">
          <a:avLst>
            <a:gd name="adj1" fmla="val 1139"/>
            <a:gd name="adj2" fmla="val 38333"/>
            <a:gd name="adj3" fmla="val 33333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</xdr:col>
      <xdr:colOff>457200</xdr:colOff>
      <xdr:row>423</xdr:row>
      <xdr:rowOff>123825</xdr:rowOff>
    </xdr:from>
    <xdr:to>
      <xdr:col>6</xdr:col>
      <xdr:colOff>142875</xdr:colOff>
      <xdr:row>423</xdr:row>
      <xdr:rowOff>123825</xdr:rowOff>
    </xdr:to>
    <xdr:sp macro="" textlink="">
      <xdr:nvSpPr>
        <xdr:cNvPr id="227" name="Line 2902">
          <a:extLst>
            <a:ext uri="{FF2B5EF4-FFF2-40B4-BE49-F238E27FC236}">
              <a16:creationId xmlns:a16="http://schemas.microsoft.com/office/drawing/2014/main" id="{5D5409C0-E147-4F6C-B472-E572565E452B}"/>
            </a:ext>
          </a:extLst>
        </xdr:cNvPr>
        <xdr:cNvSpPr>
          <a:spLocks noChangeShapeType="1"/>
        </xdr:cNvSpPr>
      </xdr:nvSpPr>
      <xdr:spPr bwMode="auto">
        <a:xfrm>
          <a:off x="4536141" y="77500443"/>
          <a:ext cx="223558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xdr:twoCellAnchor>
    <xdr:from>
      <xdr:col>5</xdr:col>
      <xdr:colOff>438150</xdr:colOff>
      <xdr:row>426</xdr:row>
      <xdr:rowOff>95250</xdr:rowOff>
    </xdr:from>
    <xdr:to>
      <xdr:col>6</xdr:col>
      <xdr:colOff>142875</xdr:colOff>
      <xdr:row>426</xdr:row>
      <xdr:rowOff>95250</xdr:rowOff>
    </xdr:to>
    <xdr:sp macro="" textlink="">
      <xdr:nvSpPr>
        <xdr:cNvPr id="228" name="Line 2908">
          <a:extLst>
            <a:ext uri="{FF2B5EF4-FFF2-40B4-BE49-F238E27FC236}">
              <a16:creationId xmlns:a16="http://schemas.microsoft.com/office/drawing/2014/main" id="{E7D884DA-DCC0-45E3-92F0-AD35F4D65A1E}"/>
            </a:ext>
          </a:extLst>
        </xdr:cNvPr>
        <xdr:cNvSpPr>
          <a:spLocks noChangeShapeType="1"/>
        </xdr:cNvSpPr>
      </xdr:nvSpPr>
      <xdr:spPr bwMode="auto">
        <a:xfrm>
          <a:off x="4517091" y="78043368"/>
          <a:ext cx="242608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xdr:twoCellAnchor>
    <xdr:from>
      <xdr:col>5</xdr:col>
      <xdr:colOff>457200</xdr:colOff>
      <xdr:row>425</xdr:row>
      <xdr:rowOff>123825</xdr:rowOff>
    </xdr:from>
    <xdr:to>
      <xdr:col>6</xdr:col>
      <xdr:colOff>142875</xdr:colOff>
      <xdr:row>425</xdr:row>
      <xdr:rowOff>123825</xdr:rowOff>
    </xdr:to>
    <xdr:sp macro="" textlink="">
      <xdr:nvSpPr>
        <xdr:cNvPr id="229" name="Line 2902">
          <a:extLst>
            <a:ext uri="{FF2B5EF4-FFF2-40B4-BE49-F238E27FC236}">
              <a16:creationId xmlns:a16="http://schemas.microsoft.com/office/drawing/2014/main" id="{CFEC4A5A-7244-4AFB-9EC8-A51867B3E0C4}"/>
            </a:ext>
          </a:extLst>
        </xdr:cNvPr>
        <xdr:cNvSpPr>
          <a:spLocks noChangeShapeType="1"/>
        </xdr:cNvSpPr>
      </xdr:nvSpPr>
      <xdr:spPr bwMode="auto">
        <a:xfrm>
          <a:off x="4536141" y="77881443"/>
          <a:ext cx="223558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xdr:twoCellAnchor>
    <xdr:from>
      <xdr:col>10</xdr:col>
      <xdr:colOff>115956</xdr:colOff>
      <xdr:row>424</xdr:row>
      <xdr:rowOff>16565</xdr:rowOff>
    </xdr:from>
    <xdr:to>
      <xdr:col>10</xdr:col>
      <xdr:colOff>268356</xdr:colOff>
      <xdr:row>424</xdr:row>
      <xdr:rowOff>178490</xdr:rowOff>
    </xdr:to>
    <xdr:sp macro="" textlink="">
      <xdr:nvSpPr>
        <xdr:cNvPr id="230" name="AutoShape 2865">
          <a:extLst>
            <a:ext uri="{FF2B5EF4-FFF2-40B4-BE49-F238E27FC236}">
              <a16:creationId xmlns:a16="http://schemas.microsoft.com/office/drawing/2014/main" id="{6570CAAE-FC61-49C0-8EF4-FC0CBE13C81F}"/>
            </a:ext>
          </a:extLst>
        </xdr:cNvPr>
        <xdr:cNvSpPr>
          <a:spLocks noChangeArrowheads="1"/>
        </xdr:cNvSpPr>
      </xdr:nvSpPr>
      <xdr:spPr bwMode="auto">
        <a:xfrm>
          <a:off x="7399780" y="77583683"/>
          <a:ext cx="152400" cy="161925"/>
        </a:xfrm>
        <a:prstGeom prst="curvedLeftArrow">
          <a:avLst>
            <a:gd name="adj1" fmla="val 1343"/>
            <a:gd name="adj2" fmla="val 45348"/>
            <a:gd name="adj3" fmla="val 33333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10</xdr:col>
      <xdr:colOff>107674</xdr:colOff>
      <xdr:row>425</xdr:row>
      <xdr:rowOff>16565</xdr:rowOff>
    </xdr:from>
    <xdr:to>
      <xdr:col>10</xdr:col>
      <xdr:colOff>260074</xdr:colOff>
      <xdr:row>425</xdr:row>
      <xdr:rowOff>178490</xdr:rowOff>
    </xdr:to>
    <xdr:sp macro="" textlink="">
      <xdr:nvSpPr>
        <xdr:cNvPr id="231" name="AutoShape 2865">
          <a:extLst>
            <a:ext uri="{FF2B5EF4-FFF2-40B4-BE49-F238E27FC236}">
              <a16:creationId xmlns:a16="http://schemas.microsoft.com/office/drawing/2014/main" id="{52FA1C9A-FDF6-4FB1-B060-4D980A489510}"/>
            </a:ext>
          </a:extLst>
        </xdr:cNvPr>
        <xdr:cNvSpPr>
          <a:spLocks noChangeArrowheads="1"/>
        </xdr:cNvSpPr>
      </xdr:nvSpPr>
      <xdr:spPr bwMode="auto">
        <a:xfrm>
          <a:off x="7391498" y="77774183"/>
          <a:ext cx="152400" cy="161925"/>
        </a:xfrm>
        <a:prstGeom prst="curvedLeftArrow">
          <a:avLst>
            <a:gd name="adj1" fmla="val 1343"/>
            <a:gd name="adj2" fmla="val 45348"/>
            <a:gd name="adj3" fmla="val 33333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</xdr:col>
      <xdr:colOff>455543</xdr:colOff>
      <xdr:row>424</xdr:row>
      <xdr:rowOff>124240</xdr:rowOff>
    </xdr:from>
    <xdr:to>
      <xdr:col>6</xdr:col>
      <xdr:colOff>141218</xdr:colOff>
      <xdr:row>424</xdr:row>
      <xdr:rowOff>124240</xdr:rowOff>
    </xdr:to>
    <xdr:sp macro="" textlink="">
      <xdr:nvSpPr>
        <xdr:cNvPr id="232" name="Line 2902">
          <a:extLst>
            <a:ext uri="{FF2B5EF4-FFF2-40B4-BE49-F238E27FC236}">
              <a16:creationId xmlns:a16="http://schemas.microsoft.com/office/drawing/2014/main" id="{8A7CD180-9998-4506-9A85-E572FF7BAA3A}"/>
            </a:ext>
          </a:extLst>
        </xdr:cNvPr>
        <xdr:cNvSpPr>
          <a:spLocks noChangeShapeType="1"/>
        </xdr:cNvSpPr>
      </xdr:nvSpPr>
      <xdr:spPr bwMode="auto">
        <a:xfrm>
          <a:off x="4534484" y="77691358"/>
          <a:ext cx="223558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xdr:twoCellAnchor>
    <xdr:from>
      <xdr:col>5</xdr:col>
      <xdr:colOff>455543</xdr:colOff>
      <xdr:row>424</xdr:row>
      <xdr:rowOff>124240</xdr:rowOff>
    </xdr:from>
    <xdr:to>
      <xdr:col>6</xdr:col>
      <xdr:colOff>141218</xdr:colOff>
      <xdr:row>424</xdr:row>
      <xdr:rowOff>124240</xdr:rowOff>
    </xdr:to>
    <xdr:sp macro="" textlink="">
      <xdr:nvSpPr>
        <xdr:cNvPr id="233" name="Line 2902">
          <a:extLst>
            <a:ext uri="{FF2B5EF4-FFF2-40B4-BE49-F238E27FC236}">
              <a16:creationId xmlns:a16="http://schemas.microsoft.com/office/drawing/2014/main" id="{FC9D3B3D-03E0-4E68-9FFA-F0634B39E688}"/>
            </a:ext>
          </a:extLst>
        </xdr:cNvPr>
        <xdr:cNvSpPr>
          <a:spLocks noChangeShapeType="1"/>
        </xdr:cNvSpPr>
      </xdr:nvSpPr>
      <xdr:spPr bwMode="auto">
        <a:xfrm>
          <a:off x="4534484" y="77691358"/>
          <a:ext cx="223558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xdr:twoCellAnchor>
    <xdr:from>
      <xdr:col>5</xdr:col>
      <xdr:colOff>455543</xdr:colOff>
      <xdr:row>424</xdr:row>
      <xdr:rowOff>124240</xdr:rowOff>
    </xdr:from>
    <xdr:to>
      <xdr:col>6</xdr:col>
      <xdr:colOff>141218</xdr:colOff>
      <xdr:row>424</xdr:row>
      <xdr:rowOff>124240</xdr:rowOff>
    </xdr:to>
    <xdr:sp macro="" textlink="">
      <xdr:nvSpPr>
        <xdr:cNvPr id="234" name="Line 2902">
          <a:extLst>
            <a:ext uri="{FF2B5EF4-FFF2-40B4-BE49-F238E27FC236}">
              <a16:creationId xmlns:a16="http://schemas.microsoft.com/office/drawing/2014/main" id="{DA654372-EA11-4AEF-B024-F4F62F240DED}"/>
            </a:ext>
          </a:extLst>
        </xdr:cNvPr>
        <xdr:cNvSpPr>
          <a:spLocks noChangeShapeType="1"/>
        </xdr:cNvSpPr>
      </xdr:nvSpPr>
      <xdr:spPr bwMode="auto">
        <a:xfrm>
          <a:off x="4534484" y="77691358"/>
          <a:ext cx="223558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xdr:twoCellAnchor>
    <xdr:from>
      <xdr:col>10</xdr:col>
      <xdr:colOff>111264</xdr:colOff>
      <xdr:row>236</xdr:row>
      <xdr:rowOff>44380</xdr:rowOff>
    </xdr:from>
    <xdr:to>
      <xdr:col>10</xdr:col>
      <xdr:colOff>272038</xdr:colOff>
      <xdr:row>236</xdr:row>
      <xdr:rowOff>196780</xdr:rowOff>
    </xdr:to>
    <xdr:sp macro="" textlink="">
      <xdr:nvSpPr>
        <xdr:cNvPr id="237" name="AutoShape 2829">
          <a:extLst>
            <a:ext uri="{FF2B5EF4-FFF2-40B4-BE49-F238E27FC236}">
              <a16:creationId xmlns:a16="http://schemas.microsoft.com/office/drawing/2014/main" id="{00000000-0008-0000-0300-0000AD000000}"/>
            </a:ext>
          </a:extLst>
        </xdr:cNvPr>
        <xdr:cNvSpPr>
          <a:spLocks noChangeArrowheads="1"/>
        </xdr:cNvSpPr>
      </xdr:nvSpPr>
      <xdr:spPr bwMode="auto">
        <a:xfrm>
          <a:off x="7369314" y="43897480"/>
          <a:ext cx="160774" cy="152400"/>
        </a:xfrm>
        <a:prstGeom prst="curvedLeftArrow">
          <a:avLst>
            <a:gd name="adj1" fmla="val 1185"/>
            <a:gd name="adj2" fmla="val 40000"/>
            <a:gd name="adj3" fmla="val 33333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9</xdr:col>
      <xdr:colOff>433551</xdr:colOff>
      <xdr:row>237</xdr:row>
      <xdr:rowOff>32845</xdr:rowOff>
    </xdr:from>
    <xdr:to>
      <xdr:col>10</xdr:col>
      <xdr:colOff>90651</xdr:colOff>
      <xdr:row>237</xdr:row>
      <xdr:rowOff>175720</xdr:rowOff>
    </xdr:to>
    <xdr:sp macro="" textlink="">
      <xdr:nvSpPr>
        <xdr:cNvPr id="238" name="AutoShape 2835">
          <a:extLst>
            <a:ext uri="{FF2B5EF4-FFF2-40B4-BE49-F238E27FC236}">
              <a16:creationId xmlns:a16="http://schemas.microsoft.com/office/drawing/2014/main" id="{00000000-0008-0000-0300-0000AE000000}"/>
            </a:ext>
          </a:extLst>
        </xdr:cNvPr>
        <xdr:cNvSpPr>
          <a:spLocks noChangeArrowheads="1"/>
        </xdr:cNvSpPr>
      </xdr:nvSpPr>
      <xdr:spPr bwMode="auto">
        <a:xfrm>
          <a:off x="6948651" y="44085970"/>
          <a:ext cx="400050" cy="142875"/>
        </a:xfrm>
        <a:prstGeom prst="curvedRightArrow">
          <a:avLst>
            <a:gd name="adj1" fmla="val 1185"/>
            <a:gd name="adj2" fmla="val 40000"/>
            <a:gd name="adj3" fmla="val 44444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</xdr:col>
      <xdr:colOff>952500</xdr:colOff>
      <xdr:row>236</xdr:row>
      <xdr:rowOff>114300</xdr:rowOff>
    </xdr:from>
    <xdr:to>
      <xdr:col>4</xdr:col>
      <xdr:colOff>33131</xdr:colOff>
      <xdr:row>236</xdr:row>
      <xdr:rowOff>114300</xdr:rowOff>
    </xdr:to>
    <xdr:cxnSp macro="">
      <xdr:nvCxnSpPr>
        <xdr:cNvPr id="239" name="Straight Arrow Connector 176">
          <a:extLst>
            <a:ext uri="{FF2B5EF4-FFF2-40B4-BE49-F238E27FC236}">
              <a16:creationId xmlns:a16="http://schemas.microsoft.com/office/drawing/2014/main" id="{00000000-0008-0000-0300-0000B1000000}"/>
            </a:ext>
          </a:extLst>
        </xdr:cNvPr>
        <xdr:cNvCxnSpPr/>
      </xdr:nvCxnSpPr>
      <xdr:spPr bwMode="auto">
        <a:xfrm>
          <a:off x="3238500" y="43967400"/>
          <a:ext cx="318881" cy="0"/>
        </a:xfrm>
        <a:prstGeom prst="straightConnector1">
          <a:avLst/>
        </a:pr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triangle"/>
        </a:ln>
        <a:effectLst/>
      </xdr:spPr>
    </xdr:cxnSp>
    <xdr:clientData/>
  </xdr:twoCellAnchor>
  <xdr:twoCellAnchor>
    <xdr:from>
      <xdr:col>3</xdr:col>
      <xdr:colOff>1085995</xdr:colOff>
      <xdr:row>237</xdr:row>
      <xdr:rowOff>11206</xdr:rowOff>
    </xdr:from>
    <xdr:to>
      <xdr:col>3</xdr:col>
      <xdr:colOff>1085995</xdr:colOff>
      <xdr:row>237</xdr:row>
      <xdr:rowOff>190939</xdr:rowOff>
    </xdr:to>
    <xdr:sp macro="" textlink="">
      <xdr:nvSpPr>
        <xdr:cNvPr id="240" name="Line 2881">
          <a:extLst>
            <a:ext uri="{FF2B5EF4-FFF2-40B4-BE49-F238E27FC236}">
              <a16:creationId xmlns:a16="http://schemas.microsoft.com/office/drawing/2014/main" id="{00000000-0008-0000-0300-0000B9000000}"/>
            </a:ext>
          </a:extLst>
        </xdr:cNvPr>
        <xdr:cNvSpPr>
          <a:spLocks noChangeShapeType="1"/>
        </xdr:cNvSpPr>
      </xdr:nvSpPr>
      <xdr:spPr bwMode="auto">
        <a:xfrm>
          <a:off x="3371995" y="44064331"/>
          <a:ext cx="0" cy="179733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xdr:twoCellAnchor>
    <xdr:from>
      <xdr:col>10</xdr:col>
      <xdr:colOff>111264</xdr:colOff>
      <xdr:row>239</xdr:row>
      <xdr:rowOff>44380</xdr:rowOff>
    </xdr:from>
    <xdr:to>
      <xdr:col>10</xdr:col>
      <xdr:colOff>272038</xdr:colOff>
      <xdr:row>239</xdr:row>
      <xdr:rowOff>196780</xdr:rowOff>
    </xdr:to>
    <xdr:sp macro="" textlink="">
      <xdr:nvSpPr>
        <xdr:cNvPr id="241" name="AutoShape 2829">
          <a:extLst>
            <a:ext uri="{FF2B5EF4-FFF2-40B4-BE49-F238E27FC236}">
              <a16:creationId xmlns:a16="http://schemas.microsoft.com/office/drawing/2014/main" id="{00000000-0008-0000-0300-0000AD000000}"/>
            </a:ext>
          </a:extLst>
        </xdr:cNvPr>
        <xdr:cNvSpPr>
          <a:spLocks noChangeArrowheads="1"/>
        </xdr:cNvSpPr>
      </xdr:nvSpPr>
      <xdr:spPr bwMode="auto">
        <a:xfrm>
          <a:off x="7369314" y="44297530"/>
          <a:ext cx="160774" cy="152400"/>
        </a:xfrm>
        <a:prstGeom prst="curvedLeftArrow">
          <a:avLst>
            <a:gd name="adj1" fmla="val 1185"/>
            <a:gd name="adj2" fmla="val 40000"/>
            <a:gd name="adj3" fmla="val 33333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9</xdr:col>
      <xdr:colOff>433551</xdr:colOff>
      <xdr:row>240</xdr:row>
      <xdr:rowOff>32845</xdr:rowOff>
    </xdr:from>
    <xdr:to>
      <xdr:col>10</xdr:col>
      <xdr:colOff>90651</xdr:colOff>
      <xdr:row>240</xdr:row>
      <xdr:rowOff>175720</xdr:rowOff>
    </xdr:to>
    <xdr:sp macro="" textlink="">
      <xdr:nvSpPr>
        <xdr:cNvPr id="242" name="AutoShape 2835">
          <a:extLst>
            <a:ext uri="{FF2B5EF4-FFF2-40B4-BE49-F238E27FC236}">
              <a16:creationId xmlns:a16="http://schemas.microsoft.com/office/drawing/2014/main" id="{00000000-0008-0000-0300-0000AE000000}"/>
            </a:ext>
          </a:extLst>
        </xdr:cNvPr>
        <xdr:cNvSpPr>
          <a:spLocks noChangeArrowheads="1"/>
        </xdr:cNvSpPr>
      </xdr:nvSpPr>
      <xdr:spPr bwMode="auto">
        <a:xfrm>
          <a:off x="6948651" y="44486020"/>
          <a:ext cx="400050" cy="142875"/>
        </a:xfrm>
        <a:prstGeom prst="curvedRightArrow">
          <a:avLst>
            <a:gd name="adj1" fmla="val 1185"/>
            <a:gd name="adj2" fmla="val 40000"/>
            <a:gd name="adj3" fmla="val 44444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</xdr:col>
      <xdr:colOff>952500</xdr:colOff>
      <xdr:row>239</xdr:row>
      <xdr:rowOff>114300</xdr:rowOff>
    </xdr:from>
    <xdr:to>
      <xdr:col>4</xdr:col>
      <xdr:colOff>33131</xdr:colOff>
      <xdr:row>239</xdr:row>
      <xdr:rowOff>114300</xdr:rowOff>
    </xdr:to>
    <xdr:cxnSp macro="">
      <xdr:nvCxnSpPr>
        <xdr:cNvPr id="243" name="Straight Arrow Connector 176">
          <a:extLst>
            <a:ext uri="{FF2B5EF4-FFF2-40B4-BE49-F238E27FC236}">
              <a16:creationId xmlns:a16="http://schemas.microsoft.com/office/drawing/2014/main" id="{00000000-0008-0000-0300-0000B1000000}"/>
            </a:ext>
          </a:extLst>
        </xdr:cNvPr>
        <xdr:cNvCxnSpPr/>
      </xdr:nvCxnSpPr>
      <xdr:spPr bwMode="auto">
        <a:xfrm>
          <a:off x="3238500" y="44367450"/>
          <a:ext cx="318881" cy="0"/>
        </a:xfrm>
        <a:prstGeom prst="straightConnector1">
          <a:avLst/>
        </a:pr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triangle"/>
        </a:ln>
        <a:effectLst/>
      </xdr:spPr>
    </xdr:cxnSp>
    <xdr:clientData/>
  </xdr:twoCellAnchor>
  <xdr:twoCellAnchor>
    <xdr:from>
      <xdr:col>3</xdr:col>
      <xdr:colOff>1085995</xdr:colOff>
      <xdr:row>240</xdr:row>
      <xdr:rowOff>11206</xdr:rowOff>
    </xdr:from>
    <xdr:to>
      <xdr:col>3</xdr:col>
      <xdr:colOff>1085995</xdr:colOff>
      <xdr:row>240</xdr:row>
      <xdr:rowOff>190939</xdr:rowOff>
    </xdr:to>
    <xdr:sp macro="" textlink="">
      <xdr:nvSpPr>
        <xdr:cNvPr id="244" name="Line 2881">
          <a:extLst>
            <a:ext uri="{FF2B5EF4-FFF2-40B4-BE49-F238E27FC236}">
              <a16:creationId xmlns:a16="http://schemas.microsoft.com/office/drawing/2014/main" id="{00000000-0008-0000-0300-0000B9000000}"/>
            </a:ext>
          </a:extLst>
        </xdr:cNvPr>
        <xdr:cNvSpPr>
          <a:spLocks noChangeShapeType="1"/>
        </xdr:cNvSpPr>
      </xdr:nvSpPr>
      <xdr:spPr bwMode="auto">
        <a:xfrm>
          <a:off x="3371995" y="44464381"/>
          <a:ext cx="0" cy="179733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xdr:twoCellAnchor>
    <xdr:from>
      <xdr:col>3</xdr:col>
      <xdr:colOff>952500</xdr:colOff>
      <xdr:row>245</xdr:row>
      <xdr:rowOff>114300</xdr:rowOff>
    </xdr:from>
    <xdr:to>
      <xdr:col>4</xdr:col>
      <xdr:colOff>33131</xdr:colOff>
      <xdr:row>245</xdr:row>
      <xdr:rowOff>114300</xdr:rowOff>
    </xdr:to>
    <xdr:cxnSp macro="">
      <xdr:nvCxnSpPr>
        <xdr:cNvPr id="246" name="Straight Arrow Connector 176">
          <a:extLst>
            <a:ext uri="{FF2B5EF4-FFF2-40B4-BE49-F238E27FC236}">
              <a16:creationId xmlns:a16="http://schemas.microsoft.com/office/drawing/2014/main" id="{00000000-0008-0000-0300-0000B1000000}"/>
            </a:ext>
          </a:extLst>
        </xdr:cNvPr>
        <xdr:cNvCxnSpPr/>
      </xdr:nvCxnSpPr>
      <xdr:spPr bwMode="auto">
        <a:xfrm>
          <a:off x="3238500" y="23431500"/>
          <a:ext cx="318881" cy="0"/>
        </a:xfrm>
        <a:prstGeom prst="straightConnector1">
          <a:avLst/>
        </a:pr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triangle"/>
        </a:ln>
        <a:effectLst/>
      </xdr:spPr>
    </xdr:cxnSp>
    <xdr:clientData/>
  </xdr:twoCellAnchor>
  <xdr:twoCellAnchor>
    <xdr:from>
      <xdr:col>3</xdr:col>
      <xdr:colOff>1085995</xdr:colOff>
      <xdr:row>246</xdr:row>
      <xdr:rowOff>11206</xdr:rowOff>
    </xdr:from>
    <xdr:to>
      <xdr:col>3</xdr:col>
      <xdr:colOff>1085995</xdr:colOff>
      <xdr:row>246</xdr:row>
      <xdr:rowOff>190939</xdr:rowOff>
    </xdr:to>
    <xdr:sp macro="" textlink="">
      <xdr:nvSpPr>
        <xdr:cNvPr id="247" name="Line 2881">
          <a:extLst>
            <a:ext uri="{FF2B5EF4-FFF2-40B4-BE49-F238E27FC236}">
              <a16:creationId xmlns:a16="http://schemas.microsoft.com/office/drawing/2014/main" id="{00000000-0008-0000-0300-0000B9000000}"/>
            </a:ext>
          </a:extLst>
        </xdr:cNvPr>
        <xdr:cNvSpPr>
          <a:spLocks noChangeShapeType="1"/>
        </xdr:cNvSpPr>
      </xdr:nvSpPr>
      <xdr:spPr bwMode="auto">
        <a:xfrm>
          <a:off x="3371995" y="23528431"/>
          <a:ext cx="0" cy="179733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xdr:twoCellAnchor>
    <xdr:from>
      <xdr:col>10</xdr:col>
      <xdr:colOff>111264</xdr:colOff>
      <xdr:row>248</xdr:row>
      <xdr:rowOff>44380</xdr:rowOff>
    </xdr:from>
    <xdr:to>
      <xdr:col>10</xdr:col>
      <xdr:colOff>272038</xdr:colOff>
      <xdr:row>248</xdr:row>
      <xdr:rowOff>196780</xdr:rowOff>
    </xdr:to>
    <xdr:sp macro="" textlink="">
      <xdr:nvSpPr>
        <xdr:cNvPr id="248" name="AutoShape 2829">
          <a:extLst>
            <a:ext uri="{FF2B5EF4-FFF2-40B4-BE49-F238E27FC236}">
              <a16:creationId xmlns:a16="http://schemas.microsoft.com/office/drawing/2014/main" id="{00000000-0008-0000-0300-0000AD000000}"/>
            </a:ext>
          </a:extLst>
        </xdr:cNvPr>
        <xdr:cNvSpPr>
          <a:spLocks noChangeArrowheads="1"/>
        </xdr:cNvSpPr>
      </xdr:nvSpPr>
      <xdr:spPr bwMode="auto">
        <a:xfrm>
          <a:off x="7369314" y="23361580"/>
          <a:ext cx="160774" cy="152400"/>
        </a:xfrm>
        <a:prstGeom prst="curvedLeftArrow">
          <a:avLst>
            <a:gd name="adj1" fmla="val 1185"/>
            <a:gd name="adj2" fmla="val 40000"/>
            <a:gd name="adj3" fmla="val 33333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9</xdr:col>
      <xdr:colOff>433551</xdr:colOff>
      <xdr:row>249</xdr:row>
      <xdr:rowOff>32845</xdr:rowOff>
    </xdr:from>
    <xdr:to>
      <xdr:col>10</xdr:col>
      <xdr:colOff>90651</xdr:colOff>
      <xdr:row>249</xdr:row>
      <xdr:rowOff>175720</xdr:rowOff>
    </xdr:to>
    <xdr:sp macro="" textlink="">
      <xdr:nvSpPr>
        <xdr:cNvPr id="249" name="AutoShape 2835">
          <a:extLst>
            <a:ext uri="{FF2B5EF4-FFF2-40B4-BE49-F238E27FC236}">
              <a16:creationId xmlns:a16="http://schemas.microsoft.com/office/drawing/2014/main" id="{00000000-0008-0000-0300-0000AE000000}"/>
            </a:ext>
          </a:extLst>
        </xdr:cNvPr>
        <xdr:cNvSpPr>
          <a:spLocks noChangeArrowheads="1"/>
        </xdr:cNvSpPr>
      </xdr:nvSpPr>
      <xdr:spPr bwMode="auto">
        <a:xfrm>
          <a:off x="6948651" y="23550070"/>
          <a:ext cx="400050" cy="142875"/>
        </a:xfrm>
        <a:prstGeom prst="curvedRightArrow">
          <a:avLst>
            <a:gd name="adj1" fmla="val 1185"/>
            <a:gd name="adj2" fmla="val 40000"/>
            <a:gd name="adj3" fmla="val 44444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</xdr:col>
      <xdr:colOff>952500</xdr:colOff>
      <xdr:row>248</xdr:row>
      <xdr:rowOff>114300</xdr:rowOff>
    </xdr:from>
    <xdr:to>
      <xdr:col>4</xdr:col>
      <xdr:colOff>33131</xdr:colOff>
      <xdr:row>248</xdr:row>
      <xdr:rowOff>114300</xdr:rowOff>
    </xdr:to>
    <xdr:cxnSp macro="">
      <xdr:nvCxnSpPr>
        <xdr:cNvPr id="250" name="Straight Arrow Connector 176">
          <a:extLst>
            <a:ext uri="{FF2B5EF4-FFF2-40B4-BE49-F238E27FC236}">
              <a16:creationId xmlns:a16="http://schemas.microsoft.com/office/drawing/2014/main" id="{00000000-0008-0000-0300-0000B1000000}"/>
            </a:ext>
          </a:extLst>
        </xdr:cNvPr>
        <xdr:cNvCxnSpPr/>
      </xdr:nvCxnSpPr>
      <xdr:spPr bwMode="auto">
        <a:xfrm>
          <a:off x="3238500" y="23431500"/>
          <a:ext cx="318881" cy="0"/>
        </a:xfrm>
        <a:prstGeom prst="straightConnector1">
          <a:avLst/>
        </a:pr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triangle"/>
        </a:ln>
        <a:effectLst/>
      </xdr:spPr>
    </xdr:cxnSp>
    <xdr:clientData/>
  </xdr:twoCellAnchor>
  <xdr:twoCellAnchor>
    <xdr:from>
      <xdr:col>3</xdr:col>
      <xdr:colOff>1085995</xdr:colOff>
      <xdr:row>249</xdr:row>
      <xdr:rowOff>11206</xdr:rowOff>
    </xdr:from>
    <xdr:to>
      <xdr:col>3</xdr:col>
      <xdr:colOff>1085995</xdr:colOff>
      <xdr:row>249</xdr:row>
      <xdr:rowOff>190939</xdr:rowOff>
    </xdr:to>
    <xdr:sp macro="" textlink="">
      <xdr:nvSpPr>
        <xdr:cNvPr id="251" name="Line 2881">
          <a:extLst>
            <a:ext uri="{FF2B5EF4-FFF2-40B4-BE49-F238E27FC236}">
              <a16:creationId xmlns:a16="http://schemas.microsoft.com/office/drawing/2014/main" id="{00000000-0008-0000-0300-0000B9000000}"/>
            </a:ext>
          </a:extLst>
        </xdr:cNvPr>
        <xdr:cNvSpPr>
          <a:spLocks noChangeShapeType="1"/>
        </xdr:cNvSpPr>
      </xdr:nvSpPr>
      <xdr:spPr bwMode="auto">
        <a:xfrm>
          <a:off x="3371995" y="23528431"/>
          <a:ext cx="0" cy="179733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</xdr:wsDr>
</file>

<file path=xl/theme/theme1.xml><?xml version="1.0" encoding="utf-8"?>
<a:theme xmlns:a="http://schemas.openxmlformats.org/drawingml/2006/main" name="Ofis Teması">
  <a:themeElements>
    <a:clrScheme name="Ofis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is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is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triangl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triangl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9.emf"/><Relationship Id="rId21" Type="http://schemas.openxmlformats.org/officeDocument/2006/relationships/oleObject" Target="../embeddings/oleObject10.bin"/><Relationship Id="rId42" Type="http://schemas.openxmlformats.org/officeDocument/2006/relationships/image" Target="../media/image17.emf"/><Relationship Id="rId47" Type="http://schemas.openxmlformats.org/officeDocument/2006/relationships/oleObject" Target="../embeddings/oleObject23.bin"/><Relationship Id="rId63" Type="http://schemas.openxmlformats.org/officeDocument/2006/relationships/oleObject" Target="../embeddings/oleObject33.bin"/><Relationship Id="rId68" Type="http://schemas.openxmlformats.org/officeDocument/2006/relationships/oleObject" Target="../embeddings/oleObject36.bin"/><Relationship Id="rId16" Type="http://schemas.openxmlformats.org/officeDocument/2006/relationships/oleObject" Target="../embeddings/oleObject6.bin"/><Relationship Id="rId11" Type="http://schemas.openxmlformats.org/officeDocument/2006/relationships/image" Target="../media/image3.emf"/><Relationship Id="rId24" Type="http://schemas.openxmlformats.org/officeDocument/2006/relationships/image" Target="../media/image8.emf"/><Relationship Id="rId32" Type="http://schemas.openxmlformats.org/officeDocument/2006/relationships/image" Target="../media/image12.emf"/><Relationship Id="rId37" Type="http://schemas.openxmlformats.org/officeDocument/2006/relationships/oleObject" Target="../embeddings/oleObject18.bin"/><Relationship Id="rId40" Type="http://schemas.openxmlformats.org/officeDocument/2006/relationships/image" Target="../media/image16.emf"/><Relationship Id="rId45" Type="http://schemas.openxmlformats.org/officeDocument/2006/relationships/oleObject" Target="../embeddings/oleObject22.bin"/><Relationship Id="rId53" Type="http://schemas.openxmlformats.org/officeDocument/2006/relationships/oleObject" Target="../embeddings/oleObject26.bin"/><Relationship Id="rId58" Type="http://schemas.openxmlformats.org/officeDocument/2006/relationships/image" Target="../media/image25.emf"/><Relationship Id="rId66" Type="http://schemas.openxmlformats.org/officeDocument/2006/relationships/oleObject" Target="../embeddings/oleObject35.bin"/><Relationship Id="rId74" Type="http://schemas.openxmlformats.org/officeDocument/2006/relationships/oleObject" Target="../embeddings/oleObject39.bin"/><Relationship Id="rId5" Type="http://schemas.openxmlformats.org/officeDocument/2006/relationships/vmlDrawing" Target="../drawings/vmlDrawing1.vml"/><Relationship Id="rId61" Type="http://schemas.openxmlformats.org/officeDocument/2006/relationships/oleObject" Target="../embeddings/oleObject31.bin"/><Relationship Id="rId19" Type="http://schemas.openxmlformats.org/officeDocument/2006/relationships/oleObject" Target="../embeddings/oleObject8.bin"/><Relationship Id="rId14" Type="http://schemas.openxmlformats.org/officeDocument/2006/relationships/oleObject" Target="../embeddings/oleObject5.bin"/><Relationship Id="rId22" Type="http://schemas.openxmlformats.org/officeDocument/2006/relationships/image" Target="../media/image7.emf"/><Relationship Id="rId27" Type="http://schemas.openxmlformats.org/officeDocument/2006/relationships/oleObject" Target="../embeddings/oleObject13.bin"/><Relationship Id="rId30" Type="http://schemas.openxmlformats.org/officeDocument/2006/relationships/image" Target="../media/image11.emf"/><Relationship Id="rId35" Type="http://schemas.openxmlformats.org/officeDocument/2006/relationships/oleObject" Target="../embeddings/oleObject17.bin"/><Relationship Id="rId43" Type="http://schemas.openxmlformats.org/officeDocument/2006/relationships/oleObject" Target="../embeddings/oleObject21.bin"/><Relationship Id="rId48" Type="http://schemas.openxmlformats.org/officeDocument/2006/relationships/image" Target="../media/image20.emf"/><Relationship Id="rId56" Type="http://schemas.openxmlformats.org/officeDocument/2006/relationships/image" Target="../media/image24.emf"/><Relationship Id="rId64" Type="http://schemas.openxmlformats.org/officeDocument/2006/relationships/oleObject" Target="../embeddings/oleObject34.bin"/><Relationship Id="rId69" Type="http://schemas.openxmlformats.org/officeDocument/2006/relationships/image" Target="../media/image28.emf"/><Relationship Id="rId77" Type="http://schemas.openxmlformats.org/officeDocument/2006/relationships/image" Target="../media/image32.emf"/><Relationship Id="rId8" Type="http://schemas.openxmlformats.org/officeDocument/2006/relationships/oleObject" Target="../embeddings/oleObject2.bin"/><Relationship Id="rId51" Type="http://schemas.openxmlformats.org/officeDocument/2006/relationships/oleObject" Target="../embeddings/oleObject25.bin"/><Relationship Id="rId72" Type="http://schemas.openxmlformats.org/officeDocument/2006/relationships/oleObject" Target="../embeddings/oleObject38.bin"/><Relationship Id="rId3" Type="http://schemas.openxmlformats.org/officeDocument/2006/relationships/printerSettings" Target="../printerSettings/printerSettings3.bin"/><Relationship Id="rId12" Type="http://schemas.openxmlformats.org/officeDocument/2006/relationships/oleObject" Target="../embeddings/oleObject4.bin"/><Relationship Id="rId17" Type="http://schemas.openxmlformats.org/officeDocument/2006/relationships/image" Target="../media/image6.emf"/><Relationship Id="rId25" Type="http://schemas.openxmlformats.org/officeDocument/2006/relationships/oleObject" Target="../embeddings/oleObject12.bin"/><Relationship Id="rId33" Type="http://schemas.openxmlformats.org/officeDocument/2006/relationships/oleObject" Target="../embeddings/oleObject16.bin"/><Relationship Id="rId38" Type="http://schemas.openxmlformats.org/officeDocument/2006/relationships/image" Target="../media/image15.emf"/><Relationship Id="rId46" Type="http://schemas.openxmlformats.org/officeDocument/2006/relationships/image" Target="../media/image19.emf"/><Relationship Id="rId59" Type="http://schemas.openxmlformats.org/officeDocument/2006/relationships/oleObject" Target="../embeddings/oleObject29.bin"/><Relationship Id="rId67" Type="http://schemas.openxmlformats.org/officeDocument/2006/relationships/image" Target="../media/image27.emf"/><Relationship Id="rId20" Type="http://schemas.openxmlformats.org/officeDocument/2006/relationships/oleObject" Target="../embeddings/oleObject9.bin"/><Relationship Id="rId41" Type="http://schemas.openxmlformats.org/officeDocument/2006/relationships/oleObject" Target="../embeddings/oleObject20.bin"/><Relationship Id="rId54" Type="http://schemas.openxmlformats.org/officeDocument/2006/relationships/image" Target="../media/image23.emf"/><Relationship Id="rId62" Type="http://schemas.openxmlformats.org/officeDocument/2006/relationships/oleObject" Target="../embeddings/oleObject32.bin"/><Relationship Id="rId70" Type="http://schemas.openxmlformats.org/officeDocument/2006/relationships/oleObject" Target="../embeddings/oleObject37.bin"/><Relationship Id="rId75" Type="http://schemas.openxmlformats.org/officeDocument/2006/relationships/image" Target="../media/image31.emf"/><Relationship Id="rId1" Type="http://schemas.openxmlformats.org/officeDocument/2006/relationships/printerSettings" Target="../printerSettings/printerSettings1.bin"/><Relationship Id="rId6" Type="http://schemas.openxmlformats.org/officeDocument/2006/relationships/oleObject" Target="../embeddings/oleObject1.bin"/><Relationship Id="rId15" Type="http://schemas.openxmlformats.org/officeDocument/2006/relationships/image" Target="../media/image5.emf"/><Relationship Id="rId23" Type="http://schemas.openxmlformats.org/officeDocument/2006/relationships/oleObject" Target="../embeddings/oleObject11.bin"/><Relationship Id="rId28" Type="http://schemas.openxmlformats.org/officeDocument/2006/relationships/image" Target="../media/image10.emf"/><Relationship Id="rId36" Type="http://schemas.openxmlformats.org/officeDocument/2006/relationships/image" Target="../media/image14.emf"/><Relationship Id="rId49" Type="http://schemas.openxmlformats.org/officeDocument/2006/relationships/oleObject" Target="../embeddings/oleObject24.bin"/><Relationship Id="rId57" Type="http://schemas.openxmlformats.org/officeDocument/2006/relationships/oleObject" Target="../embeddings/oleObject28.bin"/><Relationship Id="rId10" Type="http://schemas.openxmlformats.org/officeDocument/2006/relationships/oleObject" Target="../embeddings/oleObject3.bin"/><Relationship Id="rId31" Type="http://schemas.openxmlformats.org/officeDocument/2006/relationships/oleObject" Target="../embeddings/oleObject15.bin"/><Relationship Id="rId44" Type="http://schemas.openxmlformats.org/officeDocument/2006/relationships/image" Target="../media/image18.emf"/><Relationship Id="rId52" Type="http://schemas.openxmlformats.org/officeDocument/2006/relationships/image" Target="../media/image22.emf"/><Relationship Id="rId60" Type="http://schemas.openxmlformats.org/officeDocument/2006/relationships/oleObject" Target="../embeddings/oleObject30.bin"/><Relationship Id="rId65" Type="http://schemas.openxmlformats.org/officeDocument/2006/relationships/image" Target="../media/image26.emf"/><Relationship Id="rId73" Type="http://schemas.openxmlformats.org/officeDocument/2006/relationships/image" Target="../media/image30.emf"/><Relationship Id="rId78" Type="http://schemas.openxmlformats.org/officeDocument/2006/relationships/comments" Target="../comments1.xml"/><Relationship Id="rId4" Type="http://schemas.openxmlformats.org/officeDocument/2006/relationships/drawing" Target="../drawings/drawing1.xml"/><Relationship Id="rId9" Type="http://schemas.openxmlformats.org/officeDocument/2006/relationships/image" Target="../media/image2.emf"/><Relationship Id="rId13" Type="http://schemas.openxmlformats.org/officeDocument/2006/relationships/image" Target="../media/image4.emf"/><Relationship Id="rId18" Type="http://schemas.openxmlformats.org/officeDocument/2006/relationships/oleObject" Target="../embeddings/oleObject7.bin"/><Relationship Id="rId39" Type="http://schemas.openxmlformats.org/officeDocument/2006/relationships/oleObject" Target="../embeddings/oleObject19.bin"/><Relationship Id="rId34" Type="http://schemas.openxmlformats.org/officeDocument/2006/relationships/image" Target="../media/image13.emf"/><Relationship Id="rId50" Type="http://schemas.openxmlformats.org/officeDocument/2006/relationships/image" Target="../media/image21.emf"/><Relationship Id="rId55" Type="http://schemas.openxmlformats.org/officeDocument/2006/relationships/oleObject" Target="../embeddings/oleObject27.bin"/><Relationship Id="rId76" Type="http://schemas.openxmlformats.org/officeDocument/2006/relationships/oleObject" Target="../embeddings/oleObject40.bin"/><Relationship Id="rId7" Type="http://schemas.openxmlformats.org/officeDocument/2006/relationships/image" Target="../media/image1.emf"/><Relationship Id="rId71" Type="http://schemas.openxmlformats.org/officeDocument/2006/relationships/image" Target="../media/image29.emf"/><Relationship Id="rId2" Type="http://schemas.openxmlformats.org/officeDocument/2006/relationships/printerSettings" Target="../printerSettings/printerSettings2.bin"/><Relationship Id="rId29" Type="http://schemas.openxmlformats.org/officeDocument/2006/relationships/oleObject" Target="../embeddings/oleObject14.bin"/></Relationships>
</file>

<file path=xl/worksheets/_rels/sheet2.xml.rels><?xml version="1.0" encoding="UTF-8" standalone="yes"?>
<Relationships xmlns="http://schemas.openxmlformats.org/package/2006/relationships"><Relationship Id="rId26" Type="http://schemas.openxmlformats.org/officeDocument/2006/relationships/image" Target="../media/image10.emf"/><Relationship Id="rId21" Type="http://schemas.openxmlformats.org/officeDocument/2006/relationships/oleObject" Target="../embeddings/oleObject51.bin"/><Relationship Id="rId42" Type="http://schemas.openxmlformats.org/officeDocument/2006/relationships/image" Target="../media/image18.emf"/><Relationship Id="rId47" Type="http://schemas.openxmlformats.org/officeDocument/2006/relationships/oleObject" Target="../embeddings/oleObject64.bin"/><Relationship Id="rId63" Type="http://schemas.openxmlformats.org/officeDocument/2006/relationships/oleObject" Target="../embeddings/oleObject72.bin"/><Relationship Id="rId68" Type="http://schemas.openxmlformats.org/officeDocument/2006/relationships/image" Target="../media/image23.emf"/><Relationship Id="rId7" Type="http://schemas.openxmlformats.org/officeDocument/2006/relationships/image" Target="../media/image2.emf"/><Relationship Id="rId2" Type="http://schemas.openxmlformats.org/officeDocument/2006/relationships/drawing" Target="../drawings/drawing2.xml"/><Relationship Id="rId16" Type="http://schemas.openxmlformats.org/officeDocument/2006/relationships/oleObject" Target="../embeddings/oleObject47.bin"/><Relationship Id="rId29" Type="http://schemas.openxmlformats.org/officeDocument/2006/relationships/oleObject" Target="../embeddings/oleObject55.bin"/><Relationship Id="rId11" Type="http://schemas.openxmlformats.org/officeDocument/2006/relationships/image" Target="../media/image4.emf"/><Relationship Id="rId24" Type="http://schemas.openxmlformats.org/officeDocument/2006/relationships/image" Target="../media/image9.emf"/><Relationship Id="rId32" Type="http://schemas.openxmlformats.org/officeDocument/2006/relationships/image" Target="../media/image13.emf"/><Relationship Id="rId37" Type="http://schemas.openxmlformats.org/officeDocument/2006/relationships/oleObject" Target="../embeddings/oleObject59.bin"/><Relationship Id="rId40" Type="http://schemas.openxmlformats.org/officeDocument/2006/relationships/image" Target="../media/image17.emf"/><Relationship Id="rId45" Type="http://schemas.openxmlformats.org/officeDocument/2006/relationships/oleObject" Target="../embeddings/oleObject63.bin"/><Relationship Id="rId53" Type="http://schemas.openxmlformats.org/officeDocument/2006/relationships/oleObject" Target="../embeddings/oleObject67.bin"/><Relationship Id="rId58" Type="http://schemas.openxmlformats.org/officeDocument/2006/relationships/image" Target="../media/image31.emf"/><Relationship Id="rId66" Type="http://schemas.openxmlformats.org/officeDocument/2006/relationships/image" Target="../media/image24.emf"/><Relationship Id="rId5" Type="http://schemas.openxmlformats.org/officeDocument/2006/relationships/image" Target="../media/image1.emf"/><Relationship Id="rId61" Type="http://schemas.openxmlformats.org/officeDocument/2006/relationships/oleObject" Target="../embeddings/oleObject71.bin"/><Relationship Id="rId19" Type="http://schemas.openxmlformats.org/officeDocument/2006/relationships/oleObject" Target="../embeddings/oleObject50.bin"/><Relationship Id="rId14" Type="http://schemas.openxmlformats.org/officeDocument/2006/relationships/oleObject" Target="../embeddings/oleObject46.bin"/><Relationship Id="rId22" Type="http://schemas.openxmlformats.org/officeDocument/2006/relationships/image" Target="../media/image8.emf"/><Relationship Id="rId27" Type="http://schemas.openxmlformats.org/officeDocument/2006/relationships/oleObject" Target="../embeddings/oleObject54.bin"/><Relationship Id="rId30" Type="http://schemas.openxmlformats.org/officeDocument/2006/relationships/image" Target="../media/image12.emf"/><Relationship Id="rId35" Type="http://schemas.openxmlformats.org/officeDocument/2006/relationships/oleObject" Target="../embeddings/oleObject58.bin"/><Relationship Id="rId43" Type="http://schemas.openxmlformats.org/officeDocument/2006/relationships/oleObject" Target="../embeddings/oleObject62.bin"/><Relationship Id="rId48" Type="http://schemas.openxmlformats.org/officeDocument/2006/relationships/image" Target="../media/image21.emf"/><Relationship Id="rId56" Type="http://schemas.openxmlformats.org/officeDocument/2006/relationships/image" Target="../media/image32.emf"/><Relationship Id="rId64" Type="http://schemas.openxmlformats.org/officeDocument/2006/relationships/image" Target="../media/image40.emf"/><Relationship Id="rId69" Type="http://schemas.openxmlformats.org/officeDocument/2006/relationships/comments" Target="../comments2.xml"/><Relationship Id="rId8" Type="http://schemas.openxmlformats.org/officeDocument/2006/relationships/oleObject" Target="../embeddings/oleObject43.bin"/><Relationship Id="rId51" Type="http://schemas.openxmlformats.org/officeDocument/2006/relationships/oleObject" Target="../embeddings/oleObject66.bin"/><Relationship Id="rId3" Type="http://schemas.openxmlformats.org/officeDocument/2006/relationships/vmlDrawing" Target="../drawings/vmlDrawing2.vml"/><Relationship Id="rId12" Type="http://schemas.openxmlformats.org/officeDocument/2006/relationships/oleObject" Target="../embeddings/oleObject45.bin"/><Relationship Id="rId17" Type="http://schemas.openxmlformats.org/officeDocument/2006/relationships/oleObject" Target="../embeddings/oleObject48.bin"/><Relationship Id="rId25" Type="http://schemas.openxmlformats.org/officeDocument/2006/relationships/oleObject" Target="../embeddings/oleObject53.bin"/><Relationship Id="rId33" Type="http://schemas.openxmlformats.org/officeDocument/2006/relationships/oleObject" Target="../embeddings/oleObject57.bin"/><Relationship Id="rId38" Type="http://schemas.openxmlformats.org/officeDocument/2006/relationships/image" Target="../media/image16.emf"/><Relationship Id="rId46" Type="http://schemas.openxmlformats.org/officeDocument/2006/relationships/image" Target="../media/image20.emf"/><Relationship Id="rId59" Type="http://schemas.openxmlformats.org/officeDocument/2006/relationships/oleObject" Target="../embeddings/oleObject70.bin"/><Relationship Id="rId67" Type="http://schemas.openxmlformats.org/officeDocument/2006/relationships/oleObject" Target="../embeddings/oleObject74.bin"/><Relationship Id="rId20" Type="http://schemas.openxmlformats.org/officeDocument/2006/relationships/image" Target="../media/image7.emf"/><Relationship Id="rId41" Type="http://schemas.openxmlformats.org/officeDocument/2006/relationships/oleObject" Target="../embeddings/oleObject61.bin"/><Relationship Id="rId54" Type="http://schemas.openxmlformats.org/officeDocument/2006/relationships/image" Target="../media/image38.emf"/><Relationship Id="rId62" Type="http://schemas.openxmlformats.org/officeDocument/2006/relationships/image" Target="../media/image39.emf"/><Relationship Id="rId1" Type="http://schemas.openxmlformats.org/officeDocument/2006/relationships/printerSettings" Target="../printerSettings/printerSettings4.bin"/><Relationship Id="rId6" Type="http://schemas.openxmlformats.org/officeDocument/2006/relationships/oleObject" Target="../embeddings/oleObject42.bin"/><Relationship Id="rId15" Type="http://schemas.openxmlformats.org/officeDocument/2006/relationships/image" Target="../media/image6.emf"/><Relationship Id="rId23" Type="http://schemas.openxmlformats.org/officeDocument/2006/relationships/oleObject" Target="../embeddings/oleObject52.bin"/><Relationship Id="rId28" Type="http://schemas.openxmlformats.org/officeDocument/2006/relationships/image" Target="../media/image11.emf"/><Relationship Id="rId36" Type="http://schemas.openxmlformats.org/officeDocument/2006/relationships/image" Target="../media/image15.emf"/><Relationship Id="rId49" Type="http://schemas.openxmlformats.org/officeDocument/2006/relationships/oleObject" Target="../embeddings/oleObject65.bin"/><Relationship Id="rId57" Type="http://schemas.openxmlformats.org/officeDocument/2006/relationships/oleObject" Target="../embeddings/oleObject69.bin"/><Relationship Id="rId10" Type="http://schemas.openxmlformats.org/officeDocument/2006/relationships/oleObject" Target="../embeddings/oleObject44.bin"/><Relationship Id="rId31" Type="http://schemas.openxmlformats.org/officeDocument/2006/relationships/oleObject" Target="../embeddings/oleObject56.bin"/><Relationship Id="rId44" Type="http://schemas.openxmlformats.org/officeDocument/2006/relationships/image" Target="../media/image19.emf"/><Relationship Id="rId52" Type="http://schemas.openxmlformats.org/officeDocument/2006/relationships/image" Target="../media/image37.emf"/><Relationship Id="rId60" Type="http://schemas.openxmlformats.org/officeDocument/2006/relationships/image" Target="../media/image25.emf"/><Relationship Id="rId65" Type="http://schemas.openxmlformats.org/officeDocument/2006/relationships/oleObject" Target="../embeddings/oleObject73.bin"/><Relationship Id="rId4" Type="http://schemas.openxmlformats.org/officeDocument/2006/relationships/oleObject" Target="../embeddings/oleObject41.bin"/><Relationship Id="rId9" Type="http://schemas.openxmlformats.org/officeDocument/2006/relationships/image" Target="../media/image3.emf"/><Relationship Id="rId13" Type="http://schemas.openxmlformats.org/officeDocument/2006/relationships/image" Target="../media/image5.emf"/><Relationship Id="rId18" Type="http://schemas.openxmlformats.org/officeDocument/2006/relationships/oleObject" Target="../embeddings/oleObject49.bin"/><Relationship Id="rId39" Type="http://schemas.openxmlformats.org/officeDocument/2006/relationships/oleObject" Target="../embeddings/oleObject60.bin"/><Relationship Id="rId34" Type="http://schemas.openxmlformats.org/officeDocument/2006/relationships/image" Target="../media/image14.emf"/><Relationship Id="rId50" Type="http://schemas.openxmlformats.org/officeDocument/2006/relationships/image" Target="../media/image22.emf"/><Relationship Id="rId55" Type="http://schemas.openxmlformats.org/officeDocument/2006/relationships/oleObject" Target="../embeddings/oleObject68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7" Type="http://schemas.openxmlformats.org/officeDocument/2006/relationships/image" Target="../media/image22.emf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Relationship Id="rId6" Type="http://schemas.openxmlformats.org/officeDocument/2006/relationships/oleObject" Target="../embeddings/oleObject76.bin"/><Relationship Id="rId5" Type="http://schemas.openxmlformats.org/officeDocument/2006/relationships/image" Target="../media/image16.emf"/><Relationship Id="rId4" Type="http://schemas.openxmlformats.org/officeDocument/2006/relationships/oleObject" Target="../embeddings/oleObject75.bin"/></Relationships>
</file>

<file path=xl/worksheets/_rels/sheet4.xml.rels><?xml version="1.0" encoding="UTF-8" standalone="yes"?>
<Relationships xmlns="http://schemas.openxmlformats.org/package/2006/relationships"><Relationship Id="rId26" Type="http://schemas.openxmlformats.org/officeDocument/2006/relationships/image" Target="../media/image10.emf"/><Relationship Id="rId21" Type="http://schemas.openxmlformats.org/officeDocument/2006/relationships/oleObject" Target="../embeddings/oleObject87.bin"/><Relationship Id="rId42" Type="http://schemas.openxmlformats.org/officeDocument/2006/relationships/image" Target="../media/image18.emf"/><Relationship Id="rId47" Type="http://schemas.openxmlformats.org/officeDocument/2006/relationships/oleObject" Target="../embeddings/oleObject100.bin"/><Relationship Id="rId63" Type="http://schemas.openxmlformats.org/officeDocument/2006/relationships/image" Target="../media/image26.emf"/><Relationship Id="rId68" Type="http://schemas.openxmlformats.org/officeDocument/2006/relationships/oleObject" Target="../embeddings/oleObject113.bin"/><Relationship Id="rId2" Type="http://schemas.openxmlformats.org/officeDocument/2006/relationships/drawing" Target="../drawings/drawing4.xml"/><Relationship Id="rId16" Type="http://schemas.openxmlformats.org/officeDocument/2006/relationships/oleObject" Target="../embeddings/oleObject83.bin"/><Relationship Id="rId29" Type="http://schemas.openxmlformats.org/officeDocument/2006/relationships/oleObject" Target="../embeddings/oleObject91.bin"/><Relationship Id="rId11" Type="http://schemas.openxmlformats.org/officeDocument/2006/relationships/image" Target="../media/image4.emf"/><Relationship Id="rId24" Type="http://schemas.openxmlformats.org/officeDocument/2006/relationships/image" Target="../media/image9.emf"/><Relationship Id="rId32" Type="http://schemas.openxmlformats.org/officeDocument/2006/relationships/image" Target="../media/image13.emf"/><Relationship Id="rId37" Type="http://schemas.openxmlformats.org/officeDocument/2006/relationships/oleObject" Target="../embeddings/oleObject95.bin"/><Relationship Id="rId40" Type="http://schemas.openxmlformats.org/officeDocument/2006/relationships/image" Target="../media/image17.emf"/><Relationship Id="rId45" Type="http://schemas.openxmlformats.org/officeDocument/2006/relationships/oleObject" Target="../embeddings/oleObject99.bin"/><Relationship Id="rId53" Type="http://schemas.openxmlformats.org/officeDocument/2006/relationships/oleObject" Target="../embeddings/oleObject103.bin"/><Relationship Id="rId58" Type="http://schemas.openxmlformats.org/officeDocument/2006/relationships/oleObject" Target="../embeddings/oleObject106.bin"/><Relationship Id="rId66" Type="http://schemas.openxmlformats.org/officeDocument/2006/relationships/oleObject" Target="../embeddings/oleObject112.bin"/><Relationship Id="rId74" Type="http://schemas.openxmlformats.org/officeDocument/2006/relationships/oleObject" Target="../embeddings/oleObject116.bin"/><Relationship Id="rId5" Type="http://schemas.openxmlformats.org/officeDocument/2006/relationships/image" Target="../media/image1.emf"/><Relationship Id="rId61" Type="http://schemas.openxmlformats.org/officeDocument/2006/relationships/oleObject" Target="../embeddings/oleObject109.bin"/><Relationship Id="rId19" Type="http://schemas.openxmlformats.org/officeDocument/2006/relationships/oleObject" Target="../embeddings/oleObject86.bin"/><Relationship Id="rId14" Type="http://schemas.openxmlformats.org/officeDocument/2006/relationships/oleObject" Target="../embeddings/oleObject82.bin"/><Relationship Id="rId22" Type="http://schemas.openxmlformats.org/officeDocument/2006/relationships/image" Target="../media/image8.emf"/><Relationship Id="rId27" Type="http://schemas.openxmlformats.org/officeDocument/2006/relationships/oleObject" Target="../embeddings/oleObject90.bin"/><Relationship Id="rId30" Type="http://schemas.openxmlformats.org/officeDocument/2006/relationships/image" Target="../media/image12.emf"/><Relationship Id="rId35" Type="http://schemas.openxmlformats.org/officeDocument/2006/relationships/oleObject" Target="../embeddings/oleObject94.bin"/><Relationship Id="rId43" Type="http://schemas.openxmlformats.org/officeDocument/2006/relationships/oleObject" Target="../embeddings/oleObject98.bin"/><Relationship Id="rId48" Type="http://schemas.openxmlformats.org/officeDocument/2006/relationships/image" Target="../media/image21.emf"/><Relationship Id="rId56" Type="http://schemas.openxmlformats.org/officeDocument/2006/relationships/image" Target="../media/image25.emf"/><Relationship Id="rId64" Type="http://schemas.openxmlformats.org/officeDocument/2006/relationships/oleObject" Target="../embeddings/oleObject111.bin"/><Relationship Id="rId69" Type="http://schemas.openxmlformats.org/officeDocument/2006/relationships/image" Target="../media/image29.emf"/><Relationship Id="rId8" Type="http://schemas.openxmlformats.org/officeDocument/2006/relationships/oleObject" Target="../embeddings/oleObject79.bin"/><Relationship Id="rId51" Type="http://schemas.openxmlformats.org/officeDocument/2006/relationships/oleObject" Target="../embeddings/oleObject102.bin"/><Relationship Id="rId72" Type="http://schemas.openxmlformats.org/officeDocument/2006/relationships/oleObject" Target="../embeddings/oleObject115.bin"/><Relationship Id="rId3" Type="http://schemas.openxmlformats.org/officeDocument/2006/relationships/vmlDrawing" Target="../drawings/vmlDrawing4.vml"/><Relationship Id="rId12" Type="http://schemas.openxmlformats.org/officeDocument/2006/relationships/oleObject" Target="../embeddings/oleObject81.bin"/><Relationship Id="rId17" Type="http://schemas.openxmlformats.org/officeDocument/2006/relationships/oleObject" Target="../embeddings/oleObject84.bin"/><Relationship Id="rId25" Type="http://schemas.openxmlformats.org/officeDocument/2006/relationships/oleObject" Target="../embeddings/oleObject89.bin"/><Relationship Id="rId33" Type="http://schemas.openxmlformats.org/officeDocument/2006/relationships/oleObject" Target="../embeddings/oleObject93.bin"/><Relationship Id="rId38" Type="http://schemas.openxmlformats.org/officeDocument/2006/relationships/image" Target="../media/image16.emf"/><Relationship Id="rId46" Type="http://schemas.openxmlformats.org/officeDocument/2006/relationships/image" Target="../media/image20.emf"/><Relationship Id="rId59" Type="http://schemas.openxmlformats.org/officeDocument/2006/relationships/oleObject" Target="../embeddings/oleObject107.bin"/><Relationship Id="rId67" Type="http://schemas.openxmlformats.org/officeDocument/2006/relationships/image" Target="../media/image28.emf"/><Relationship Id="rId20" Type="http://schemas.openxmlformats.org/officeDocument/2006/relationships/image" Target="../media/image7.emf"/><Relationship Id="rId41" Type="http://schemas.openxmlformats.org/officeDocument/2006/relationships/oleObject" Target="../embeddings/oleObject97.bin"/><Relationship Id="rId54" Type="http://schemas.openxmlformats.org/officeDocument/2006/relationships/image" Target="../media/image24.emf"/><Relationship Id="rId62" Type="http://schemas.openxmlformats.org/officeDocument/2006/relationships/oleObject" Target="../embeddings/oleObject110.bin"/><Relationship Id="rId70" Type="http://schemas.openxmlformats.org/officeDocument/2006/relationships/oleObject" Target="../embeddings/oleObject114.bin"/><Relationship Id="rId75" Type="http://schemas.openxmlformats.org/officeDocument/2006/relationships/image" Target="../media/image32.emf"/><Relationship Id="rId1" Type="http://schemas.openxmlformats.org/officeDocument/2006/relationships/printerSettings" Target="../printerSettings/printerSettings6.bin"/><Relationship Id="rId6" Type="http://schemas.openxmlformats.org/officeDocument/2006/relationships/oleObject" Target="../embeddings/oleObject78.bin"/><Relationship Id="rId15" Type="http://schemas.openxmlformats.org/officeDocument/2006/relationships/image" Target="../media/image6.emf"/><Relationship Id="rId23" Type="http://schemas.openxmlformats.org/officeDocument/2006/relationships/oleObject" Target="../embeddings/oleObject88.bin"/><Relationship Id="rId28" Type="http://schemas.openxmlformats.org/officeDocument/2006/relationships/image" Target="../media/image11.emf"/><Relationship Id="rId36" Type="http://schemas.openxmlformats.org/officeDocument/2006/relationships/image" Target="../media/image15.emf"/><Relationship Id="rId49" Type="http://schemas.openxmlformats.org/officeDocument/2006/relationships/oleObject" Target="../embeddings/oleObject101.bin"/><Relationship Id="rId57" Type="http://schemas.openxmlformats.org/officeDocument/2006/relationships/oleObject" Target="../embeddings/oleObject105.bin"/><Relationship Id="rId10" Type="http://schemas.openxmlformats.org/officeDocument/2006/relationships/oleObject" Target="../embeddings/oleObject80.bin"/><Relationship Id="rId31" Type="http://schemas.openxmlformats.org/officeDocument/2006/relationships/oleObject" Target="../embeddings/oleObject92.bin"/><Relationship Id="rId44" Type="http://schemas.openxmlformats.org/officeDocument/2006/relationships/image" Target="../media/image19.emf"/><Relationship Id="rId52" Type="http://schemas.openxmlformats.org/officeDocument/2006/relationships/image" Target="../media/image23.emf"/><Relationship Id="rId60" Type="http://schemas.openxmlformats.org/officeDocument/2006/relationships/oleObject" Target="../embeddings/oleObject108.bin"/><Relationship Id="rId65" Type="http://schemas.openxmlformats.org/officeDocument/2006/relationships/image" Target="../media/image27.emf"/><Relationship Id="rId73" Type="http://schemas.openxmlformats.org/officeDocument/2006/relationships/image" Target="../media/image31.emf"/><Relationship Id="rId4" Type="http://schemas.openxmlformats.org/officeDocument/2006/relationships/oleObject" Target="../embeddings/oleObject77.bin"/><Relationship Id="rId9" Type="http://schemas.openxmlformats.org/officeDocument/2006/relationships/image" Target="../media/image3.emf"/><Relationship Id="rId13" Type="http://schemas.openxmlformats.org/officeDocument/2006/relationships/image" Target="../media/image5.emf"/><Relationship Id="rId18" Type="http://schemas.openxmlformats.org/officeDocument/2006/relationships/oleObject" Target="../embeddings/oleObject85.bin"/><Relationship Id="rId39" Type="http://schemas.openxmlformats.org/officeDocument/2006/relationships/oleObject" Target="../embeddings/oleObject96.bin"/><Relationship Id="rId34" Type="http://schemas.openxmlformats.org/officeDocument/2006/relationships/image" Target="../media/image14.emf"/><Relationship Id="rId50" Type="http://schemas.openxmlformats.org/officeDocument/2006/relationships/image" Target="../media/image22.emf"/><Relationship Id="rId55" Type="http://schemas.openxmlformats.org/officeDocument/2006/relationships/oleObject" Target="../embeddings/oleObject104.bin"/><Relationship Id="rId76" Type="http://schemas.openxmlformats.org/officeDocument/2006/relationships/comments" Target="../comments3.xml"/><Relationship Id="rId7" Type="http://schemas.openxmlformats.org/officeDocument/2006/relationships/image" Target="../media/image2.emf"/><Relationship Id="rId71" Type="http://schemas.openxmlformats.org/officeDocument/2006/relationships/image" Target="../media/image30.emf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ayfa1"/>
  <dimension ref="A1:AL555"/>
  <sheetViews>
    <sheetView showRuler="0" topLeftCell="A49" zoomScale="85" zoomScaleNormal="85" zoomScaleSheetLayoutView="100" workbookViewId="0">
      <selection activeCell="I31" sqref="I31"/>
    </sheetView>
  </sheetViews>
  <sheetFormatPr defaultRowHeight="14.25" x14ac:dyDescent="0.2"/>
  <cols>
    <col min="1" max="1" width="7.140625" style="1" customWidth="1"/>
    <col min="2" max="2" width="8" style="1" customWidth="1"/>
    <col min="3" max="3" width="19.140625" style="1" customWidth="1"/>
    <col min="4" max="4" width="18.5703125" style="1" customWidth="1"/>
    <col min="5" max="5" width="8" style="261" customWidth="1"/>
    <col min="6" max="6" width="8" style="1" customWidth="1"/>
    <col min="7" max="7" width="7.7109375" style="1" customWidth="1"/>
    <col min="8" max="8" width="10.7109375" style="1" customWidth="1"/>
    <col min="9" max="9" width="10.42578125" style="1" customWidth="1"/>
    <col min="10" max="10" width="11.140625" style="1" customWidth="1"/>
    <col min="11" max="11" width="10.140625" style="1" customWidth="1"/>
    <col min="12" max="12" width="8.5703125" style="1" customWidth="1"/>
    <col min="13" max="13" width="6.85546875" style="1" customWidth="1"/>
    <col min="14" max="14" width="14.5703125" style="1" customWidth="1"/>
    <col min="15" max="15" width="13.42578125" style="1" customWidth="1"/>
    <col min="16" max="16" width="16.28515625" style="1" customWidth="1"/>
    <col min="17" max="17" width="13.7109375" style="1" customWidth="1"/>
    <col min="18" max="18" width="9.140625" style="1" customWidth="1"/>
    <col min="19" max="19" width="8.85546875" style="1" customWidth="1"/>
    <col min="20" max="20" width="5.85546875" style="1" customWidth="1"/>
    <col min="21" max="21" width="11.5703125" style="1" customWidth="1"/>
    <col min="22" max="33" width="9.140625" style="1" customWidth="1"/>
    <col min="34" max="16384" width="9.140625" style="1"/>
  </cols>
  <sheetData>
    <row r="1" spans="1:27" ht="15" x14ac:dyDescent="0.25">
      <c r="A1" s="721" t="s">
        <v>345</v>
      </c>
      <c r="B1" s="721"/>
      <c r="C1" s="721"/>
      <c r="D1" s="721"/>
      <c r="E1" s="721"/>
      <c r="F1" s="721"/>
      <c r="G1" s="721"/>
      <c r="H1" s="721"/>
      <c r="I1" s="721"/>
      <c r="J1" s="721"/>
      <c r="K1" s="721"/>
      <c r="L1" s="1">
        <v>10</v>
      </c>
      <c r="S1" s="1" t="s">
        <v>148</v>
      </c>
    </row>
    <row r="2" spans="1:27" x14ac:dyDescent="0.2">
      <c r="S2" s="1" t="s">
        <v>149</v>
      </c>
    </row>
    <row r="3" spans="1:27" x14ac:dyDescent="0.2">
      <c r="S3" s="1" t="s">
        <v>150</v>
      </c>
    </row>
    <row r="4" spans="1:27" ht="15" customHeight="1" x14ac:dyDescent="0.2">
      <c r="L4" s="696" t="s">
        <v>102</v>
      </c>
      <c r="M4" s="696"/>
      <c r="N4" s="696"/>
      <c r="O4" s="696"/>
      <c r="P4" s="696"/>
      <c r="S4" s="1" t="s">
        <v>151</v>
      </c>
    </row>
    <row r="5" spans="1:27" x14ac:dyDescent="0.2">
      <c r="L5" s="171" t="s">
        <v>103</v>
      </c>
      <c r="M5" s="167">
        <v>25</v>
      </c>
      <c r="N5" s="168" t="s">
        <v>105</v>
      </c>
      <c r="O5" s="168"/>
      <c r="P5" s="170"/>
      <c r="S5" s="1" t="s">
        <v>152</v>
      </c>
    </row>
    <row r="6" spans="1:27" x14ac:dyDescent="0.2">
      <c r="L6" s="171" t="s">
        <v>104</v>
      </c>
      <c r="M6" s="167">
        <v>420</v>
      </c>
      <c r="N6" s="168" t="s">
        <v>105</v>
      </c>
      <c r="O6" s="168"/>
      <c r="P6" s="170"/>
      <c r="S6" s="1" t="s">
        <v>153</v>
      </c>
    </row>
    <row r="7" spans="1:27" x14ac:dyDescent="0.2">
      <c r="L7" s="191" t="s">
        <v>181</v>
      </c>
      <c r="M7" s="169">
        <v>0.05</v>
      </c>
      <c r="N7" s="168" t="s">
        <v>11</v>
      </c>
      <c r="O7" s="168"/>
      <c r="P7" s="170"/>
    </row>
    <row r="8" spans="1:27" x14ac:dyDescent="0.2">
      <c r="L8" s="171" t="s">
        <v>106</v>
      </c>
      <c r="M8" s="169">
        <v>3.11</v>
      </c>
      <c r="N8" s="168" t="s">
        <v>105</v>
      </c>
      <c r="O8" s="168"/>
      <c r="P8" s="170"/>
    </row>
    <row r="9" spans="1:27" x14ac:dyDescent="0.2">
      <c r="L9" s="170"/>
      <c r="M9" s="170"/>
      <c r="N9" s="170"/>
      <c r="O9" s="170"/>
      <c r="P9" s="170"/>
      <c r="R9" s="1" t="s">
        <v>170</v>
      </c>
      <c r="U9" s="12"/>
      <c r="V9" s="74"/>
      <c r="W9" s="154"/>
    </row>
    <row r="10" spans="1:27" ht="15" x14ac:dyDescent="0.2">
      <c r="C10" s="15"/>
      <c r="L10" s="170" t="s">
        <v>107</v>
      </c>
      <c r="M10" s="170"/>
      <c r="N10" s="167">
        <v>26</v>
      </c>
      <c r="O10" s="167"/>
      <c r="P10" s="172">
        <v>15</v>
      </c>
      <c r="Q10" s="157" t="s">
        <v>169</v>
      </c>
      <c r="R10" s="74">
        <v>0</v>
      </c>
      <c r="S10" s="148">
        <v>12.5</v>
      </c>
      <c r="U10" s="12"/>
      <c r="V10" s="74"/>
      <c r="W10" s="154"/>
    </row>
    <row r="11" spans="1:27" x14ac:dyDescent="0.2">
      <c r="L11" s="170" t="s">
        <v>109</v>
      </c>
      <c r="M11" s="170"/>
      <c r="N11" s="167">
        <v>26</v>
      </c>
      <c r="O11" s="167"/>
      <c r="P11" s="172">
        <v>15</v>
      </c>
      <c r="Q11" s="157" t="s">
        <v>169</v>
      </c>
      <c r="R11" s="74">
        <v>0</v>
      </c>
      <c r="S11" s="148">
        <v>12.5</v>
      </c>
      <c r="U11" s="12"/>
      <c r="V11" s="74"/>
      <c r="W11" s="154"/>
    </row>
    <row r="12" spans="1:27" x14ac:dyDescent="0.2">
      <c r="L12" s="170" t="s">
        <v>108</v>
      </c>
      <c r="M12" s="170"/>
      <c r="N12" s="167">
        <v>26</v>
      </c>
      <c r="O12" s="167"/>
      <c r="P12" s="172">
        <v>15</v>
      </c>
      <c r="Q12" s="157" t="s">
        <v>169</v>
      </c>
      <c r="R12" s="75">
        <v>0</v>
      </c>
      <c r="S12" s="149">
        <v>12.5</v>
      </c>
    </row>
    <row r="13" spans="1:27" x14ac:dyDescent="0.2">
      <c r="L13" s="173" t="str">
        <f>A92</f>
        <v xml:space="preserve"> İNŞAAT SONU NORMAL DURUM STABİLİTE ANALİZİ (1.Durum)"</v>
      </c>
      <c r="M13" s="168"/>
      <c r="N13" s="168"/>
      <c r="O13" s="168"/>
      <c r="P13" s="168"/>
      <c r="Q13" s="95"/>
      <c r="R13" s="95"/>
      <c r="S13" s="95"/>
      <c r="T13" s="95"/>
      <c r="U13" s="95"/>
      <c r="V13" s="2"/>
      <c r="W13" s="2"/>
      <c r="X13" s="2"/>
      <c r="Y13" s="2"/>
      <c r="Z13" s="2"/>
      <c r="AA13" s="2"/>
    </row>
    <row r="14" spans="1:27" ht="18" x14ac:dyDescent="0.35">
      <c r="L14" s="174" t="s">
        <v>95</v>
      </c>
      <c r="M14" s="175" t="s">
        <v>98</v>
      </c>
      <c r="N14" s="176">
        <f>E137</f>
        <v>30.817925363040725</v>
      </c>
      <c r="O14" s="192"/>
      <c r="P14" s="176" t="str">
        <f>F137</f>
        <v>t/m²</v>
      </c>
      <c r="Q14" s="97" t="str">
        <f>G137</f>
        <v>&lt;</v>
      </c>
      <c r="R14" s="96" t="s">
        <v>100</v>
      </c>
      <c r="S14" s="98">
        <f t="shared" ref="S14:U15" si="0">I137</f>
        <v>400</v>
      </c>
      <c r="T14" s="98" t="str">
        <f t="shared" si="0"/>
        <v>t/m²</v>
      </c>
      <c r="U14" s="99" t="str">
        <f t="shared" si="0"/>
        <v>O.K.</v>
      </c>
      <c r="V14" s="2"/>
      <c r="W14" s="2"/>
      <c r="X14" s="2"/>
      <c r="Y14" s="2"/>
      <c r="Z14" s="2"/>
      <c r="AA14" s="2"/>
    </row>
    <row r="15" spans="1:27" ht="18" x14ac:dyDescent="0.35">
      <c r="L15" s="177"/>
      <c r="M15" s="175" t="s">
        <v>99</v>
      </c>
      <c r="N15" s="176">
        <f>E138</f>
        <v>1.9392417365014747</v>
      </c>
      <c r="O15" s="192"/>
      <c r="P15" s="176" t="str">
        <f>F138</f>
        <v>t/m²</v>
      </c>
      <c r="Q15" s="101" t="str">
        <f>G138</f>
        <v>&gt;</v>
      </c>
      <c r="R15" s="100" t="s">
        <v>101</v>
      </c>
      <c r="S15" s="101">
        <f t="shared" si="0"/>
        <v>0</v>
      </c>
      <c r="T15" s="101" t="str">
        <f t="shared" si="0"/>
        <v>t/m²</v>
      </c>
      <c r="U15" s="102" t="str">
        <f t="shared" si="0"/>
        <v>O.K.</v>
      </c>
      <c r="V15" s="2"/>
      <c r="W15" s="70"/>
      <c r="X15" s="2"/>
      <c r="Y15" s="2"/>
      <c r="Z15" s="2"/>
      <c r="AA15" s="2"/>
    </row>
    <row r="16" spans="1:27" x14ac:dyDescent="0.2">
      <c r="L16" s="174" t="s">
        <v>96</v>
      </c>
      <c r="M16" s="178"/>
      <c r="N16" s="176">
        <f>E142</f>
        <v>3.9409210152107135</v>
      </c>
      <c r="O16" s="192"/>
      <c r="P16" s="176"/>
      <c r="Q16" s="104" t="str">
        <f>G142</f>
        <v>&gt;</v>
      </c>
      <c r="R16" s="104">
        <f>H142</f>
        <v>1.5</v>
      </c>
      <c r="S16" s="104"/>
      <c r="T16" s="103"/>
      <c r="U16" s="105" t="str">
        <f>I142</f>
        <v>O.K.</v>
      </c>
      <c r="V16" s="2"/>
      <c r="W16" s="2"/>
      <c r="X16" s="2"/>
      <c r="Y16" s="2"/>
      <c r="Z16" s="2"/>
      <c r="AA16" s="2"/>
    </row>
    <row r="17" spans="1:27" x14ac:dyDescent="0.2">
      <c r="I17" s="60">
        <f>hw/(bw-bt)</f>
        <v>1.3523809523809522</v>
      </c>
      <c r="L17" s="177" t="s">
        <v>97</v>
      </c>
      <c r="M17" s="178"/>
      <c r="N17" s="176">
        <f>F146</f>
        <v>3.0213983058229497</v>
      </c>
      <c r="O17" s="192"/>
      <c r="P17" s="176"/>
      <c r="Q17" s="104" t="str">
        <f>H146</f>
        <v>&gt;</v>
      </c>
      <c r="R17" s="104">
        <f>I146</f>
        <v>1.5</v>
      </c>
      <c r="S17" s="103"/>
      <c r="T17" s="103"/>
      <c r="U17" s="105" t="str">
        <f>J146</f>
        <v>O.K.</v>
      </c>
      <c r="V17" s="2"/>
      <c r="W17" s="2"/>
      <c r="X17" s="2"/>
      <c r="Y17" s="2"/>
      <c r="Z17" s="2"/>
      <c r="AA17" s="2"/>
    </row>
    <row r="18" spans="1:27" x14ac:dyDescent="0.2">
      <c r="L18" s="168"/>
      <c r="M18" s="168"/>
      <c r="N18" s="168"/>
      <c r="O18" s="168"/>
      <c r="P18" s="168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</row>
    <row r="19" spans="1:27" x14ac:dyDescent="0.2">
      <c r="L19" s="173" t="str">
        <f>A149</f>
        <v xml:space="preserve"> İNŞAAT SONU DEPREMLİ DURUM STABİLİTE ANALİZİ (2.Durum)"</v>
      </c>
      <c r="M19" s="168"/>
      <c r="N19" s="168"/>
      <c r="O19" s="168"/>
      <c r="P19" s="168"/>
      <c r="Q19" s="95"/>
      <c r="R19" s="95"/>
      <c r="S19" s="95"/>
      <c r="T19" s="95"/>
      <c r="U19" s="95"/>
      <c r="V19" s="2"/>
      <c r="W19" s="2"/>
      <c r="X19" s="2"/>
      <c r="Y19" s="2"/>
      <c r="Z19" s="2"/>
      <c r="AA19" s="2"/>
    </row>
    <row r="20" spans="1:27" ht="18" x14ac:dyDescent="0.35">
      <c r="A20" s="158"/>
      <c r="K20" s="150"/>
      <c r="L20" s="179" t="str">
        <f>L14</f>
        <v>gerilme</v>
      </c>
      <c r="M20" s="175" t="s">
        <v>98</v>
      </c>
      <c r="N20" s="180">
        <f>E193</f>
        <v>2097.490772463761</v>
      </c>
      <c r="O20" s="180"/>
      <c r="P20" s="181" t="str">
        <f>F193</f>
        <v>t/m²</v>
      </c>
      <c r="Q20" s="106" t="str">
        <f>G193</f>
        <v>&gt;</v>
      </c>
      <c r="R20" s="96" t="s">
        <v>100</v>
      </c>
      <c r="S20" s="107">
        <f t="shared" ref="S20:U21" si="1">I193</f>
        <v>400</v>
      </c>
      <c r="T20" s="106" t="str">
        <f t="shared" si="1"/>
        <v>t/m²</v>
      </c>
      <c r="U20" s="108" t="str">
        <f t="shared" si="1"/>
        <v>not O.K.</v>
      </c>
      <c r="V20" s="2"/>
      <c r="W20" s="2"/>
      <c r="X20" s="2"/>
      <c r="Y20" s="2"/>
      <c r="Z20" s="2"/>
      <c r="AA20" s="2"/>
    </row>
    <row r="21" spans="1:27" s="2" customFormat="1" ht="14.25" customHeight="1" x14ac:dyDescent="0.35">
      <c r="A21" s="2" t="s">
        <v>0</v>
      </c>
      <c r="E21" s="193"/>
      <c r="H21" s="16" t="s">
        <v>1</v>
      </c>
      <c r="I21" s="72">
        <v>7.1</v>
      </c>
      <c r="J21" s="2" t="s">
        <v>11</v>
      </c>
      <c r="K21" s="151"/>
      <c r="L21" s="179"/>
      <c r="M21" s="175" t="s">
        <v>99</v>
      </c>
      <c r="N21" s="182">
        <f>E194</f>
        <v>0</v>
      </c>
      <c r="O21" s="182"/>
      <c r="P21" s="176" t="str">
        <f>F194</f>
        <v>t/m²</v>
      </c>
      <c r="Q21" s="109"/>
      <c r="R21" s="100" t="s">
        <v>101</v>
      </c>
      <c r="S21" s="110">
        <f t="shared" si="1"/>
        <v>0</v>
      </c>
      <c r="T21" s="110" t="str">
        <f t="shared" si="1"/>
        <v>t/m²</v>
      </c>
      <c r="U21" s="111" t="str">
        <f t="shared" si="1"/>
        <v>O.K.</v>
      </c>
    </row>
    <row r="22" spans="1:27" s="2" customFormat="1" ht="14.25" customHeight="1" x14ac:dyDescent="0.3">
      <c r="A22" s="2" t="s">
        <v>2</v>
      </c>
      <c r="E22" s="193"/>
      <c r="H22" s="16" t="s">
        <v>3</v>
      </c>
      <c r="I22" s="72">
        <v>1.5</v>
      </c>
      <c r="J22" s="2" t="s">
        <v>11</v>
      </c>
      <c r="K22" s="152">
        <f>hs/hw</f>
        <v>0.21126760563380284</v>
      </c>
      <c r="L22" s="179" t="str">
        <f>L16</f>
        <v>devrilme</v>
      </c>
      <c r="M22" s="183"/>
      <c r="N22" s="181">
        <f>E198</f>
        <v>1.0206635643675921</v>
      </c>
      <c r="O22" s="421">
        <f>+E257</f>
        <v>0.73879277518669861</v>
      </c>
      <c r="P22" s="181">
        <f>+E252</f>
        <v>-333.49057011239933</v>
      </c>
      <c r="Q22" s="113" t="str">
        <f>G198</f>
        <v>&gt;</v>
      </c>
      <c r="R22" s="113">
        <f>H198</f>
        <v>1</v>
      </c>
      <c r="S22" s="113"/>
      <c r="T22" s="113"/>
      <c r="U22" s="114" t="str">
        <f>I198</f>
        <v>O.K.</v>
      </c>
    </row>
    <row r="23" spans="1:27" s="2" customFormat="1" ht="14.25" customHeight="1" x14ac:dyDescent="0.2">
      <c r="A23" s="2" t="s">
        <v>4</v>
      </c>
      <c r="E23" s="193"/>
      <c r="H23" s="16" t="s">
        <v>5</v>
      </c>
      <c r="I23" s="200">
        <f>hw+hs</f>
        <v>8.6</v>
      </c>
      <c r="J23" s="2" t="s">
        <v>11</v>
      </c>
      <c r="K23" s="151"/>
      <c r="L23" s="179" t="str">
        <f>L17</f>
        <v>kayma</v>
      </c>
      <c r="M23" s="183"/>
      <c r="N23" s="181">
        <f>F203</f>
        <v>1.0197065258147409</v>
      </c>
      <c r="O23" s="421">
        <f>+F262</f>
        <v>0.86390827398437309</v>
      </c>
      <c r="P23" s="183"/>
      <c r="Q23" s="112" t="str">
        <f>H203</f>
        <v>&gt;</v>
      </c>
      <c r="R23" s="113">
        <f>I203</f>
        <v>1</v>
      </c>
      <c r="S23" s="112"/>
      <c r="T23" s="112"/>
      <c r="U23" s="114" t="str">
        <f>J203</f>
        <v>O.K.</v>
      </c>
    </row>
    <row r="24" spans="1:27" s="2" customFormat="1" ht="15.75" x14ac:dyDescent="0.3">
      <c r="A24" s="2" t="s">
        <v>214</v>
      </c>
      <c r="E24" s="193"/>
      <c r="H24" s="16" t="s">
        <v>215</v>
      </c>
      <c r="I24" s="72">
        <f>+bf+bt/2</f>
        <v>1</v>
      </c>
      <c r="K24" s="155"/>
      <c r="L24" s="168"/>
      <c r="M24" s="168"/>
      <c r="N24" s="168"/>
      <c r="O24" s="168"/>
      <c r="P24" s="168"/>
    </row>
    <row r="25" spans="1:27" s="2" customFormat="1" ht="14.25" customHeight="1" x14ac:dyDescent="0.3">
      <c r="A25" s="2" t="s">
        <v>12</v>
      </c>
      <c r="E25" s="193"/>
      <c r="H25" s="16" t="s">
        <v>8</v>
      </c>
      <c r="I25" s="72">
        <v>1</v>
      </c>
      <c r="J25" s="2" t="s">
        <v>11</v>
      </c>
      <c r="K25" s="151"/>
      <c r="L25" s="173" t="str">
        <f>A265</f>
        <v xml:space="preserve"> TAŞKIN HALİ NORMAL DURUM STABİLİTE ANALİZİ (3.Durum)"</v>
      </c>
      <c r="M25" s="168"/>
      <c r="N25" s="168"/>
      <c r="O25" s="168"/>
      <c r="P25" s="168"/>
      <c r="Q25" s="95"/>
      <c r="R25" s="95"/>
      <c r="S25" s="95"/>
      <c r="T25" s="95"/>
      <c r="U25" s="95"/>
    </row>
    <row r="26" spans="1:27" s="2" customFormat="1" ht="14.25" customHeight="1" x14ac:dyDescent="0.35">
      <c r="A26" s="2" t="s">
        <v>13</v>
      </c>
      <c r="E26" s="193"/>
      <c r="H26" s="16" t="s">
        <v>7</v>
      </c>
      <c r="I26" s="199">
        <v>6.25</v>
      </c>
      <c r="J26" s="2" t="s">
        <v>11</v>
      </c>
      <c r="K26" s="151">
        <f>(bw-bt)/hw</f>
        <v>0.73943661971830987</v>
      </c>
      <c r="L26" s="179" t="str">
        <f>L20</f>
        <v>gerilme</v>
      </c>
      <c r="M26" s="184" t="s">
        <v>98</v>
      </c>
      <c r="N26" s="181">
        <f>E310</f>
        <v>19.717302661851022</v>
      </c>
      <c r="O26" s="181"/>
      <c r="P26" s="185" t="str">
        <f>F310</f>
        <v>t/m²</v>
      </c>
      <c r="Q26" s="116" t="str">
        <f>G310</f>
        <v>&lt;</v>
      </c>
      <c r="R26" s="115" t="s">
        <v>100</v>
      </c>
      <c r="S26" s="117">
        <f t="shared" ref="S26:U27" si="2">I310</f>
        <v>400</v>
      </c>
      <c r="T26" s="118" t="str">
        <f t="shared" si="2"/>
        <v>t/m²</v>
      </c>
      <c r="U26" s="99" t="str">
        <f t="shared" si="2"/>
        <v>O.K.</v>
      </c>
    </row>
    <row r="27" spans="1:27" s="2" customFormat="1" ht="14.25" customHeight="1" x14ac:dyDescent="0.35">
      <c r="A27" s="2" t="s">
        <v>14</v>
      </c>
      <c r="E27" s="193"/>
      <c r="H27" s="16" t="s">
        <v>9</v>
      </c>
      <c r="I27" s="72">
        <v>0.5</v>
      </c>
      <c r="J27" s="2" t="s">
        <v>11</v>
      </c>
      <c r="K27" s="151"/>
      <c r="L27" s="179"/>
      <c r="M27" s="184" t="s">
        <v>99</v>
      </c>
      <c r="N27" s="181">
        <f>E311</f>
        <v>3.2913504984278679</v>
      </c>
      <c r="O27" s="181"/>
      <c r="P27" s="185" t="str">
        <f>F311</f>
        <v>t/m²</v>
      </c>
      <c r="Q27" s="121" t="str">
        <f>G311</f>
        <v>&gt;</v>
      </c>
      <c r="R27" s="119" t="s">
        <v>100</v>
      </c>
      <c r="S27" s="122">
        <f t="shared" si="2"/>
        <v>0</v>
      </c>
      <c r="T27" s="123" t="str">
        <f t="shared" si="2"/>
        <v>t/m²</v>
      </c>
      <c r="U27" s="124" t="str">
        <f t="shared" si="2"/>
        <v>O.K.</v>
      </c>
    </row>
    <row r="28" spans="1:27" s="2" customFormat="1" ht="14.25" customHeight="1" x14ac:dyDescent="0.3">
      <c r="A28" s="2" t="s">
        <v>15</v>
      </c>
      <c r="E28" s="193"/>
      <c r="H28" s="16" t="s">
        <v>10</v>
      </c>
      <c r="I28" s="72">
        <v>0.5</v>
      </c>
      <c r="J28" s="2" t="s">
        <v>11</v>
      </c>
      <c r="K28" s="151"/>
      <c r="L28" s="179" t="str">
        <f>L22</f>
        <v>devrilme</v>
      </c>
      <c r="M28" s="168"/>
      <c r="N28" s="181">
        <f>E315</f>
        <v>1.8540279538313749</v>
      </c>
      <c r="O28" s="181"/>
      <c r="P28" s="183"/>
      <c r="Q28" s="112" t="str">
        <f>G315</f>
        <v>&gt;</v>
      </c>
      <c r="R28" s="113">
        <f>H315</f>
        <v>1.5</v>
      </c>
      <c r="S28" s="126"/>
      <c r="T28" s="125"/>
      <c r="U28" s="105" t="str">
        <f>I315</f>
        <v>O.K.</v>
      </c>
    </row>
    <row r="29" spans="1:27" s="2" customFormat="1" ht="14.25" customHeight="1" x14ac:dyDescent="0.2">
      <c r="A29" s="2" t="s">
        <v>16</v>
      </c>
      <c r="E29" s="193"/>
      <c r="H29" s="16" t="s">
        <v>6</v>
      </c>
      <c r="I29" s="85">
        <f>SUM(I26:I28)</f>
        <v>7.25</v>
      </c>
      <c r="J29" s="2" t="s">
        <v>11</v>
      </c>
      <c r="K29" s="151">
        <f>b/h</f>
        <v>0.84302325581395354</v>
      </c>
      <c r="L29" s="179" t="str">
        <f>L23</f>
        <v>kayma</v>
      </c>
      <c r="M29" s="168"/>
      <c r="N29" s="181">
        <f>F319</f>
        <v>1.5992470548356561</v>
      </c>
      <c r="O29" s="181"/>
      <c r="P29" s="168"/>
      <c r="Q29" s="112" t="str">
        <f>H319</f>
        <v>&gt;</v>
      </c>
      <c r="R29" s="113">
        <f>I319</f>
        <v>1.5</v>
      </c>
      <c r="S29" s="126"/>
      <c r="T29" s="125"/>
      <c r="U29" s="105" t="str">
        <f>J319</f>
        <v>O.K.</v>
      </c>
    </row>
    <row r="30" spans="1:27" s="2" customFormat="1" ht="15.75" x14ac:dyDescent="0.3">
      <c r="A30" s="2" t="s">
        <v>216</v>
      </c>
      <c r="E30" s="193"/>
      <c r="H30" s="16" t="s">
        <v>217</v>
      </c>
      <c r="I30" s="72">
        <v>0</v>
      </c>
      <c r="K30" s="153"/>
      <c r="L30" s="168"/>
      <c r="M30" s="168"/>
      <c r="N30" s="168"/>
      <c r="O30" s="168"/>
      <c r="P30" s="168"/>
    </row>
    <row r="31" spans="1:27" s="2" customFormat="1" ht="15.75" x14ac:dyDescent="0.3">
      <c r="A31" s="2" t="s">
        <v>218</v>
      </c>
      <c r="E31" s="193"/>
      <c r="H31" s="16" t="s">
        <v>219</v>
      </c>
      <c r="I31" s="72">
        <v>0</v>
      </c>
      <c r="K31" s="153"/>
      <c r="L31" s="168"/>
      <c r="M31" s="168"/>
      <c r="N31" s="168"/>
      <c r="O31" s="168"/>
      <c r="P31" s="168"/>
    </row>
    <row r="32" spans="1:27" s="2" customFormat="1" ht="14.25" customHeight="1" x14ac:dyDescent="0.2">
      <c r="A32" s="193" t="s">
        <v>17</v>
      </c>
      <c r="B32" s="193"/>
      <c r="C32" s="193"/>
      <c r="D32" s="193"/>
      <c r="E32" s="193"/>
      <c r="F32" s="193"/>
      <c r="G32" s="193"/>
      <c r="H32" s="194" t="s">
        <v>18</v>
      </c>
      <c r="I32" s="195">
        <v>27.83</v>
      </c>
      <c r="J32" s="193" t="s">
        <v>19</v>
      </c>
      <c r="K32" s="153"/>
      <c r="L32" s="173" t="str">
        <f>A322</f>
        <v xml:space="preserve"> TAŞKIN SONU NORMAL DURUM STABİLİTE ANALİZİ (4.Durum)"</v>
      </c>
      <c r="M32" s="168"/>
      <c r="N32" s="168"/>
      <c r="O32" s="168"/>
      <c r="P32" s="168"/>
      <c r="Q32" s="95"/>
      <c r="R32" s="95"/>
      <c r="S32" s="95"/>
      <c r="T32" s="95"/>
      <c r="U32" s="95"/>
    </row>
    <row r="33" spans="1:27" s="2" customFormat="1" ht="14.25" customHeight="1" x14ac:dyDescent="0.35">
      <c r="A33" s="193" t="s">
        <v>20</v>
      </c>
      <c r="B33" s="193"/>
      <c r="C33" s="193"/>
      <c r="D33" s="193"/>
      <c r="E33" s="193"/>
      <c r="F33" s="193"/>
      <c r="G33" s="193"/>
      <c r="H33" s="194" t="s">
        <v>6</v>
      </c>
      <c r="I33" s="283">
        <f>ATAN((I26-I25)/I21)*180/PI()</f>
        <v>36.480577842588886</v>
      </c>
      <c r="J33" s="193" t="s">
        <v>19</v>
      </c>
      <c r="K33" s="153"/>
      <c r="L33" s="179" t="str">
        <f>L26</f>
        <v>gerilme</v>
      </c>
      <c r="M33" s="186" t="s">
        <v>98</v>
      </c>
      <c r="N33" s="181">
        <f>E362</f>
        <v>24.529652413645533</v>
      </c>
      <c r="O33" s="181"/>
      <c r="P33" s="181" t="str">
        <f>F362</f>
        <v>t/m²</v>
      </c>
      <c r="Q33" s="106" t="str">
        <f>G362</f>
        <v>&lt;</v>
      </c>
      <c r="R33" s="96" t="s">
        <v>100</v>
      </c>
      <c r="S33" s="98">
        <f t="shared" ref="S33:U34" si="3">I362</f>
        <v>400</v>
      </c>
      <c r="T33" s="98" t="str">
        <f t="shared" si="3"/>
        <v>t/m²</v>
      </c>
      <c r="U33" s="99" t="str">
        <f t="shared" si="3"/>
        <v>O.K.</v>
      </c>
    </row>
    <row r="34" spans="1:27" s="2" customFormat="1" ht="14.25" customHeight="1" x14ac:dyDescent="0.35">
      <c r="A34" s="193" t="s">
        <v>21</v>
      </c>
      <c r="B34" s="193"/>
      <c r="C34" s="193"/>
      <c r="D34" s="193"/>
      <c r="E34" s="193"/>
      <c r="F34" s="193"/>
      <c r="G34" s="193"/>
      <c r="H34" s="194" t="s">
        <v>22</v>
      </c>
      <c r="I34" s="195">
        <v>0</v>
      </c>
      <c r="J34" s="193" t="s">
        <v>19</v>
      </c>
      <c r="K34" s="153"/>
      <c r="L34" s="179"/>
      <c r="M34" s="186" t="s">
        <v>99</v>
      </c>
      <c r="N34" s="181">
        <f>E363</f>
        <v>5.9205075577584951</v>
      </c>
      <c r="O34" s="181"/>
      <c r="P34" s="181" t="str">
        <f>F363</f>
        <v>t/m²</v>
      </c>
      <c r="Q34" s="120" t="str">
        <f>G363</f>
        <v>&gt;</v>
      </c>
      <c r="R34" s="100" t="s">
        <v>101</v>
      </c>
      <c r="S34" s="127">
        <f t="shared" si="3"/>
        <v>0</v>
      </c>
      <c r="T34" s="127" t="str">
        <f t="shared" si="3"/>
        <v>t/m²</v>
      </c>
      <c r="U34" s="124" t="str">
        <f t="shared" si="3"/>
        <v>O.K.</v>
      </c>
    </row>
    <row r="35" spans="1:27" s="2" customFormat="1" ht="15" customHeight="1" x14ac:dyDescent="0.2">
      <c r="A35" s="193"/>
      <c r="B35" s="193"/>
      <c r="C35" s="193"/>
      <c r="D35" s="193"/>
      <c r="E35" s="193"/>
      <c r="F35" s="193"/>
      <c r="G35" s="193"/>
      <c r="H35" s="284" t="s">
        <v>42</v>
      </c>
      <c r="I35" s="285">
        <f>I32/2</f>
        <v>13.914999999999999</v>
      </c>
      <c r="J35" s="193" t="s">
        <v>19</v>
      </c>
      <c r="L35" s="179" t="str">
        <f>L28</f>
        <v>devrilme</v>
      </c>
      <c r="M35" s="168"/>
      <c r="N35" s="176">
        <f>E367</f>
        <v>2.9125150894785388</v>
      </c>
      <c r="O35" s="192"/>
      <c r="P35" s="183"/>
      <c r="Q35" s="112" t="str">
        <f>G367</f>
        <v>&gt;</v>
      </c>
      <c r="R35" s="113">
        <f>H367</f>
        <v>1.5</v>
      </c>
      <c r="S35" s="103"/>
      <c r="T35" s="103"/>
      <c r="U35" s="105" t="str">
        <f>I367</f>
        <v>O.K.</v>
      </c>
    </row>
    <row r="36" spans="1:27" s="2" customFormat="1" ht="15" customHeight="1" x14ac:dyDescent="0.2">
      <c r="A36" s="193" t="s">
        <v>23</v>
      </c>
      <c r="B36" s="193"/>
      <c r="C36" s="193"/>
      <c r="D36" s="193"/>
      <c r="E36" s="193"/>
      <c r="F36" s="193"/>
      <c r="G36" s="193"/>
      <c r="H36" s="196" t="s">
        <v>24</v>
      </c>
      <c r="I36" s="195">
        <v>1.1399999999999999</v>
      </c>
      <c r="J36" s="193" t="s">
        <v>25</v>
      </c>
      <c r="L36" s="179" t="str">
        <f>L29</f>
        <v>kayma</v>
      </c>
      <c r="M36" s="187"/>
      <c r="N36" s="181">
        <f>F371</f>
        <v>1.9751648496414778</v>
      </c>
      <c r="O36" s="181"/>
      <c r="P36" s="183"/>
      <c r="Q36" s="112" t="str">
        <f>H371</f>
        <v>&gt;</v>
      </c>
      <c r="R36" s="113">
        <f>I371</f>
        <v>1.5</v>
      </c>
      <c r="S36" s="103"/>
      <c r="T36" s="103"/>
      <c r="U36" s="105" t="str">
        <f>J371</f>
        <v>O.K.</v>
      </c>
    </row>
    <row r="37" spans="1:27" s="193" customFormat="1" x14ac:dyDescent="0.2">
      <c r="A37" s="193" t="s">
        <v>183</v>
      </c>
      <c r="H37" s="196" t="s">
        <v>26</v>
      </c>
      <c r="I37" s="197">
        <v>0.55300000000000005</v>
      </c>
      <c r="J37" s="193" t="s">
        <v>182</v>
      </c>
      <c r="L37" s="168"/>
      <c r="M37" s="168"/>
      <c r="N37" s="168"/>
      <c r="O37" s="168"/>
      <c r="P37" s="168"/>
    </row>
    <row r="38" spans="1:27" s="193" customFormat="1" ht="12.75" x14ac:dyDescent="0.2">
      <c r="A38" s="193" t="s">
        <v>79</v>
      </c>
      <c r="H38" s="196"/>
      <c r="I38" s="197">
        <f>A*2/3</f>
        <v>0.3686666666666667</v>
      </c>
      <c r="L38" s="442" t="str">
        <f>A374</f>
        <v xml:space="preserve"> KESİT HESAPLARI</v>
      </c>
      <c r="M38" s="168"/>
      <c r="N38" s="168"/>
      <c r="O38" s="168"/>
      <c r="P38" s="168"/>
    </row>
    <row r="39" spans="1:27" s="193" customFormat="1" ht="12.75" x14ac:dyDescent="0.2">
      <c r="A39" s="193" t="s">
        <v>39</v>
      </c>
      <c r="H39" s="196" t="s">
        <v>40</v>
      </c>
      <c r="I39" s="286">
        <v>1.5</v>
      </c>
      <c r="L39" s="168" t="s">
        <v>157</v>
      </c>
      <c r="M39" s="168"/>
      <c r="N39" s="168"/>
      <c r="O39" s="168"/>
      <c r="P39" s="168"/>
    </row>
    <row r="40" spans="1:27" s="2" customFormat="1" ht="12.75" x14ac:dyDescent="0.2">
      <c r="A40" s="193"/>
      <c r="B40" s="193"/>
      <c r="C40" s="193"/>
      <c r="D40" s="193"/>
      <c r="E40" s="193"/>
      <c r="F40" s="193"/>
      <c r="G40" s="193"/>
      <c r="H40" s="196"/>
      <c r="I40" s="287"/>
      <c r="J40" s="193"/>
      <c r="L40" s="168" t="s">
        <v>159</v>
      </c>
      <c r="M40" s="168"/>
      <c r="N40" s="168">
        <f>D428</f>
        <v>463.45</v>
      </c>
      <c r="O40" s="168"/>
      <c r="P40" s="168" t="str">
        <f>E428</f>
        <v>t/m</v>
      </c>
      <c r="Q40" s="128" t="str">
        <f>F428</f>
        <v xml:space="preserve"> &gt;      Vd =</v>
      </c>
      <c r="R40" s="128"/>
      <c r="S40" s="132">
        <f t="shared" ref="S40:U41" si="4">H428</f>
        <v>162.22556063280467</v>
      </c>
      <c r="T40" s="128" t="str">
        <f t="shared" si="4"/>
        <v>t/m</v>
      </c>
      <c r="U40" s="129" t="str">
        <f t="shared" si="4"/>
        <v>O.K.</v>
      </c>
    </row>
    <row r="41" spans="1:27" s="2" customFormat="1" ht="15.75" x14ac:dyDescent="0.3">
      <c r="A41" s="193" t="s">
        <v>27</v>
      </c>
      <c r="B41" s="193"/>
      <c r="C41" s="193"/>
      <c r="D41" s="193"/>
      <c r="E41" s="193"/>
      <c r="F41" s="193"/>
      <c r="G41" s="193"/>
      <c r="H41" s="194" t="s">
        <v>28</v>
      </c>
      <c r="I41" s="195">
        <v>2.4</v>
      </c>
      <c r="J41" s="193" t="s">
        <v>30</v>
      </c>
      <c r="L41" s="168"/>
      <c r="M41" s="168"/>
      <c r="N41" s="185">
        <f>D429</f>
        <v>2086.92</v>
      </c>
      <c r="O41" s="185"/>
      <c r="P41" s="185" t="str">
        <f>E429</f>
        <v>t/m</v>
      </c>
      <c r="Q41" s="130" t="str">
        <f>F429</f>
        <v xml:space="preserve"> &gt;      Vd =</v>
      </c>
      <c r="R41" s="130"/>
      <c r="S41" s="130">
        <f t="shared" si="4"/>
        <v>162.22556063280467</v>
      </c>
      <c r="T41" s="130" t="str">
        <f t="shared" si="4"/>
        <v>t/m</v>
      </c>
      <c r="U41" s="131" t="str">
        <f t="shared" si="4"/>
        <v>O.K.</v>
      </c>
    </row>
    <row r="42" spans="1:27" s="2" customFormat="1" ht="15.75" x14ac:dyDescent="0.3">
      <c r="A42" s="193" t="s">
        <v>31</v>
      </c>
      <c r="B42" s="193"/>
      <c r="C42" s="193"/>
      <c r="D42" s="193"/>
      <c r="E42" s="193"/>
      <c r="F42" s="193"/>
      <c r="G42" s="193"/>
      <c r="H42" s="194" t="s">
        <v>29</v>
      </c>
      <c r="I42" s="195">
        <v>1</v>
      </c>
      <c r="J42" s="193" t="s">
        <v>30</v>
      </c>
      <c r="L42" s="168" t="s">
        <v>158</v>
      </c>
      <c r="M42" s="168"/>
      <c r="N42" s="185">
        <f>D484</f>
        <v>108.38749999999999</v>
      </c>
      <c r="O42" s="185"/>
      <c r="P42" s="185" t="str">
        <f>E484</f>
        <v>t/m</v>
      </c>
      <c r="Q42" s="132" t="str">
        <f>F484</f>
        <v xml:space="preserve"> &lt;     Vd =</v>
      </c>
      <c r="R42" s="132"/>
      <c r="S42" s="132">
        <f t="shared" ref="S42:U43" si="5">H484</f>
        <v>1010.7817522238847</v>
      </c>
      <c r="T42" s="132" t="str">
        <f t="shared" si="5"/>
        <v>t/m</v>
      </c>
      <c r="U42" s="133" t="str">
        <f t="shared" si="5"/>
        <v>not O.K.</v>
      </c>
    </row>
    <row r="43" spans="1:27" s="2" customFormat="1" ht="15.75" x14ac:dyDescent="0.3">
      <c r="A43" s="193" t="s">
        <v>32</v>
      </c>
      <c r="B43" s="193"/>
      <c r="C43" s="193"/>
      <c r="D43" s="193"/>
      <c r="E43" s="193"/>
      <c r="F43" s="193"/>
      <c r="G43" s="193"/>
      <c r="H43" s="194" t="s">
        <v>33</v>
      </c>
      <c r="I43" s="195">
        <v>2</v>
      </c>
      <c r="J43" s="193" t="s">
        <v>30</v>
      </c>
      <c r="L43" s="168"/>
      <c r="M43" s="168"/>
      <c r="N43" s="185">
        <f>D485</f>
        <v>488.07</v>
      </c>
      <c r="O43" s="185"/>
      <c r="P43" s="185" t="str">
        <f>E485</f>
        <v>t/m</v>
      </c>
      <c r="Q43" s="130" t="str">
        <f>F485</f>
        <v xml:space="preserve"> &lt;     Vd =</v>
      </c>
      <c r="R43" s="130"/>
      <c r="S43" s="130">
        <f t="shared" si="5"/>
        <v>1010.7817522238847</v>
      </c>
      <c r="T43" s="130" t="str">
        <f t="shared" si="5"/>
        <v>t/m</v>
      </c>
      <c r="U43" s="131" t="str">
        <f t="shared" si="5"/>
        <v>not O.K.</v>
      </c>
    </row>
    <row r="44" spans="1:27" s="2" customFormat="1" ht="15.75" x14ac:dyDescent="0.3">
      <c r="A44" s="193" t="s">
        <v>34</v>
      </c>
      <c r="B44" s="193"/>
      <c r="C44" s="193"/>
      <c r="D44" s="193"/>
      <c r="E44" s="193"/>
      <c r="F44" s="193"/>
      <c r="G44" s="193"/>
      <c r="H44" s="194" t="s">
        <v>35</v>
      </c>
      <c r="I44" s="195">
        <v>1.8</v>
      </c>
      <c r="J44" s="193" t="s">
        <v>30</v>
      </c>
      <c r="L44" s="168" t="s">
        <v>161</v>
      </c>
      <c r="M44" s="168"/>
      <c r="N44" s="185">
        <f>D541</f>
        <v>108.38749999999999</v>
      </c>
      <c r="O44" s="185"/>
      <c r="P44" s="185" t="str">
        <f>E541</f>
        <v>t/m</v>
      </c>
      <c r="Q44" s="132" t="str">
        <f>F541</f>
        <v xml:space="preserve"> &gt;     Vd =</v>
      </c>
      <c r="R44" s="132"/>
      <c r="S44" s="132">
        <f>H541</f>
        <v>29.949089338663921</v>
      </c>
      <c r="T44" s="132" t="e">
        <f>#REF!</f>
        <v>#REF!</v>
      </c>
      <c r="U44" s="133" t="str">
        <f>J541</f>
        <v>O.K.</v>
      </c>
    </row>
    <row r="45" spans="1:27" s="2" customFormat="1" ht="14.25" customHeight="1" x14ac:dyDescent="0.2">
      <c r="A45" s="193" t="s">
        <v>36</v>
      </c>
      <c r="B45" s="193"/>
      <c r="C45" s="193"/>
      <c r="D45" s="193"/>
      <c r="E45" s="193"/>
      <c r="F45" s="193"/>
      <c r="G45" s="193"/>
      <c r="H45" s="196" t="s">
        <v>37</v>
      </c>
      <c r="I45" s="195">
        <v>0</v>
      </c>
      <c r="J45" s="193" t="s">
        <v>30</v>
      </c>
      <c r="L45" s="188"/>
      <c r="M45" s="188"/>
      <c r="N45" s="189">
        <f>D542</f>
        <v>488.07</v>
      </c>
      <c r="O45" s="189"/>
      <c r="P45" s="189" t="str">
        <f>E542</f>
        <v>t/m</v>
      </c>
      <c r="Q45" s="135" t="str">
        <f>F542</f>
        <v xml:space="preserve"> &gt;     Vd =</v>
      </c>
      <c r="R45" s="134"/>
      <c r="S45" s="134">
        <f>H542</f>
        <v>29.949089338663921</v>
      </c>
      <c r="T45" s="134" t="str">
        <f>I542</f>
        <v>t/m</v>
      </c>
      <c r="U45" s="136" t="str">
        <f>J542</f>
        <v>O.K.</v>
      </c>
    </row>
    <row r="46" spans="1:27" s="2" customFormat="1" ht="12.75" x14ac:dyDescent="0.2">
      <c r="A46" s="193"/>
      <c r="B46" s="193"/>
      <c r="C46" s="193"/>
      <c r="D46" s="193"/>
      <c r="E46" s="193"/>
      <c r="F46" s="193"/>
      <c r="G46" s="193"/>
      <c r="H46" s="193"/>
      <c r="I46" s="193"/>
      <c r="J46" s="193"/>
      <c r="L46" s="168" t="s">
        <v>160</v>
      </c>
      <c r="M46" s="168"/>
      <c r="N46" s="168"/>
      <c r="O46" s="168"/>
      <c r="P46" s="168"/>
      <c r="Q46" s="137"/>
      <c r="R46" s="137"/>
      <c r="S46" s="137"/>
      <c r="T46" s="137"/>
      <c r="U46" s="137"/>
    </row>
    <row r="47" spans="1:27" s="193" customFormat="1" ht="12.75" x14ac:dyDescent="0.2">
      <c r="A47" s="193" t="s">
        <v>38</v>
      </c>
      <c r="H47" s="225" t="s">
        <v>190</v>
      </c>
      <c r="I47" s="195">
        <v>0.65</v>
      </c>
      <c r="J47" s="288"/>
      <c r="L47" s="168" t="s">
        <v>159</v>
      </c>
      <c r="M47" s="168"/>
      <c r="N47" s="182">
        <f>E432</f>
        <v>0</v>
      </c>
      <c r="O47" s="182"/>
      <c r="P47" s="314">
        <f>F432</f>
        <v>0</v>
      </c>
      <c r="Q47" s="316">
        <f>G432</f>
        <v>0</v>
      </c>
      <c r="R47" s="317"/>
      <c r="S47" s="318">
        <f>I432</f>
        <v>0</v>
      </c>
      <c r="T47" s="317">
        <f>J432</f>
        <v>0</v>
      </c>
      <c r="U47" s="319">
        <f>K432</f>
        <v>0</v>
      </c>
      <c r="V47" s="320"/>
      <c r="W47" s="320"/>
      <c r="X47" s="320"/>
      <c r="Y47" s="320"/>
      <c r="Z47" s="320"/>
      <c r="AA47" s="320"/>
    </row>
    <row r="48" spans="1:27" s="193" customFormat="1" ht="15.75" x14ac:dyDescent="0.25">
      <c r="H48" s="194"/>
      <c r="I48" s="195"/>
      <c r="L48" s="168"/>
      <c r="M48" s="170"/>
      <c r="N48" s="190" t="e">
        <f>#REF!</f>
        <v>#REF!</v>
      </c>
      <c r="O48" s="190"/>
      <c r="P48" s="315" t="e">
        <f>#REF!</f>
        <v>#REF!</v>
      </c>
      <c r="Q48" s="321" t="e">
        <f>#REF!</f>
        <v>#REF!</v>
      </c>
      <c r="R48" s="322" t="s">
        <v>154</v>
      </c>
      <c r="S48" s="323" t="e">
        <f>#REF!</f>
        <v>#REF!</v>
      </c>
      <c r="T48" s="321" t="e">
        <f>#REF!</f>
        <v>#REF!</v>
      </c>
      <c r="U48" s="324" t="e">
        <f>#REF!</f>
        <v>#REF!</v>
      </c>
    </row>
    <row r="49" spans="1:27" s="193" customFormat="1" ht="15.75" x14ac:dyDescent="0.3">
      <c r="A49" s="193" t="s">
        <v>51</v>
      </c>
      <c r="H49" s="194" t="s">
        <v>52</v>
      </c>
      <c r="I49" s="289">
        <v>400</v>
      </c>
      <c r="J49" s="193" t="s">
        <v>25</v>
      </c>
      <c r="L49" s="168" t="s">
        <v>158</v>
      </c>
      <c r="M49" s="168"/>
      <c r="N49" s="182" t="e">
        <f>#REF!</f>
        <v>#REF!</v>
      </c>
      <c r="O49" s="182"/>
      <c r="P49" s="182" t="e">
        <f>#REF!</f>
        <v>#REF!</v>
      </c>
      <c r="Q49" s="325" t="e">
        <f>#REF!</f>
        <v>#REF!</v>
      </c>
      <c r="R49" s="318"/>
      <c r="S49" s="318" t="e">
        <f>#REF!</f>
        <v>#REF!</v>
      </c>
      <c r="T49" s="318" t="e">
        <f>#REF!</f>
        <v>#REF!</v>
      </c>
      <c r="U49" s="326" t="e">
        <f>#REF!</f>
        <v>#REF!</v>
      </c>
      <c r="V49" s="261"/>
    </row>
    <row r="50" spans="1:27" s="2" customFormat="1" x14ac:dyDescent="0.2">
      <c r="A50" s="193"/>
      <c r="B50" s="193"/>
      <c r="C50" s="193"/>
      <c r="D50" s="193"/>
      <c r="E50" s="193"/>
      <c r="F50" s="193"/>
      <c r="G50" s="193"/>
      <c r="H50" s="194"/>
      <c r="I50" s="289"/>
      <c r="J50" s="193"/>
      <c r="L50" s="168"/>
      <c r="M50" s="168"/>
      <c r="N50" s="182"/>
      <c r="O50" s="182"/>
      <c r="P50" s="182"/>
      <c r="Q50" s="201"/>
      <c r="R50" s="202"/>
      <c r="S50" s="202"/>
      <c r="T50" s="202"/>
      <c r="U50" s="203"/>
      <c r="V50" s="1"/>
    </row>
    <row r="51" spans="1:27" s="2" customFormat="1" ht="15.75" x14ac:dyDescent="0.2">
      <c r="A51" s="2" t="s">
        <v>185</v>
      </c>
      <c r="E51" s="193"/>
      <c r="H51" s="16" t="s">
        <v>186</v>
      </c>
      <c r="I51" s="72">
        <v>1.1000000000000001</v>
      </c>
      <c r="J51" s="2" t="s">
        <v>11</v>
      </c>
      <c r="L51" s="168"/>
      <c r="M51" s="168"/>
      <c r="N51" s="182" t="e">
        <f>#REF!</f>
        <v>#REF!</v>
      </c>
      <c r="O51" s="182"/>
      <c r="P51" s="182" t="e">
        <f>#REF!</f>
        <v>#REF!</v>
      </c>
      <c r="Q51" s="142" t="e">
        <f>#REF!</f>
        <v>#REF!</v>
      </c>
      <c r="R51" s="141" t="s">
        <v>154</v>
      </c>
      <c r="S51" s="142" t="e">
        <f>#REF!</f>
        <v>#REF!</v>
      </c>
      <c r="T51" s="142" t="e">
        <f>#REF!</f>
        <v>#REF!</v>
      </c>
      <c r="U51" s="143" t="e">
        <f>#REF!</f>
        <v>#REF!</v>
      </c>
      <c r="V51" s="1"/>
    </row>
    <row r="52" spans="1:27" s="2" customFormat="1" ht="15.75" x14ac:dyDescent="0.3">
      <c r="A52" s="2" t="s">
        <v>172</v>
      </c>
      <c r="E52" s="193"/>
      <c r="H52" s="16" t="s">
        <v>171</v>
      </c>
      <c r="I52" s="199">
        <f>hs</f>
        <v>1.5</v>
      </c>
      <c r="J52" s="2" t="s">
        <v>11</v>
      </c>
      <c r="L52" s="168" t="s">
        <v>161</v>
      </c>
      <c r="M52" s="168"/>
      <c r="N52" s="182" t="e">
        <f>#REF!</f>
        <v>#REF!</v>
      </c>
      <c r="O52" s="182"/>
      <c r="P52" s="178" t="e">
        <f>#REF!</f>
        <v>#REF!</v>
      </c>
      <c r="Q52" s="139" t="e">
        <f>#REF!</f>
        <v>#REF!</v>
      </c>
      <c r="R52" s="138"/>
      <c r="S52" s="138" t="e">
        <f>#REF!</f>
        <v>#REF!</v>
      </c>
      <c r="T52" s="138" t="e">
        <f>#REF!</f>
        <v>#REF!</v>
      </c>
      <c r="U52" s="140" t="e">
        <f>#REF!</f>
        <v>#REF!</v>
      </c>
      <c r="W52" s="1"/>
      <c r="X52" s="1"/>
      <c r="Y52" s="1"/>
      <c r="Z52" s="1"/>
      <c r="AA52" s="1"/>
    </row>
    <row r="53" spans="1:27" s="2" customFormat="1" ht="16.5" thickBot="1" x14ac:dyDescent="0.35">
      <c r="A53" s="2" t="s">
        <v>88</v>
      </c>
      <c r="E53" s="193"/>
      <c r="H53" s="16" t="s">
        <v>90</v>
      </c>
      <c r="I53" s="199">
        <f>L54+hs</f>
        <v>6.62</v>
      </c>
      <c r="J53" s="2" t="s">
        <v>11</v>
      </c>
      <c r="L53" s="188"/>
      <c r="M53" s="168"/>
      <c r="N53" s="182">
        <f>C549</f>
        <v>0</v>
      </c>
      <c r="O53" s="182"/>
      <c r="P53" s="182">
        <f>D549</f>
        <v>0.25</v>
      </c>
      <c r="Q53" s="142">
        <f>E549</f>
        <v>0</v>
      </c>
      <c r="R53" s="141" t="s">
        <v>154</v>
      </c>
      <c r="S53" s="142">
        <f>G549</f>
        <v>0</v>
      </c>
      <c r="T53" s="142">
        <f>H549</f>
        <v>0</v>
      </c>
      <c r="U53" s="143">
        <f>I549</f>
        <v>0</v>
      </c>
    </row>
    <row r="54" spans="1:27" s="2" customFormat="1" ht="16.5" thickBot="1" x14ac:dyDescent="0.35">
      <c r="A54" s="2" t="s">
        <v>89</v>
      </c>
      <c r="E54" s="193"/>
      <c r="H54" s="16" t="s">
        <v>91</v>
      </c>
      <c r="I54" s="200">
        <f>ROUND(MAX(hsui+L54/3,hsui),2)</f>
        <v>3.21</v>
      </c>
      <c r="J54" s="2" t="s">
        <v>11</v>
      </c>
      <c r="L54" s="269">
        <v>5.12</v>
      </c>
      <c r="M54" s="2" t="s">
        <v>184</v>
      </c>
    </row>
    <row r="55" spans="1:27" s="2" customFormat="1" ht="12.75" x14ac:dyDescent="0.2">
      <c r="E55" s="193"/>
      <c r="H55" s="16"/>
      <c r="I55" s="73"/>
      <c r="L55" s="271"/>
    </row>
    <row r="56" spans="1:27" s="2" customFormat="1" ht="5.25" customHeight="1" x14ac:dyDescent="0.2">
      <c r="E56" s="193"/>
      <c r="H56" s="16"/>
      <c r="I56" s="19"/>
    </row>
    <row r="57" spans="1:27" s="2" customFormat="1" ht="13.5" customHeight="1" x14ac:dyDescent="0.2">
      <c r="A57" s="20" t="s">
        <v>137</v>
      </c>
      <c r="E57" s="193"/>
      <c r="H57" s="16"/>
      <c r="I57" s="19"/>
    </row>
    <row r="58" spans="1:27" s="14" customFormat="1" ht="27.75" customHeight="1" x14ac:dyDescent="0.25">
      <c r="A58" s="722" t="s">
        <v>138</v>
      </c>
      <c r="B58" s="722"/>
      <c r="C58" s="722" t="s">
        <v>139</v>
      </c>
      <c r="D58" s="722"/>
      <c r="E58" s="457" t="s">
        <v>163</v>
      </c>
      <c r="F58" s="21" t="s">
        <v>164</v>
      </c>
      <c r="G58" s="21" t="s">
        <v>165</v>
      </c>
      <c r="H58" s="21" t="s">
        <v>166</v>
      </c>
      <c r="I58" s="21" t="s">
        <v>140</v>
      </c>
      <c r="J58" s="21" t="s">
        <v>141</v>
      </c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</row>
    <row r="59" spans="1:27" s="2" customFormat="1" ht="13.5" customHeight="1" x14ac:dyDescent="0.2">
      <c r="A59" s="723" t="str">
        <f>"C"&amp;M5</f>
        <v>C25</v>
      </c>
      <c r="B59" s="724"/>
      <c r="C59" s="723" t="str">
        <f>"C"&amp;M6</f>
        <v>C420</v>
      </c>
      <c r="D59" s="724"/>
      <c r="E59" s="458">
        <f>IF(fc=16,0.16,IF(fc=20,0.2,IF(fc=25,0.25,"X")))</f>
        <v>0.25</v>
      </c>
      <c r="F59" s="146">
        <f>IF(fc=16,0.11,IF(fc=20,0.13,IF(fc=25,0.17,"X")))</f>
        <v>0.17</v>
      </c>
      <c r="G59" s="147">
        <f>IF(fc=16,0.014,IF(fc=20,0.016,IF(fc=25,0.018,"X")))</f>
        <v>1.7999999999999999E-2</v>
      </c>
      <c r="H59" s="147">
        <f>IF(fc=16,0.009,IF(fc=20,0.01,IF(fc=25,0.0115,"X")))</f>
        <v>1.15E-2</v>
      </c>
      <c r="I59" s="146">
        <f>IF(fy=220,2.2,IF(fy=420,4.2,"X"))</f>
        <v>4.2</v>
      </c>
      <c r="J59" s="146">
        <f>IF(fy=220,1.91,IF(fy=420,3.65,"X"))</f>
        <v>3.65</v>
      </c>
    </row>
    <row r="60" spans="1:27" s="2" customFormat="1" ht="13.5" customHeight="1" x14ac:dyDescent="0.2">
      <c r="A60" s="145" t="s">
        <v>167</v>
      </c>
      <c r="E60" s="193"/>
      <c r="H60" s="18"/>
      <c r="I60" s="17"/>
    </row>
    <row r="61" spans="1:27" ht="21.75" customHeight="1" x14ac:dyDescent="0.25">
      <c r="A61" s="22" t="s">
        <v>53</v>
      </c>
      <c r="B61" s="23"/>
      <c r="C61" s="23"/>
      <c r="D61" s="23"/>
      <c r="E61" s="459"/>
      <c r="F61" s="23"/>
      <c r="G61" s="23"/>
      <c r="H61" s="23"/>
      <c r="I61" s="23"/>
      <c r="J61" s="23"/>
      <c r="K61" s="23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</row>
    <row r="62" spans="1:27" s="2" customFormat="1" ht="12.75" x14ac:dyDescent="0.2">
      <c r="A62" s="24"/>
      <c r="B62" s="24"/>
      <c r="C62" s="24"/>
      <c r="D62" s="24"/>
      <c r="E62" s="460"/>
      <c r="F62" s="24"/>
      <c r="G62" s="24"/>
      <c r="H62" s="24"/>
      <c r="I62" s="24"/>
      <c r="J62" s="24"/>
      <c r="K62" s="24"/>
    </row>
    <row r="63" spans="1:27" s="2" customFormat="1" ht="15.75" x14ac:dyDescent="0.3">
      <c r="A63" s="25"/>
      <c r="B63" s="24"/>
      <c r="C63" s="24"/>
      <c r="D63" s="24"/>
      <c r="E63" s="460"/>
      <c r="F63" s="24"/>
      <c r="G63" s="24"/>
      <c r="I63" s="16" t="s">
        <v>41</v>
      </c>
      <c r="J63" s="77">
        <f>COS(fi*PI()/180-beta*PI()/180)^2/(COS(beta*PI()/180)^2*COS(delta*PI()/180+beta*PI()/180)*(1+SQRT((SIN(fi*PI()/180+delta*PI()/180)*SIN(fi*PI()/180-alfa*PI()/180))/(COS(delta*PI()/180+beta*PI()/180)*COS(beta*PI()/180-alfa*PI()/180))))^2)</f>
        <v>0.74954459760250669</v>
      </c>
    </row>
    <row r="64" spans="1:27" s="2" customFormat="1" ht="12.75" x14ac:dyDescent="0.2">
      <c r="A64" s="24"/>
      <c r="B64" s="24"/>
      <c r="C64" s="24"/>
      <c r="D64" s="24"/>
      <c r="E64" s="460"/>
      <c r="F64" s="24"/>
      <c r="G64" s="24"/>
      <c r="H64" s="24"/>
      <c r="J64" s="78"/>
    </row>
    <row r="65" spans="1:27" s="2" customFormat="1" ht="12.75" x14ac:dyDescent="0.2">
      <c r="A65" s="24"/>
      <c r="B65" s="24"/>
      <c r="C65" s="24"/>
      <c r="D65" s="24"/>
      <c r="E65" s="460"/>
      <c r="F65" s="24"/>
      <c r="G65" s="24"/>
      <c r="H65" s="24"/>
      <c r="I65" s="24"/>
      <c r="J65" s="78"/>
    </row>
    <row r="66" spans="1:27" s="2" customFormat="1" ht="7.5" customHeight="1" x14ac:dyDescent="0.2">
      <c r="A66" s="24"/>
      <c r="B66" s="24"/>
      <c r="C66" s="24"/>
      <c r="D66" s="24"/>
      <c r="E66" s="460"/>
      <c r="F66" s="24"/>
      <c r="G66" s="24"/>
      <c r="H66" s="24"/>
      <c r="I66" s="24"/>
      <c r="J66" s="79"/>
    </row>
    <row r="67" spans="1:27" s="2" customFormat="1" ht="15.75" x14ac:dyDescent="0.3">
      <c r="A67" s="25"/>
      <c r="B67" s="24"/>
      <c r="C67" s="24"/>
      <c r="D67" s="24"/>
      <c r="E67" s="460"/>
      <c r="F67" s="24"/>
      <c r="G67" s="24"/>
      <c r="H67" s="24"/>
      <c r="I67" s="16" t="s">
        <v>43</v>
      </c>
      <c r="J67" s="80">
        <f>+A*2/3</f>
        <v>0.3686666666666667</v>
      </c>
    </row>
    <row r="68" spans="1:27" s="2" customFormat="1" ht="6.75" customHeight="1" x14ac:dyDescent="0.2">
      <c r="A68" s="24"/>
      <c r="B68" s="24"/>
      <c r="C68" s="24"/>
      <c r="D68" s="24"/>
      <c r="E68" s="460"/>
      <c r="F68" s="24"/>
      <c r="G68" s="24"/>
      <c r="H68" s="24"/>
      <c r="I68" s="24"/>
      <c r="J68" s="79"/>
    </row>
    <row r="69" spans="1:27" s="2" customFormat="1" ht="15.75" x14ac:dyDescent="0.3">
      <c r="A69" s="25"/>
      <c r="B69" s="24"/>
      <c r="C69" s="24"/>
      <c r="D69" s="24"/>
      <c r="E69" s="460"/>
      <c r="F69" s="24"/>
      <c r="G69" s="24"/>
      <c r="H69" s="24"/>
      <c r="I69" s="16" t="s">
        <v>44</v>
      </c>
      <c r="J69" s="80">
        <f>+ch/2</f>
        <v>0.18433333333333335</v>
      </c>
    </row>
    <row r="70" spans="1:27" s="2" customFormat="1" ht="12.75" x14ac:dyDescent="0.2">
      <c r="A70" s="24"/>
      <c r="B70" s="24"/>
      <c r="C70" s="24"/>
      <c r="D70" s="24"/>
      <c r="E70" s="460"/>
      <c r="F70" s="24"/>
      <c r="G70" s="24"/>
      <c r="H70" s="24"/>
      <c r="I70" s="24"/>
      <c r="J70" s="81"/>
      <c r="K70" s="7"/>
    </row>
    <row r="71" spans="1:27" s="2" customFormat="1" ht="12.75" x14ac:dyDescent="0.2">
      <c r="A71" s="25"/>
      <c r="B71" s="24"/>
      <c r="C71" s="24"/>
      <c r="D71" s="24"/>
      <c r="E71" s="460"/>
      <c r="F71" s="24"/>
      <c r="G71" s="24"/>
      <c r="H71" s="24"/>
      <c r="I71" s="24"/>
      <c r="J71" s="82"/>
      <c r="K71" s="7"/>
    </row>
    <row r="72" spans="1:27" s="2" customFormat="1" ht="15.75" x14ac:dyDescent="0.3">
      <c r="A72" s="25"/>
      <c r="B72" s="24"/>
      <c r="C72" s="24"/>
      <c r="D72" s="24"/>
      <c r="E72" s="460"/>
      <c r="F72" s="24"/>
      <c r="G72" s="24"/>
      <c r="H72" s="24"/>
      <c r="I72" s="18" t="s">
        <v>49</v>
      </c>
      <c r="J72" s="83">
        <f>ATAN(J67/(1+J69))*180/PI()</f>
        <v>17.290646407174854</v>
      </c>
      <c r="K72" s="7" t="s">
        <v>19</v>
      </c>
    </row>
    <row r="73" spans="1:27" s="2" customFormat="1" ht="15.75" x14ac:dyDescent="0.3">
      <c r="A73" s="25"/>
      <c r="B73" s="24"/>
      <c r="C73" s="24"/>
      <c r="D73" s="24"/>
      <c r="E73" s="460"/>
      <c r="F73" s="24"/>
      <c r="G73" s="24"/>
      <c r="H73" s="24"/>
      <c r="I73" s="18" t="s">
        <v>49</v>
      </c>
      <c r="J73" s="83">
        <f>ATAN(J67/(1-J69))*180/PI()</f>
        <v>24.322112920550918</v>
      </c>
      <c r="K73" s="7" t="s">
        <v>19</v>
      </c>
    </row>
    <row r="74" spans="1:27" s="2" customFormat="1" ht="7.5" customHeight="1" x14ac:dyDescent="0.2">
      <c r="A74" s="24"/>
      <c r="B74" s="24"/>
      <c r="C74" s="24"/>
      <c r="D74" s="24"/>
      <c r="E74" s="460"/>
      <c r="F74" s="24"/>
      <c r="G74" s="24"/>
      <c r="H74" s="24"/>
      <c r="I74" s="27"/>
      <c r="J74" s="84"/>
      <c r="K74" s="7"/>
      <c r="L74" s="1"/>
      <c r="M74" s="1"/>
      <c r="N74" s="1"/>
      <c r="O74" s="1"/>
      <c r="P74" s="1"/>
      <c r="Q74" s="1"/>
      <c r="R74" s="1"/>
      <c r="S74" s="1"/>
      <c r="T74" s="1"/>
      <c r="U74" s="1"/>
    </row>
    <row r="75" spans="1:27" s="2" customFormat="1" ht="15.75" x14ac:dyDescent="0.3">
      <c r="A75" s="25"/>
      <c r="B75" s="24"/>
      <c r="C75" s="24"/>
      <c r="D75" s="24"/>
      <c r="E75" s="460"/>
      <c r="F75" s="24"/>
      <c r="G75" s="24"/>
      <c r="H75" s="24"/>
      <c r="I75" s="18" t="s">
        <v>48</v>
      </c>
      <c r="J75" s="85">
        <f>ATAN((gdoy/(gdoy-gw))*(J67/(1+J69)))*180/PI()</f>
        <v>31.905256453905558</v>
      </c>
      <c r="K75" s="7" t="s">
        <v>19</v>
      </c>
      <c r="L75" s="1"/>
      <c r="M75" s="1"/>
      <c r="N75" s="1"/>
      <c r="O75" s="1"/>
      <c r="P75" s="1"/>
      <c r="Q75" s="1"/>
      <c r="R75" s="1"/>
      <c r="S75" s="1"/>
      <c r="T75" s="1"/>
      <c r="U75" s="1"/>
    </row>
    <row r="76" spans="1:27" s="2" customFormat="1" ht="15.75" x14ac:dyDescent="0.3">
      <c r="C76" s="24"/>
      <c r="D76" s="24"/>
      <c r="E76" s="460"/>
      <c r="F76" s="24"/>
      <c r="G76" s="24"/>
      <c r="H76" s="24"/>
      <c r="I76" s="18" t="s">
        <v>48</v>
      </c>
      <c r="J76" s="85">
        <f>ATAN((gdoy/(gdoy-gw))*(J67/(1-J69)))*180/PI()</f>
        <v>42.112447561885951</v>
      </c>
      <c r="K76" s="7" t="s">
        <v>19</v>
      </c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</row>
    <row r="77" spans="1:27" s="2" customFormat="1" x14ac:dyDescent="0.2">
      <c r="A77" s="24"/>
      <c r="B77" s="24"/>
      <c r="C77" s="24"/>
      <c r="D77" s="24"/>
      <c r="E77" s="460"/>
      <c r="F77" s="24"/>
      <c r="G77" s="24"/>
      <c r="H77" s="24"/>
      <c r="I77" s="24"/>
      <c r="J77" s="81"/>
      <c r="K77" s="7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</row>
    <row r="78" spans="1:27" s="2" customFormat="1" ht="15.75" x14ac:dyDescent="0.2">
      <c r="A78" s="24"/>
      <c r="B78" s="24"/>
      <c r="C78" s="24"/>
      <c r="D78" s="24"/>
      <c r="E78" s="460"/>
      <c r="F78" s="24"/>
      <c r="G78" s="24"/>
      <c r="H78" s="24"/>
      <c r="I78" s="215" t="s">
        <v>45</v>
      </c>
      <c r="J78" s="211">
        <f>(1-J69)*COS(fi*PI()/180-lkuru1*PI()/180-beta*PI()/180)^2/(COS(lkuru1*PI()/180)*COS(beta*PI()/180)^2*COS(delta*PI()/180+lkuru1*PI()/180+beta*PI()/180)*(1+SQRT(SIN(fi*PI()/180+delta*PI()/180)*SIN(fi*PI()/180-lkuru1*PI()/180-alfa*PI()/180)/(COS(delta*PI()/180)*COS(beta*PI()/180-alfa*PI()/180))))^2)</f>
        <v>1.4460959145282104</v>
      </c>
      <c r="K78" s="204">
        <f>(1-J69)*COS(fi*PI()/180-lkuru2*PI()/180-beta*PI()/180)^2/(COS(lkuru2*PI()/180)*COS(beta*PI()/180)^2*COS(delta*PI()/180+lkuru2*PI()/180+beta*PI()/180)*(1+SQRT(SIN(fi*PI()/180+delta*PI()/180)*SIN(fi*PI()/180-lkuru2*PI()/180-alfa*PI()/180)/(COS(delta*PI()/180)*COS(beta*PI()/180-alfa*PI()/180))))^2)</f>
        <v>2.4497467571177909</v>
      </c>
      <c r="L78" s="1"/>
      <c r="M78" s="348" t="e">
        <f>(1-J69)*COS(fi*PI()/180-lislak1*PI()/180-beta*PI()/180)^2/(COS(lislak1*PI()/180)*COS(beta*PI()/180)^2*COS(delta*PI()/180+lislak1*PI()/180+beta*PI()/180)*(1+SQRT(SIN(fi*PI()/180+delta*PI()/180)*SIN(fi*PI()/180-lislak1*PI()/180-alfa*PI()/180)/(COS(delta*PI()/180)*COS(beta*PI()/180-alfa*PI()/180))))^2)</f>
        <v>#NUM!</v>
      </c>
      <c r="N78" s="349" t="e">
        <f>(1-J69)*COS(fi*PI()/180-lislak2*PI()/180-beta*PI()/180)^2/(COS(lislak2*PI()/180)*COS(beta*PI()/180)^2*COS(delta*PI()/180+lislak2*PI()/180+beta*PI()/180)*(1+SQRT(SIN(fi*PI()/180+delta*PI()/180)*SIN(fi*PI()/180-lislak2*PI()/180-alfa*PI()/180)/(COS(delta*PI()/180)*COS(beta*PI()/180-alfa*PI()/180))))^2)</f>
        <v>#NUM!</v>
      </c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</row>
    <row r="79" spans="1:27" s="2" customFormat="1" x14ac:dyDescent="0.2">
      <c r="A79" s="24"/>
      <c r="B79" s="24"/>
      <c r="C79" s="24"/>
      <c r="D79" s="24"/>
      <c r="E79" s="460"/>
      <c r="F79" s="24"/>
      <c r="G79" s="24"/>
      <c r="H79" s="24"/>
      <c r="I79" s="213"/>
      <c r="J79" s="208">
        <f>(1+J69)*COS(fi*PI()/180-lkuru1*PI()/180-beta*PI()/180)^2/(COS(lkuru1*PI()/180)*COS(beta*PI()/180)^2*COS(delta*PI()/180+lkuru1*PI()/180+beta*PI()/180)*(1+SQRT(SIN(fi*PI()/180+delta*PI()/180)*SIN(fi*PI()/180-lkuru1*PI()/180-alfa*PI()/180)/(COS(delta*PI()/180)*COS(beta*PI()/180-alfa*PI()/180))))^2)</f>
        <v>2.0997052653529757</v>
      </c>
      <c r="K79" s="207">
        <f>(1+J69)*COS(fi*PI()/180-lkuru2*PI()/180-beta*PI()/180)^2/(COS(lkuru2*PI()/180)*COS(beta*PI()/180)^2*COS(delta*PI()/180+lkuru2*PI()/180+beta*PI()/180)*(1+SQRT(SIN(fi*PI()/180+delta*PI()/180)*SIN(fi*PI()/180-lkuru2*PI()/180-alfa*PI()/180)/(COS(delta*PI()/180)*COS(beta*PI()/180-alfa*PI()/180))))^2)</f>
        <v>3.5569882419450405</v>
      </c>
      <c r="L79" s="1"/>
      <c r="M79" s="350" t="e">
        <f>(1+J69)*COS(fi*PI()/180-lislak1*PI()/180-beta*PI()/180)^2/(COS(lislak1*PI()/180)*COS(beta*PI()/180)^2*COS(delta*PI()/180+lislak1*PI()/180+beta*PI()/180)*(1+SQRT(SIN(fi*PI()/180+delta*PI()/180)*SIN(fi*PI()/180-lislak1*PI()/180-alfa*PI()/180)/(COS(delta*PI()/180)*COS(beta*PI()/180-alfa*PI()/180))))^2)</f>
        <v>#NUM!</v>
      </c>
      <c r="N79" s="351" t="e">
        <f>(1+J69)*COS(fi*PI()/180-lislak2*PI()/180-beta*PI()/180)^2/(COS(lislak2*PI()/180)*COS(beta*PI()/180)^2*COS(delta*PI()/180+lislak2*PI()/180+beta*PI()/180)*(1+SQRT(SIN(fi*PI()/180+delta*PI()/180)*SIN(fi*PI()/180-lislak2*PI()/180-alfa*PI()/180)/(COS(delta*PI()/180)*COS(beta*PI()/180-alfa*PI()/180))))^2)</f>
        <v>#NUM!</v>
      </c>
      <c r="O79" s="339">
        <f>+IF(lislak1&lt;fi,M78,M80)</f>
        <v>3.3905550335893477</v>
      </c>
      <c r="P79" s="339">
        <f>+IF(lislak2&lt;fi,N78,N80)</f>
        <v>8.770911713413863</v>
      </c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</row>
    <row r="80" spans="1:27" s="2" customFormat="1" ht="15.75" x14ac:dyDescent="0.2">
      <c r="A80" s="24"/>
      <c r="B80" s="24"/>
      <c r="C80" s="24"/>
      <c r="D80" s="24"/>
      <c r="E80" s="460"/>
      <c r="F80" s="24"/>
      <c r="G80" s="24"/>
      <c r="H80" s="24"/>
      <c r="I80" s="340" t="s">
        <v>46</v>
      </c>
      <c r="J80" s="342">
        <f>+O79</f>
        <v>3.3905550335893477</v>
      </c>
      <c r="K80" s="343">
        <f>+P79</f>
        <v>8.770911713413863</v>
      </c>
      <c r="L80" s="1"/>
      <c r="M80" s="348">
        <f>(1-J69)*COS(fi*PI()/180-lislak1*PI()/180-beta*PI()/180)^2/(COS(lislak1*PI()/180)*COS(beta*PI()/180)^2*COS(delta/2*PI()/180+lislak1*PI()/180+beta*PI()/180))</f>
        <v>3.3905550335893477</v>
      </c>
      <c r="N80" s="349">
        <f>(1-J69)*COS(fi*PI()/180-lislak2*PI()/180-beta*PI()/180)^2/(COS(lislak2*PI()/180)*COS(beta*PI()/180)^2*COS(delta/2*PI()/180+lislak2*PI()/180+beta*PI()/180))</f>
        <v>8.770911713413863</v>
      </c>
      <c r="O80" s="339">
        <f>+IF(lislak1&lt;fi,M79,M81)</f>
        <v>4.9230249425185759</v>
      </c>
      <c r="P80" s="339">
        <f>+IF(lislak2&lt;fi,N79,N81)</f>
        <v>12.735206096346326</v>
      </c>
      <c r="R80" s="1"/>
      <c r="S80" s="1"/>
      <c r="W80" s="1"/>
      <c r="X80" s="1"/>
      <c r="Y80" s="1"/>
      <c r="Z80" s="1"/>
      <c r="AA80" s="1"/>
    </row>
    <row r="81" spans="1:27" s="2" customFormat="1" x14ac:dyDescent="0.2">
      <c r="A81" s="24"/>
      <c r="B81" s="24"/>
      <c r="C81" s="24"/>
      <c r="D81" s="24"/>
      <c r="E81" s="460"/>
      <c r="F81" s="24"/>
      <c r="G81" s="24"/>
      <c r="H81" s="24"/>
      <c r="I81" s="50"/>
      <c r="J81" s="344">
        <f>+O80</f>
        <v>4.9230249425185759</v>
      </c>
      <c r="K81" s="205">
        <f>+P80</f>
        <v>12.735206096346326</v>
      </c>
      <c r="L81" s="1"/>
      <c r="M81" s="350">
        <f>(1+J69)*COS(fi*PI()/180-lislak1*PI()/180-beta*PI()/180)^2/(COS(lislak1*PI()/180)*COS(beta*PI()/180)^2*COS(delta/2*PI()/180+lislak1*PI()/180+beta*PI()/180))</f>
        <v>4.9230249425185759</v>
      </c>
      <c r="N81" s="351">
        <f>(1+J69)*COS(fi*PI()/180-lislak2*PI()/180-beta*PI()/180)^2/(COS(lislak2*PI()/180)*COS(beta*PI()/180)^2*COS(delta/2*PI()/180+lislak2*PI()/180+beta*PI()/180))</f>
        <v>12.735206096346326</v>
      </c>
      <c r="R81" s="1"/>
      <c r="S81" s="1"/>
      <c r="T81" s="1"/>
      <c r="W81" s="1"/>
      <c r="X81" s="1"/>
      <c r="Y81" s="1"/>
      <c r="Z81" s="1"/>
      <c r="AA81" s="1"/>
    </row>
    <row r="82" spans="1:27" s="2" customFormat="1" ht="15.75" x14ac:dyDescent="0.3">
      <c r="A82" s="2" t="s">
        <v>94</v>
      </c>
      <c r="B82" s="24"/>
      <c r="C82" s="24"/>
      <c r="D82" s="24"/>
      <c r="E82" s="460"/>
      <c r="F82" s="24"/>
      <c r="G82" s="24"/>
      <c r="H82" s="24"/>
      <c r="I82" s="215" t="s">
        <v>47</v>
      </c>
      <c r="J82" s="208">
        <f>(J78-J63)</f>
        <v>0.69655131692570371</v>
      </c>
      <c r="K82" s="341">
        <f>K78-J63</f>
        <v>1.7002021595152841</v>
      </c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</row>
    <row r="83" spans="1:27" s="2" customFormat="1" x14ac:dyDescent="0.2">
      <c r="B83" s="24"/>
      <c r="C83" s="24"/>
      <c r="D83" s="24"/>
      <c r="E83" s="460"/>
      <c r="F83" s="24"/>
      <c r="G83" s="24"/>
      <c r="H83" s="24"/>
      <c r="I83" s="213"/>
      <c r="J83" s="59">
        <f>-kas+J79</f>
        <v>1.3501606677504689</v>
      </c>
      <c r="K83" s="210">
        <f>-kas+K79</f>
        <v>2.8074436443425337</v>
      </c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</row>
    <row r="84" spans="1:27" ht="15.75" x14ac:dyDescent="0.25">
      <c r="A84" s="23"/>
      <c r="B84" s="23"/>
      <c r="C84" s="23"/>
      <c r="D84" s="23"/>
      <c r="E84" s="459"/>
      <c r="F84" s="23"/>
      <c r="G84" s="23"/>
      <c r="H84" s="23"/>
      <c r="I84" s="215" t="s">
        <v>50</v>
      </c>
      <c r="J84" s="211">
        <f>(J80-J63)</f>
        <v>2.6410104359868409</v>
      </c>
      <c r="K84" s="206">
        <f>K80-J63</f>
        <v>8.0213671158113566</v>
      </c>
    </row>
    <row r="85" spans="1:27" ht="15" x14ac:dyDescent="0.25">
      <c r="A85" s="23"/>
      <c r="B85" s="23"/>
      <c r="C85" s="23"/>
      <c r="D85" s="23"/>
      <c r="E85" s="459"/>
      <c r="F85" s="23"/>
      <c r="G85" s="23"/>
      <c r="H85" s="23"/>
      <c r="I85" s="214"/>
      <c r="J85" s="212">
        <f>J81-kas</f>
        <v>4.1734803449160696</v>
      </c>
      <c r="K85" s="209">
        <f>K81-kas</f>
        <v>11.98566149874382</v>
      </c>
    </row>
    <row r="86" spans="1:27" ht="15" x14ac:dyDescent="0.25">
      <c r="A86" s="23"/>
      <c r="B86" s="23"/>
      <c r="C86" s="23"/>
      <c r="D86" s="23"/>
      <c r="E86" s="459"/>
      <c r="F86" s="23"/>
      <c r="G86" s="23"/>
      <c r="H86" s="23"/>
      <c r="I86" s="23"/>
      <c r="J86" s="23"/>
      <c r="K86" s="23"/>
    </row>
    <row r="87" spans="1:27" ht="18.75" x14ac:dyDescent="0.35">
      <c r="A87" s="329"/>
      <c r="B87" s="329"/>
      <c r="C87" s="329"/>
      <c r="D87" s="329"/>
      <c r="E87" s="459"/>
      <c r="F87" s="329"/>
      <c r="G87" s="329"/>
      <c r="H87" s="329"/>
      <c r="I87" s="332" t="s">
        <v>220</v>
      </c>
      <c r="J87" s="77">
        <f>(COS(fi*PI()/180+beta*PI()/180))^2/((COS(beta*PI()/180))^2*COS(delta*PI()/180-beta*PI()/180)*(1-SQRT(SIN(fi*PI()/180+delta*PI()/180)*SIN(fi*PI()/180+alfa*PI()/180)/COS(delta*PI()/180-beta*PI()/180)/COS(alfa*PI()/180-beta*PI()/180)))^2)</f>
        <v>2.5262613024097229</v>
      </c>
      <c r="K87" s="329"/>
    </row>
    <row r="88" spans="1:27" ht="15" x14ac:dyDescent="0.25">
      <c r="A88" s="329"/>
      <c r="B88" s="329"/>
      <c r="C88" s="329"/>
      <c r="D88" s="329"/>
      <c r="E88" s="459"/>
      <c r="F88" s="329"/>
      <c r="G88" s="329"/>
      <c r="H88" s="329"/>
      <c r="I88" s="329"/>
      <c r="J88" s="329"/>
      <c r="K88" s="329"/>
    </row>
    <row r="89" spans="1:27" ht="15" x14ac:dyDescent="0.25">
      <c r="A89" s="329"/>
      <c r="B89" s="329"/>
      <c r="C89" s="329"/>
      <c r="D89" s="329"/>
      <c r="E89" s="459"/>
      <c r="F89" s="329"/>
      <c r="G89" s="329"/>
      <c r="H89" s="329"/>
      <c r="I89" s="329"/>
      <c r="J89" s="329"/>
      <c r="K89" s="329"/>
    </row>
    <row r="90" spans="1:27" ht="15" x14ac:dyDescent="0.25">
      <c r="A90" s="329"/>
      <c r="B90" s="329"/>
      <c r="C90" s="329"/>
      <c r="D90" s="329"/>
      <c r="E90" s="459"/>
      <c r="F90" s="329"/>
      <c r="G90" s="329"/>
      <c r="H90" s="329"/>
      <c r="I90" s="329"/>
      <c r="J90" s="329"/>
      <c r="K90" s="329"/>
    </row>
    <row r="91" spans="1:27" ht="15" x14ac:dyDescent="0.25">
      <c r="A91" s="329"/>
      <c r="B91" s="329"/>
      <c r="C91" s="329"/>
      <c r="D91" s="329"/>
      <c r="E91" s="459"/>
      <c r="F91" s="329"/>
      <c r="G91" s="329"/>
      <c r="H91" s="329"/>
      <c r="I91" s="329"/>
      <c r="J91" s="329"/>
      <c r="K91" s="329"/>
    </row>
    <row r="92" spans="1:27" ht="15" x14ac:dyDescent="0.25">
      <c r="A92" s="715" t="s">
        <v>177</v>
      </c>
      <c r="B92" s="715"/>
      <c r="C92" s="715"/>
      <c r="D92" s="715"/>
      <c r="E92" s="715"/>
      <c r="F92" s="715"/>
      <c r="G92" s="715"/>
      <c r="H92" s="715"/>
      <c r="I92" s="715"/>
      <c r="J92" s="715"/>
      <c r="K92" s="715"/>
    </row>
    <row r="93" spans="1:27" x14ac:dyDescent="0.2">
      <c r="A93" s="28"/>
      <c r="B93" s="28"/>
      <c r="C93" s="28"/>
      <c r="D93" s="28"/>
      <c r="E93" s="310"/>
      <c r="F93" s="28"/>
      <c r="G93" s="28"/>
      <c r="H93" s="28"/>
      <c r="I93" s="28"/>
      <c r="J93" s="28"/>
      <c r="K93" s="28"/>
    </row>
    <row r="94" spans="1:27" x14ac:dyDescent="0.2">
      <c r="A94" s="28"/>
      <c r="B94" s="28"/>
      <c r="C94" s="28"/>
      <c r="D94" s="28"/>
      <c r="E94" s="310"/>
      <c r="F94" s="28"/>
      <c r="G94" s="28"/>
      <c r="H94" s="29"/>
      <c r="I94" s="30"/>
      <c r="J94" s="28"/>
      <c r="K94" s="28"/>
    </row>
    <row r="95" spans="1:27" x14ac:dyDescent="0.2">
      <c r="A95" s="28"/>
      <c r="B95" s="28"/>
      <c r="C95" s="28"/>
      <c r="D95" s="28"/>
      <c r="E95" s="310"/>
      <c r="F95" s="28"/>
      <c r="G95" s="28"/>
      <c r="H95" s="29"/>
      <c r="I95" s="30"/>
      <c r="J95" s="28"/>
      <c r="K95" s="28"/>
    </row>
    <row r="96" spans="1:27" x14ac:dyDescent="0.2">
      <c r="A96" s="28"/>
      <c r="B96" s="28"/>
      <c r="C96" s="28"/>
      <c r="D96" s="28"/>
      <c r="E96" s="310"/>
      <c r="F96" s="28"/>
      <c r="G96" s="28"/>
      <c r="H96" s="29"/>
      <c r="I96" s="30"/>
      <c r="J96" s="28"/>
      <c r="K96" s="28"/>
    </row>
    <row r="97" spans="1:38" x14ac:dyDescent="0.2">
      <c r="A97" s="28"/>
      <c r="B97" s="28"/>
      <c r="C97" s="28"/>
      <c r="D97" s="28"/>
      <c r="E97" s="310"/>
      <c r="F97" s="28"/>
      <c r="G97" s="28"/>
      <c r="H97" s="29"/>
      <c r="I97" s="30"/>
      <c r="J97" s="28"/>
      <c r="K97" s="28"/>
    </row>
    <row r="98" spans="1:38" x14ac:dyDescent="0.2">
      <c r="A98" s="28"/>
      <c r="B98" s="28"/>
      <c r="C98" s="28"/>
      <c r="D98" s="28"/>
      <c r="E98" s="310"/>
      <c r="F98" s="28"/>
      <c r="G98" s="28"/>
      <c r="H98" s="29"/>
      <c r="I98" s="30"/>
      <c r="J98" s="28"/>
      <c r="K98" s="28"/>
    </row>
    <row r="99" spans="1:38" x14ac:dyDescent="0.2">
      <c r="A99" s="28"/>
      <c r="B99" s="28"/>
      <c r="C99" s="28"/>
      <c r="D99" s="28"/>
      <c r="E99" s="310"/>
      <c r="F99" s="28"/>
      <c r="G99" s="28"/>
      <c r="H99" s="29"/>
      <c r="I99" s="30"/>
      <c r="J99" s="28"/>
      <c r="K99" s="28"/>
    </row>
    <row r="100" spans="1:38" x14ac:dyDescent="0.2">
      <c r="A100" s="28"/>
      <c r="B100" s="28"/>
      <c r="C100" s="28"/>
      <c r="D100" s="28"/>
      <c r="E100" s="310"/>
      <c r="F100" s="28"/>
      <c r="G100" s="28"/>
      <c r="H100" s="29"/>
      <c r="I100" s="30"/>
      <c r="J100" s="28"/>
      <c r="K100" s="28"/>
    </row>
    <row r="101" spans="1:38" x14ac:dyDescent="0.2">
      <c r="A101" s="28"/>
      <c r="B101" s="28"/>
      <c r="C101" s="28"/>
      <c r="D101" s="28"/>
      <c r="E101" s="310"/>
      <c r="F101" s="28"/>
      <c r="G101" s="28"/>
      <c r="H101" s="29"/>
      <c r="I101" s="30"/>
      <c r="J101" s="28"/>
      <c r="K101" s="28"/>
    </row>
    <row r="102" spans="1:38" x14ac:dyDescent="0.2">
      <c r="A102" s="28"/>
      <c r="B102" s="28"/>
      <c r="C102" s="28"/>
      <c r="D102" s="28"/>
      <c r="E102" s="310"/>
      <c r="F102" s="28"/>
      <c r="G102" s="28"/>
      <c r="H102" s="29"/>
      <c r="I102" s="30"/>
      <c r="J102" s="28"/>
      <c r="K102" s="28"/>
      <c r="L102" s="3"/>
      <c r="M102" s="3"/>
      <c r="N102" s="3"/>
      <c r="O102" s="3"/>
      <c r="P102" s="3"/>
      <c r="Q102" s="3"/>
      <c r="R102" s="3"/>
      <c r="S102" s="3"/>
      <c r="T102" s="3"/>
      <c r="U102" s="3"/>
    </row>
    <row r="103" spans="1:38" x14ac:dyDescent="0.2">
      <c r="A103" s="28"/>
      <c r="B103" s="28"/>
      <c r="C103" s="28"/>
      <c r="D103" s="28"/>
      <c r="E103" s="310"/>
      <c r="F103" s="28"/>
      <c r="G103" s="28"/>
      <c r="H103" s="29"/>
      <c r="I103" s="30"/>
      <c r="J103" s="28"/>
      <c r="K103" s="28"/>
      <c r="L103" s="2"/>
      <c r="M103" s="2"/>
      <c r="N103" s="2"/>
      <c r="O103" s="2"/>
      <c r="P103" s="2"/>
      <c r="Q103" s="2"/>
      <c r="R103" s="2"/>
      <c r="S103" s="2"/>
      <c r="T103" s="2"/>
      <c r="U103" s="2"/>
    </row>
    <row r="104" spans="1:38" x14ac:dyDescent="0.2">
      <c r="A104" s="28"/>
      <c r="B104" s="28"/>
      <c r="C104" s="28"/>
      <c r="D104" s="28"/>
      <c r="E104" s="310"/>
      <c r="F104" s="28"/>
      <c r="G104" s="28"/>
      <c r="H104" s="29"/>
      <c r="I104" s="30"/>
      <c r="J104" s="28"/>
      <c r="K104" s="28"/>
      <c r="L104" s="216"/>
      <c r="M104" s="2"/>
      <c r="N104" s="2"/>
      <c r="O104" s="2"/>
      <c r="P104" s="2"/>
      <c r="Q104" s="2"/>
      <c r="R104" s="2"/>
      <c r="S104" s="2"/>
      <c r="T104" s="2"/>
      <c r="U104" s="2"/>
      <c r="V104" s="3"/>
      <c r="W104" s="3"/>
      <c r="X104" s="3"/>
      <c r="Y104" s="3"/>
      <c r="Z104" s="3"/>
      <c r="AA104" s="3"/>
    </row>
    <row r="105" spans="1:38" x14ac:dyDescent="0.2">
      <c r="A105" s="28"/>
      <c r="B105" s="28"/>
      <c r="C105" s="28"/>
      <c r="D105" s="28"/>
      <c r="E105" s="310"/>
      <c r="F105" s="28"/>
      <c r="G105" s="28"/>
      <c r="H105" s="29"/>
      <c r="I105" s="30"/>
      <c r="J105" s="28"/>
      <c r="K105" s="28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</row>
    <row r="106" spans="1:38" x14ac:dyDescent="0.2">
      <c r="A106" s="28"/>
      <c r="B106" s="28"/>
      <c r="C106" s="28"/>
      <c r="D106" s="28"/>
      <c r="E106" s="310"/>
      <c r="F106" s="28"/>
      <c r="G106" s="28"/>
      <c r="H106" s="29"/>
      <c r="I106" s="30"/>
      <c r="J106" s="28"/>
      <c r="K106" s="28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</row>
    <row r="107" spans="1:38" x14ac:dyDescent="0.2">
      <c r="A107" s="28"/>
      <c r="B107" s="28"/>
      <c r="C107" s="28"/>
      <c r="D107" s="28"/>
      <c r="E107" s="310"/>
      <c r="F107" s="28"/>
      <c r="G107" s="28"/>
      <c r="H107" s="29"/>
      <c r="I107" s="30"/>
      <c r="J107" s="28"/>
      <c r="K107" s="28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</row>
    <row r="108" spans="1:38" x14ac:dyDescent="0.2">
      <c r="A108" s="28"/>
      <c r="B108" s="28"/>
      <c r="C108" s="28"/>
      <c r="D108" s="28"/>
      <c r="E108" s="310"/>
      <c r="F108" s="28"/>
      <c r="G108" s="28"/>
      <c r="H108" s="29"/>
      <c r="I108" s="30"/>
      <c r="J108" s="28"/>
      <c r="K108" s="28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</row>
    <row r="109" spans="1:38" x14ac:dyDescent="0.2">
      <c r="A109" s="28"/>
      <c r="B109" s="28"/>
      <c r="C109" s="28"/>
      <c r="D109" s="28"/>
      <c r="E109" s="310"/>
      <c r="F109" s="28"/>
      <c r="G109" s="28"/>
      <c r="H109" s="29"/>
      <c r="I109" s="30"/>
      <c r="J109" s="28"/>
      <c r="K109" s="28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</row>
    <row r="110" spans="1:38" x14ac:dyDescent="0.2">
      <c r="A110" s="28"/>
      <c r="B110" s="28"/>
      <c r="C110" s="28"/>
      <c r="D110" s="28"/>
      <c r="E110" s="310"/>
      <c r="F110" s="28"/>
      <c r="G110" s="28"/>
      <c r="H110" s="29"/>
      <c r="I110" s="30"/>
      <c r="J110" s="28"/>
      <c r="K110" s="28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</row>
    <row r="111" spans="1:38" x14ac:dyDescent="0.2">
      <c r="A111" s="28"/>
      <c r="B111" s="28"/>
      <c r="C111" s="28"/>
      <c r="D111" s="28"/>
      <c r="E111" s="310"/>
      <c r="F111" s="28"/>
      <c r="G111" s="28"/>
      <c r="H111" s="29"/>
      <c r="I111" s="30"/>
      <c r="J111" s="28"/>
      <c r="K111" s="28"/>
      <c r="V111" s="2"/>
      <c r="W111" s="2"/>
      <c r="X111" s="2"/>
      <c r="Y111" s="2"/>
      <c r="Z111" s="2"/>
      <c r="AA111" s="2"/>
      <c r="AJ111" s="12"/>
      <c r="AK111" s="12"/>
      <c r="AL111" s="12"/>
    </row>
    <row r="112" spans="1:38" s="3" customFormat="1" ht="26.25" customHeight="1" thickBot="1" x14ac:dyDescent="0.25">
      <c r="A112" s="627" t="s">
        <v>56</v>
      </c>
      <c r="B112" s="627"/>
      <c r="C112" s="627"/>
      <c r="D112" s="627"/>
      <c r="E112" s="627"/>
      <c r="F112" s="627" t="s">
        <v>54</v>
      </c>
      <c r="G112" s="627"/>
      <c r="H112" s="627"/>
      <c r="I112" s="628" t="s">
        <v>55</v>
      </c>
      <c r="J112" s="628"/>
      <c r="K112" s="628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J112" s="47"/>
      <c r="AK112" s="223"/>
      <c r="AL112" s="223"/>
    </row>
    <row r="113" spans="1:38" s="2" customFormat="1" ht="16.5" thickTop="1" x14ac:dyDescent="0.2">
      <c r="A113" s="31" t="s">
        <v>57</v>
      </c>
      <c r="B113" s="629" t="str">
        <f>" "&amp;ROUND((bw-bt),2)&amp;"x"&amp;hw&amp;"x"&amp;gc&amp;"/2="</f>
        <v xml:space="preserve"> 5.25x7.1x2.4/2=</v>
      </c>
      <c r="C113" s="630"/>
      <c r="D113" s="631"/>
      <c r="E113" s="461">
        <f>(bw-bt)*hw*gc/2</f>
        <v>44.73</v>
      </c>
      <c r="F113" s="725">
        <f>(bw-bt)/3+bt+bf</f>
        <v>3.25</v>
      </c>
      <c r="G113" s="726"/>
      <c r="H113" s="32"/>
      <c r="I113" s="617">
        <f>E113*F113</f>
        <v>145.3725</v>
      </c>
      <c r="J113" s="618"/>
      <c r="K113" s="33"/>
      <c r="V113" s="1"/>
      <c r="W113" s="1"/>
      <c r="X113" s="1"/>
      <c r="Y113" s="1"/>
      <c r="Z113" s="1"/>
      <c r="AA113" s="1"/>
      <c r="AJ113" s="47"/>
      <c r="AK113" s="9"/>
      <c r="AL113" s="9"/>
    </row>
    <row r="114" spans="1:38" s="2" customFormat="1" ht="15.75" x14ac:dyDescent="0.2">
      <c r="A114" s="34" t="s">
        <v>58</v>
      </c>
      <c r="B114" s="601" t="str">
        <f>" " &amp;hw&amp; "x"&amp;bt&amp; "x"&amp;gc&amp;"="</f>
        <v xml:space="preserve"> 7.1x1x2.4=</v>
      </c>
      <c r="C114" s="602"/>
      <c r="D114" s="603"/>
      <c r="E114" s="434">
        <f>hw*bt*gc</f>
        <v>17.04</v>
      </c>
      <c r="F114" s="641">
        <f>bt*0.5+bf</f>
        <v>1</v>
      </c>
      <c r="G114" s="642"/>
      <c r="H114" s="35"/>
      <c r="I114" s="643">
        <f>E114*F114</f>
        <v>17.04</v>
      </c>
      <c r="J114" s="644"/>
      <c r="K114" s="36"/>
      <c r="AJ114" s="47"/>
      <c r="AK114" s="9"/>
      <c r="AL114" s="9"/>
    </row>
    <row r="115" spans="1:38" s="2" customFormat="1" ht="15.75" x14ac:dyDescent="0.2">
      <c r="A115" s="34" t="s">
        <v>59</v>
      </c>
      <c r="B115" s="601" t="str">
        <f>" " &amp;ROUND(b,2)&amp;"x"&amp;hs&amp;"x"&amp;gc&amp;"="</f>
        <v xml:space="preserve"> 7.25x1.5x2.4=</v>
      </c>
      <c r="C115" s="602"/>
      <c r="D115" s="603"/>
      <c r="E115" s="434">
        <f>b*hs*gc</f>
        <v>26.099999999999998</v>
      </c>
      <c r="F115" s="641">
        <f>b/2</f>
        <v>3.625</v>
      </c>
      <c r="G115" s="642"/>
      <c r="H115" s="35"/>
      <c r="I115" s="643">
        <f>E115*F115</f>
        <v>94.612499999999997</v>
      </c>
      <c r="J115" s="644"/>
      <c r="K115" s="36"/>
      <c r="AJ115" s="9"/>
      <c r="AK115" s="9"/>
      <c r="AL115" s="9"/>
    </row>
    <row r="116" spans="1:38" s="575" customFormat="1" ht="15.75" x14ac:dyDescent="0.2">
      <c r="A116" s="571" t="s">
        <v>347</v>
      </c>
      <c r="B116" s="604" t="str">
        <f>" "&amp;ROUND(kas,3)&amp;"x"&amp;(hw)&amp;"²x"&amp;ROUND(gnor,2)&amp;"/2xsin("&amp;(ROUND(delta,2)&amp;"+"&amp;(ROUND(beta,2))&amp;")=")</f>
        <v xml:space="preserve"> 0.75x7.1²x1.8/2xsin(13.92+36.48)=</v>
      </c>
      <c r="C116" s="605"/>
      <c r="D116" s="606"/>
      <c r="E116" s="572">
        <f>kas*(hw)*(hw)*gnor/2*SIN(beta/180*PI()+delta/180*PI())</f>
        <v>26.200468712087762</v>
      </c>
      <c r="F116" s="607">
        <f>+bf+bt+(bw-bt)/3*2</f>
        <v>5</v>
      </c>
      <c r="G116" s="608"/>
      <c r="H116" s="573"/>
      <c r="I116" s="609">
        <f t="shared" ref="I116:I122" si="6">E116*F116</f>
        <v>131.00234356043882</v>
      </c>
      <c r="J116" s="610"/>
      <c r="K116" s="574"/>
      <c r="O116" s="576"/>
      <c r="P116" s="576"/>
    </row>
    <row r="117" spans="1:38" s="575" customFormat="1" ht="15.75" x14ac:dyDescent="0.2">
      <c r="A117" s="571" t="s">
        <v>346</v>
      </c>
      <c r="B117" s="604" t="str">
        <f>" "&amp;ROUND(kas,3)&amp;"x"&amp;(hw)&amp;"²x"&amp;ROUND(gnor,2)&amp;"/2xcos("&amp;(ROUND(delta,2)&amp;"+"&amp;(ROUND(beta,2))&amp;")=")</f>
        <v xml:space="preserve"> 0.75x7.1²x1.8/2xcos(13.92+36.48)=</v>
      </c>
      <c r="C117" s="605"/>
      <c r="D117" s="606"/>
      <c r="E117" s="572">
        <f>kas*(hw)*(hw)*gnor/2*COS(beta/180*PI()+delta/180*PI())</f>
        <v>21.678319078002804</v>
      </c>
      <c r="F117" s="607">
        <f>(hw)/3+hs</f>
        <v>3.8666666666666667</v>
      </c>
      <c r="G117" s="608"/>
      <c r="H117" s="573"/>
      <c r="I117" s="609">
        <f t="shared" si="6"/>
        <v>83.822833768277505</v>
      </c>
      <c r="J117" s="610"/>
      <c r="K117" s="574"/>
      <c r="N117" s="575" t="s">
        <v>350</v>
      </c>
      <c r="O117" s="576"/>
      <c r="P117" s="576"/>
    </row>
    <row r="118" spans="1:38" s="575" customFormat="1" ht="15.75" x14ac:dyDescent="0.2">
      <c r="A118" s="571" t="s">
        <v>348</v>
      </c>
      <c r="B118" s="604" t="str">
        <f>" "&amp;ROUND(kas,3)&amp;"x"&amp;(hw)&amp;"x"&amp;q&amp;"xsin("&amp;(ROUND(delta,2)&amp;"+"&amp;(ROUND(beta,2))&amp;")=")</f>
        <v xml:space="preserve"> 0.75x7.1x1.14xsin(13.92+36.48)=</v>
      </c>
      <c r="C118" s="605"/>
      <c r="D118" s="606"/>
      <c r="E118" s="572">
        <f>kas*(hw)*q*SIN(beta/180*PI()+delta/180*PI())</f>
        <v>4.6742620237527461</v>
      </c>
      <c r="F118" s="607">
        <f>+bf+bt+(bw-bt)/2</f>
        <v>4.125</v>
      </c>
      <c r="G118" s="608"/>
      <c r="H118" s="573"/>
      <c r="I118" s="609">
        <f t="shared" si="6"/>
        <v>19.28133084798008</v>
      </c>
      <c r="J118" s="610"/>
      <c r="K118" s="574"/>
      <c r="N118" s="577"/>
      <c r="O118" s="576"/>
      <c r="P118" s="576"/>
    </row>
    <row r="119" spans="1:38" s="575" customFormat="1" ht="15.75" x14ac:dyDescent="0.2">
      <c r="A119" s="571" t="s">
        <v>349</v>
      </c>
      <c r="B119" s="604" t="str">
        <f>" "&amp;ROUND(kas,3)&amp;"x"&amp;(hw)&amp;"x"&amp;q&amp;"xcos("&amp;(ROUND(delta,2)&amp;"+"&amp;(ROUND(beta,2))&amp;")=")</f>
        <v xml:space="preserve"> 0.75x7.1x1.14xcos(13.92+36.48)=</v>
      </c>
      <c r="C119" s="605"/>
      <c r="D119" s="606"/>
      <c r="E119" s="572">
        <f>kas*(hw)*q*COS(beta/180*PI()+delta/180*PI())</f>
        <v>3.867493544432425</v>
      </c>
      <c r="F119" s="607">
        <f>(hw)/2+hs</f>
        <v>5.05</v>
      </c>
      <c r="G119" s="608"/>
      <c r="H119" s="573"/>
      <c r="I119" s="609">
        <f t="shared" si="6"/>
        <v>19.530842399383747</v>
      </c>
      <c r="J119" s="610"/>
      <c r="K119" s="574"/>
      <c r="N119" s="577"/>
      <c r="O119" s="576"/>
      <c r="P119" s="576"/>
    </row>
    <row r="120" spans="1:38" s="2" customFormat="1" ht="15.75" x14ac:dyDescent="0.3">
      <c r="A120" s="331" t="s">
        <v>332</v>
      </c>
      <c r="B120" s="718" t="str">
        <f>" " &amp;$I$30&amp; "x"&amp;$I$31&amp; "x"&amp;gc&amp;"+"&amp;I30&amp;"x"&amp;I30&amp;"/2/2x2x"&amp;gc&amp;"="</f>
        <v xml:space="preserve"> 0x0x2.4+0x0/2/2x2x2.4=</v>
      </c>
      <c r="C120" s="719"/>
      <c r="D120" s="720"/>
      <c r="E120" s="434">
        <f>($I$30*$I$31+$I$30*$I$30/2/2*2)*gc</f>
        <v>0</v>
      </c>
      <c r="F120" s="642">
        <f>(b-$I$24-$I$31/2-I30/2)</f>
        <v>6.25</v>
      </c>
      <c r="G120" s="646"/>
      <c r="H120" s="346"/>
      <c r="I120" s="644">
        <f t="shared" si="6"/>
        <v>0</v>
      </c>
      <c r="J120" s="645"/>
      <c r="K120" s="345"/>
      <c r="L120" s="437" t="s">
        <v>331</v>
      </c>
      <c r="O120" s="70"/>
    </row>
    <row r="121" spans="1:38" s="2" customFormat="1" ht="15.75" x14ac:dyDescent="0.2">
      <c r="A121" s="34" t="s">
        <v>212</v>
      </c>
      <c r="B121" s="601" t="str">
        <f>" "&amp;ROUND($J$87,3)&amp;"x"&amp;hs&amp;"x"&amp;$I$30&amp;"x"&amp;gnor&amp;"="</f>
        <v xml:space="preserve"> 2.526x1.5x0x1.8=</v>
      </c>
      <c r="C121" s="602"/>
      <c r="D121" s="603"/>
      <c r="E121" s="434">
        <f>gnor*$J$87*hs*$I$30</f>
        <v>0</v>
      </c>
      <c r="F121" s="642">
        <f>$I$30/2</f>
        <v>0</v>
      </c>
      <c r="G121" s="646"/>
      <c r="H121" s="346"/>
      <c r="I121" s="644">
        <f t="shared" si="6"/>
        <v>0</v>
      </c>
      <c r="J121" s="645"/>
      <c r="K121" s="330"/>
      <c r="O121" s="70"/>
    </row>
    <row r="122" spans="1:38" ht="14.25" customHeight="1" x14ac:dyDescent="0.3">
      <c r="A122" s="331" t="s">
        <v>213</v>
      </c>
      <c r="B122" s="601" t="str">
        <f>" "&amp;ROUND($J$87,3)&amp;"x"&amp;$I$30&amp;"x"&amp;$I$30&amp;"x"&amp;gnor&amp;"/2="</f>
        <v xml:space="preserve"> 2.526x0x0x1.8/2=</v>
      </c>
      <c r="C122" s="602"/>
      <c r="D122" s="603"/>
      <c r="E122" s="462">
        <f>$J$87*$I$30*$I$30*gnor/2</f>
        <v>0</v>
      </c>
      <c r="F122" s="642">
        <f>$I$30*2/3</f>
        <v>0</v>
      </c>
      <c r="G122" s="646"/>
      <c r="H122" s="346"/>
      <c r="I122" s="644">
        <f t="shared" si="6"/>
        <v>0</v>
      </c>
      <c r="J122" s="645"/>
      <c r="K122" s="330"/>
      <c r="V122" s="2"/>
      <c r="W122" s="2"/>
      <c r="X122" s="2"/>
      <c r="Y122" s="2"/>
      <c r="Z122" s="2"/>
      <c r="AA122" s="2"/>
    </row>
    <row r="123" spans="1:38" ht="14.25" customHeight="1" x14ac:dyDescent="0.2">
      <c r="A123" s="28"/>
      <c r="B123" s="28"/>
      <c r="C123" s="28"/>
      <c r="D123" s="28"/>
      <c r="E123" s="310"/>
      <c r="F123" s="91"/>
      <c r="G123" s="91"/>
      <c r="H123" s="29"/>
      <c r="I123" s="30"/>
      <c r="J123" s="28"/>
      <c r="K123" s="28"/>
      <c r="V123" s="2"/>
      <c r="W123" s="2"/>
      <c r="X123" s="2"/>
      <c r="Y123" s="2"/>
      <c r="Z123" s="2"/>
      <c r="AA123" s="2"/>
    </row>
    <row r="124" spans="1:38" ht="14.25" customHeight="1" x14ac:dyDescent="0.2">
      <c r="A124" s="22" t="s">
        <v>71</v>
      </c>
      <c r="B124" s="28"/>
      <c r="C124" s="28"/>
      <c r="D124" s="28"/>
      <c r="E124" s="310"/>
      <c r="F124" s="91"/>
      <c r="G124" s="91"/>
      <c r="H124" s="29"/>
      <c r="I124" s="30"/>
      <c r="J124" s="28"/>
      <c r="K124" s="28"/>
      <c r="V124" s="2"/>
      <c r="W124" s="2"/>
      <c r="X124" s="2"/>
      <c r="Y124" s="2"/>
      <c r="Z124" s="2"/>
      <c r="AA124" s="2"/>
    </row>
    <row r="125" spans="1:38" ht="14.25" customHeight="1" x14ac:dyDescent="0.2">
      <c r="A125" s="28"/>
      <c r="B125" s="28"/>
      <c r="C125" s="28"/>
      <c r="D125" s="28"/>
      <c r="E125" s="310"/>
      <c r="F125" s="91"/>
      <c r="G125" s="91"/>
      <c r="H125" s="29"/>
      <c r="I125" s="30"/>
      <c r="J125" s="28"/>
      <c r="K125" s="28"/>
      <c r="V125" s="2"/>
      <c r="W125" s="2"/>
      <c r="X125" s="2"/>
      <c r="Y125" s="2"/>
      <c r="Z125" s="2"/>
      <c r="AA125" s="2"/>
    </row>
    <row r="126" spans="1:38" ht="14.25" customHeight="1" x14ac:dyDescent="0.2">
      <c r="A126" s="28"/>
      <c r="B126" s="28"/>
      <c r="C126" s="28"/>
      <c r="D126" s="28"/>
      <c r="E126" s="310"/>
      <c r="F126" s="91"/>
      <c r="G126" s="91"/>
      <c r="H126" s="29"/>
      <c r="I126" s="30"/>
      <c r="J126" s="28"/>
      <c r="K126" s="28"/>
      <c r="V126" s="2"/>
      <c r="W126" s="2"/>
      <c r="X126" s="2"/>
      <c r="Y126" s="2"/>
      <c r="Z126" s="2"/>
      <c r="AA126" s="2"/>
    </row>
    <row r="127" spans="1:38" ht="14.25" customHeight="1" x14ac:dyDescent="0.2">
      <c r="A127" s="28"/>
      <c r="B127" s="28"/>
      <c r="C127" s="28"/>
      <c r="D127" s="28"/>
      <c r="E127" s="310"/>
      <c r="F127" s="91"/>
      <c r="G127" s="91"/>
      <c r="H127" s="29"/>
      <c r="I127" s="30"/>
      <c r="J127" s="28"/>
      <c r="K127" s="28"/>
      <c r="V127" s="2"/>
      <c r="W127" s="2"/>
      <c r="X127" s="2"/>
      <c r="Y127" s="2"/>
      <c r="Z127" s="2"/>
      <c r="AA127" s="2"/>
    </row>
    <row r="128" spans="1:38" ht="14.25" customHeight="1" x14ac:dyDescent="0.2">
      <c r="A128" s="28"/>
      <c r="B128" s="28"/>
      <c r="C128" s="28"/>
      <c r="D128" s="28"/>
      <c r="E128" s="310"/>
      <c r="F128" s="91"/>
      <c r="G128" s="91"/>
      <c r="H128" s="29"/>
      <c r="I128" s="30"/>
      <c r="J128" s="28"/>
      <c r="K128" s="28"/>
      <c r="V128" s="2"/>
      <c r="W128" s="2"/>
      <c r="X128" s="2"/>
      <c r="Y128" s="2"/>
      <c r="Z128" s="2"/>
      <c r="AA128" s="2"/>
    </row>
    <row r="129" spans="1:27" ht="14.25" customHeight="1" x14ac:dyDescent="0.2">
      <c r="A129" s="28"/>
      <c r="B129" s="28"/>
      <c r="C129" s="28"/>
      <c r="D129" s="28"/>
      <c r="E129" s="310"/>
      <c r="F129" s="91"/>
      <c r="G129" s="91"/>
      <c r="H129" s="29"/>
      <c r="I129" s="30"/>
      <c r="J129" s="28"/>
      <c r="K129" s="28"/>
      <c r="V129" s="2"/>
      <c r="W129" s="2"/>
      <c r="X129" s="2"/>
      <c r="Y129" s="2"/>
      <c r="Z129" s="2"/>
      <c r="AA129" s="2"/>
    </row>
    <row r="130" spans="1:27" ht="14.25" customHeight="1" x14ac:dyDescent="0.2">
      <c r="A130" s="28"/>
      <c r="B130" s="28"/>
      <c r="C130" s="28"/>
      <c r="D130" s="28"/>
      <c r="E130" s="310"/>
      <c r="F130" s="91"/>
      <c r="G130" s="91"/>
      <c r="H130" s="29"/>
      <c r="I130" s="30"/>
      <c r="J130" s="28"/>
      <c r="K130" s="28"/>
      <c r="V130" s="2"/>
      <c r="W130" s="2"/>
      <c r="X130" s="2"/>
      <c r="Y130" s="2"/>
      <c r="Z130" s="2"/>
      <c r="AA130" s="2"/>
    </row>
    <row r="131" spans="1:27" ht="14.25" customHeight="1" x14ac:dyDescent="0.2">
      <c r="A131" s="28"/>
      <c r="B131" s="28"/>
      <c r="C131" s="28"/>
      <c r="D131" s="28"/>
      <c r="E131" s="310"/>
      <c r="F131" s="91"/>
      <c r="G131" s="91"/>
      <c r="H131" s="29"/>
      <c r="I131" s="30"/>
      <c r="J131" s="28"/>
      <c r="K131" s="28"/>
      <c r="V131" s="2"/>
      <c r="W131" s="2"/>
      <c r="X131" s="2"/>
      <c r="Y131" s="2"/>
      <c r="Z131" s="2"/>
      <c r="AA131" s="2"/>
    </row>
    <row r="132" spans="1:27" ht="14.25" customHeight="1" x14ac:dyDescent="0.2">
      <c r="A132" s="28"/>
      <c r="B132" s="28"/>
      <c r="C132" s="28"/>
      <c r="D132" s="28"/>
      <c r="E132" s="310"/>
      <c r="F132" s="91"/>
      <c r="G132" s="91"/>
      <c r="H132" s="29"/>
      <c r="I132" s="30"/>
      <c r="J132" s="28"/>
      <c r="K132" s="28"/>
      <c r="V132" s="2"/>
      <c r="W132" s="2"/>
      <c r="X132" s="2"/>
      <c r="Y132" s="2"/>
      <c r="Z132" s="2"/>
      <c r="AA132" s="2"/>
    </row>
    <row r="133" spans="1:27" s="2" customFormat="1" ht="24.75" customHeight="1" x14ac:dyDescent="0.25">
      <c r="A133" s="632"/>
      <c r="B133" s="632"/>
      <c r="C133" s="633"/>
      <c r="D133" s="633"/>
      <c r="E133" s="464"/>
      <c r="F133" s="39"/>
      <c r="G133" s="40"/>
      <c r="H133" s="41"/>
      <c r="I133" s="9"/>
      <c r="J133" s="9"/>
      <c r="K133" s="40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</row>
    <row r="134" spans="1:27" s="2" customFormat="1" ht="17.25" customHeight="1" x14ac:dyDescent="0.2">
      <c r="A134" s="9"/>
      <c r="B134" s="42"/>
      <c r="C134" s="9"/>
      <c r="D134" s="43"/>
      <c r="E134" s="464"/>
      <c r="F134" s="40"/>
      <c r="G134" s="40"/>
      <c r="H134" s="41"/>
      <c r="I134" s="9"/>
      <c r="J134" s="9"/>
      <c r="K134" s="40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7"/>
      <c r="W134" s="7"/>
      <c r="X134" s="7"/>
      <c r="Y134" s="7"/>
      <c r="Z134" s="7"/>
      <c r="AA134" s="7"/>
    </row>
    <row r="135" spans="1:27" s="2" customFormat="1" ht="17.25" customHeight="1" x14ac:dyDescent="0.2">
      <c r="A135" s="40"/>
      <c r="B135" s="40"/>
      <c r="C135" s="40"/>
      <c r="D135" s="44"/>
      <c r="E135" s="465"/>
      <c r="F135" s="8"/>
      <c r="G135" s="8"/>
      <c r="H135" s="16"/>
      <c r="K135" s="8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"/>
      <c r="W135" s="1"/>
      <c r="X135" s="1"/>
      <c r="Y135" s="1"/>
      <c r="Z135" s="1"/>
      <c r="AA135" s="1"/>
    </row>
    <row r="136" spans="1:27" s="2" customFormat="1" ht="15" x14ac:dyDescent="0.25">
      <c r="A136" s="8"/>
      <c r="B136" s="8"/>
      <c r="C136" s="39"/>
      <c r="D136" s="37"/>
      <c r="E136" s="465"/>
      <c r="F136" s="8"/>
      <c r="G136" s="8"/>
      <c r="H136" s="16"/>
      <c r="K136" s="8"/>
      <c r="V136" s="1"/>
      <c r="W136" s="1"/>
      <c r="X136" s="1"/>
      <c r="Y136" s="1"/>
      <c r="Z136" s="1"/>
      <c r="AA136" s="1"/>
    </row>
    <row r="137" spans="1:27" s="2" customFormat="1" ht="28.5" customHeight="1" x14ac:dyDescent="0.2">
      <c r="A137" s="45"/>
      <c r="B137" s="649"/>
      <c r="C137" s="649"/>
      <c r="D137" s="46" t="s">
        <v>72</v>
      </c>
      <c r="E137" s="181">
        <f>IF(B138&lt;b/6,C146/b*(1+6*B138/b),2/3*C146/(b/2-B138))</f>
        <v>30.817925363040725</v>
      </c>
      <c r="F137" s="48" t="s">
        <v>25</v>
      </c>
      <c r="G137" s="48" t="str">
        <f>IF(E137&lt;I137,"&lt;","&gt;")</f>
        <v>&lt;</v>
      </c>
      <c r="H137" s="46" t="s">
        <v>75</v>
      </c>
      <c r="I137" s="49">
        <f>I49</f>
        <v>400</v>
      </c>
      <c r="J137" s="48" t="s">
        <v>25</v>
      </c>
      <c r="K137" s="50" t="str">
        <f>IF(G137="&lt;","O.K.","not O.K.")</f>
        <v>O.K.</v>
      </c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0"/>
      <c r="W137" s="10"/>
      <c r="X137" s="10"/>
      <c r="Y137" s="10"/>
      <c r="Z137" s="10"/>
      <c r="AA137" s="10"/>
    </row>
    <row r="138" spans="1:27" s="2" customFormat="1" ht="18" x14ac:dyDescent="0.2">
      <c r="A138" s="51">
        <f>+(A142-C142)/C146</f>
        <v>2.5597346202833697</v>
      </c>
      <c r="B138" s="643">
        <f>b/2-A138</f>
        <v>1.0652653797166303</v>
      </c>
      <c r="C138" s="643"/>
      <c r="D138" s="46" t="s">
        <v>73</v>
      </c>
      <c r="E138" s="181">
        <f>IF(B138&lt;b/6,C146/b*(1-6*B138/b),0)</f>
        <v>1.9392417365014747</v>
      </c>
      <c r="F138" s="48" t="s">
        <v>25</v>
      </c>
      <c r="G138" s="48" t="str">
        <f>IF(E138&lt;I138,"&lt;","&gt;")</f>
        <v>&gt;</v>
      </c>
      <c r="H138" s="46" t="s">
        <v>74</v>
      </c>
      <c r="I138" s="49">
        <v>0</v>
      </c>
      <c r="J138" s="48" t="s">
        <v>25</v>
      </c>
      <c r="K138" s="50" t="str">
        <f>IF(E138&lt;I138,"not O.K.","O.K.")</f>
        <v>O.K.</v>
      </c>
    </row>
    <row r="139" spans="1:27" s="2" customFormat="1" x14ac:dyDescent="0.2">
      <c r="E139" s="193"/>
      <c r="I139" s="7"/>
      <c r="V139" s="1"/>
      <c r="W139" s="1"/>
      <c r="X139" s="1"/>
      <c r="Y139" s="1"/>
      <c r="Z139" s="1"/>
      <c r="AA139" s="1"/>
    </row>
    <row r="140" spans="1:27" x14ac:dyDescent="0.2">
      <c r="A140" s="22" t="s">
        <v>69</v>
      </c>
      <c r="B140" s="28"/>
      <c r="C140" s="28"/>
      <c r="D140" s="28"/>
      <c r="E140" s="310"/>
      <c r="F140" s="28"/>
      <c r="G140" s="28"/>
      <c r="H140" s="29"/>
      <c r="I140" s="30"/>
      <c r="J140" s="28"/>
      <c r="K140" s="28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</row>
    <row r="141" spans="1:27" ht="33.75" customHeight="1" x14ac:dyDescent="0.25">
      <c r="A141" s="650" t="s">
        <v>64</v>
      </c>
      <c r="B141" s="650"/>
      <c r="C141" s="650" t="s">
        <v>65</v>
      </c>
      <c r="D141" s="650"/>
      <c r="E141" s="727"/>
      <c r="F141" s="728"/>
      <c r="G141" s="52"/>
      <c r="H141" s="53" t="s">
        <v>66</v>
      </c>
      <c r="I141" s="54"/>
      <c r="J141" s="28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</row>
    <row r="142" spans="1:27" s="217" customFormat="1" ht="12.75" x14ac:dyDescent="0.2">
      <c r="A142" s="701">
        <f>SUM(I113:J116)+I118</f>
        <v>407.30867440841888</v>
      </c>
      <c r="B142" s="701"/>
      <c r="C142" s="701">
        <f>+I117+I119</f>
        <v>103.35367616766125</v>
      </c>
      <c r="D142" s="701"/>
      <c r="E142" s="656">
        <f>A142/C142</f>
        <v>3.9409210152107135</v>
      </c>
      <c r="F142" s="657"/>
      <c r="G142" s="290" t="str">
        <f>IF(E142&lt;H142,"&lt;","&gt;")</f>
        <v>&gt;</v>
      </c>
      <c r="H142" s="291">
        <v>1.5</v>
      </c>
      <c r="I142" s="292" t="str">
        <f>IF(G142="&gt;","O.K.","not O.K.")</f>
        <v>O.K.</v>
      </c>
      <c r="J142" s="293"/>
      <c r="K142" s="293"/>
      <c r="L142" s="193"/>
      <c r="M142" s="193"/>
      <c r="N142" s="193"/>
      <c r="O142" s="193"/>
      <c r="P142" s="193"/>
      <c r="Q142" s="218"/>
      <c r="R142" s="218"/>
      <c r="S142" s="218"/>
      <c r="T142" s="218"/>
      <c r="U142" s="218"/>
      <c r="V142" s="218"/>
      <c r="W142" s="218"/>
      <c r="X142" s="218"/>
      <c r="Y142" s="218"/>
      <c r="Z142" s="218"/>
      <c r="AA142" s="218"/>
    </row>
    <row r="143" spans="1:27" ht="9.75" customHeight="1" x14ac:dyDescent="0.2">
      <c r="A143" s="28"/>
      <c r="B143" s="28"/>
      <c r="C143" s="28"/>
      <c r="D143" s="28"/>
      <c r="E143" s="310"/>
      <c r="F143" s="28"/>
      <c r="G143" s="28"/>
      <c r="H143" s="29"/>
      <c r="I143" s="30"/>
      <c r="J143" s="28"/>
      <c r="K143" s="28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</row>
    <row r="144" spans="1:27" x14ac:dyDescent="0.2">
      <c r="A144" s="22" t="s">
        <v>70</v>
      </c>
      <c r="B144" s="28"/>
      <c r="C144" s="28"/>
      <c r="D144" s="28"/>
      <c r="E144" s="310"/>
      <c r="F144" s="28"/>
      <c r="G144" s="28"/>
      <c r="H144" s="29"/>
      <c r="I144" s="30"/>
      <c r="J144" s="28"/>
      <c r="K144" s="28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</row>
    <row r="145" spans="1:27" s="10" customFormat="1" ht="34.5" customHeight="1" x14ac:dyDescent="0.2">
      <c r="A145" s="650" t="s">
        <v>67</v>
      </c>
      <c r="B145" s="650"/>
      <c r="C145" s="650" t="s">
        <v>68</v>
      </c>
      <c r="D145" s="650"/>
      <c r="E145" s="294" t="s">
        <v>11</v>
      </c>
      <c r="F145" s="741"/>
      <c r="G145" s="742"/>
      <c r="H145" s="53"/>
      <c r="I145" s="53" t="s">
        <v>66</v>
      </c>
      <c r="J145" s="56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</row>
    <row r="146" spans="1:27" s="2" customFormat="1" ht="12.75" x14ac:dyDescent="0.2">
      <c r="A146" s="621">
        <f>IF((+E121+E122-E119-E117)&lt;0,-(E121+E122-E119-E117),(E121+E122-E119-E117))</f>
        <v>25.545812622435228</v>
      </c>
      <c r="B146" s="621"/>
      <c r="C146" s="621">
        <f>SUM(E113:E116)+E118+E120</f>
        <v>118.74473073584049</v>
      </c>
      <c r="D146" s="621"/>
      <c r="E146" s="298">
        <f>I47</f>
        <v>0.65</v>
      </c>
      <c r="F146" s="622">
        <f>C146*E146/A146</f>
        <v>3.0213983058229497</v>
      </c>
      <c r="G146" s="624"/>
      <c r="H146" s="4" t="str">
        <f>IF(F146&lt;I146,"&lt;","&gt;")</f>
        <v>&gt;</v>
      </c>
      <c r="I146" s="76">
        <v>1.5</v>
      </c>
      <c r="J146" s="5" t="str">
        <f>IF(H146="&gt;","O.K.","not O.K.")</f>
        <v>O.K.</v>
      </c>
      <c r="K146" s="8"/>
    </row>
    <row r="147" spans="1:27" x14ac:dyDescent="0.2">
      <c r="A147" s="28"/>
      <c r="B147" s="28"/>
      <c r="C147" s="28"/>
      <c r="D147" s="28"/>
      <c r="E147" s="310"/>
      <c r="F147" s="28"/>
      <c r="G147" s="28"/>
      <c r="H147" s="29"/>
      <c r="I147" s="30"/>
      <c r="J147" s="28"/>
      <c r="K147" s="28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</row>
    <row r="148" spans="1:27" s="2" customFormat="1" ht="12.75" x14ac:dyDescent="0.2">
      <c r="A148" s="8"/>
      <c r="B148" s="8"/>
      <c r="C148" s="8"/>
      <c r="D148" s="8"/>
      <c r="E148" s="299"/>
      <c r="F148" s="8"/>
      <c r="G148" s="8"/>
      <c r="H148" s="16"/>
      <c r="I148" s="26"/>
      <c r="J148" s="8"/>
      <c r="K148" s="8"/>
    </row>
    <row r="149" spans="1:27" s="2" customFormat="1" ht="15" x14ac:dyDescent="0.25">
      <c r="A149" s="715" t="s">
        <v>178</v>
      </c>
      <c r="B149" s="715"/>
      <c r="C149" s="715"/>
      <c r="D149" s="715"/>
      <c r="E149" s="715"/>
      <c r="F149" s="715"/>
      <c r="G149" s="715"/>
      <c r="H149" s="715"/>
      <c r="I149" s="715"/>
      <c r="J149" s="715"/>
      <c r="K149" s="715"/>
    </row>
    <row r="150" spans="1:27" s="2" customFormat="1" x14ac:dyDescent="0.2">
      <c r="A150" s="28"/>
      <c r="B150" s="28"/>
      <c r="C150" s="28"/>
      <c r="D150" s="28"/>
      <c r="E150" s="310"/>
      <c r="F150" s="28"/>
      <c r="G150" s="28"/>
      <c r="H150" s="28"/>
      <c r="I150" s="28"/>
      <c r="J150" s="28"/>
      <c r="K150" s="28"/>
      <c r="L150" s="2" t="s">
        <v>187</v>
      </c>
    </row>
    <row r="151" spans="1:27" s="2" customFormat="1" x14ac:dyDescent="0.2">
      <c r="A151" s="28"/>
      <c r="B151" s="28"/>
      <c r="C151" s="28"/>
      <c r="D151" s="28"/>
      <c r="E151" s="310"/>
      <c r="F151" s="28"/>
      <c r="G151" s="28"/>
      <c r="H151" s="29"/>
      <c r="I151" s="30"/>
      <c r="J151" s="28"/>
      <c r="K151" s="28"/>
    </row>
    <row r="152" spans="1:27" s="2" customFormat="1" x14ac:dyDescent="0.2">
      <c r="A152" s="28"/>
      <c r="B152" s="28"/>
      <c r="C152" s="28"/>
      <c r="D152" s="28"/>
      <c r="E152" s="310"/>
      <c r="F152" s="28"/>
      <c r="G152" s="28"/>
      <c r="H152" s="29"/>
      <c r="I152" s="30"/>
      <c r="J152" s="28"/>
      <c r="K152" s="28"/>
    </row>
    <row r="153" spans="1:27" s="2" customFormat="1" x14ac:dyDescent="0.2">
      <c r="A153" s="28"/>
      <c r="B153" s="28"/>
      <c r="C153" s="28"/>
      <c r="D153" s="28"/>
      <c r="E153" s="310"/>
      <c r="F153" s="28"/>
      <c r="G153" s="28"/>
      <c r="H153" s="29"/>
      <c r="I153" s="30"/>
      <c r="J153" s="28"/>
      <c r="K153" s="28"/>
    </row>
    <row r="154" spans="1:27" s="2" customFormat="1" x14ac:dyDescent="0.2">
      <c r="A154" s="28"/>
      <c r="B154" s="28"/>
      <c r="C154" s="28"/>
      <c r="D154" s="28"/>
      <c r="E154" s="310"/>
      <c r="F154" s="28"/>
      <c r="G154" s="28"/>
      <c r="H154" s="29"/>
      <c r="I154" s="30"/>
      <c r="J154" s="28"/>
      <c r="K154" s="28"/>
    </row>
    <row r="155" spans="1:27" s="2" customFormat="1" x14ac:dyDescent="0.2">
      <c r="A155" s="28"/>
      <c r="B155" s="28"/>
      <c r="C155" s="28"/>
      <c r="D155" s="28"/>
      <c r="E155" s="310"/>
      <c r="F155" s="28"/>
      <c r="G155" s="28"/>
      <c r="H155" s="29"/>
      <c r="I155" s="30"/>
      <c r="J155" s="28"/>
      <c r="K155" s="28"/>
    </row>
    <row r="156" spans="1:27" s="2" customFormat="1" x14ac:dyDescent="0.2">
      <c r="A156" s="28"/>
      <c r="B156" s="28"/>
      <c r="C156" s="28"/>
      <c r="D156" s="28"/>
      <c r="E156" s="310"/>
      <c r="F156" s="28"/>
      <c r="G156" s="28"/>
      <c r="H156" s="29"/>
      <c r="I156" s="30"/>
      <c r="J156" s="28"/>
      <c r="K156" s="28"/>
    </row>
    <row r="157" spans="1:27" s="2" customFormat="1" x14ac:dyDescent="0.2">
      <c r="A157" s="28"/>
      <c r="B157" s="28"/>
      <c r="C157" s="28"/>
      <c r="D157" s="28"/>
      <c r="E157" s="310"/>
      <c r="F157" s="28"/>
      <c r="G157" s="28"/>
      <c r="H157" s="29"/>
      <c r="I157" s="30"/>
      <c r="J157" s="28"/>
      <c r="K157" s="28"/>
    </row>
    <row r="158" spans="1:27" s="2" customFormat="1" x14ac:dyDescent="0.2">
      <c r="A158" s="28"/>
      <c r="B158" s="28"/>
      <c r="C158" s="28"/>
      <c r="D158" s="28"/>
      <c r="E158" s="310"/>
      <c r="F158" s="28"/>
      <c r="G158" s="28"/>
      <c r="H158" s="29"/>
      <c r="I158" s="30"/>
      <c r="J158" s="28"/>
      <c r="K158" s="28"/>
    </row>
    <row r="159" spans="1:27" s="2" customFormat="1" x14ac:dyDescent="0.2">
      <c r="A159" s="28"/>
      <c r="B159" s="28"/>
      <c r="C159" s="28"/>
      <c r="D159" s="28"/>
      <c r="E159" s="310"/>
      <c r="F159" s="28"/>
      <c r="G159" s="28"/>
      <c r="H159" s="29"/>
      <c r="I159" s="30"/>
      <c r="J159" s="28"/>
      <c r="K159" s="28"/>
    </row>
    <row r="160" spans="1:27" s="2" customFormat="1" x14ac:dyDescent="0.2">
      <c r="A160" s="28"/>
      <c r="B160" s="28"/>
      <c r="C160" s="28"/>
      <c r="D160" s="28"/>
      <c r="E160" s="310"/>
      <c r="F160" s="28"/>
      <c r="G160" s="28"/>
      <c r="H160" s="29"/>
      <c r="I160" s="30"/>
      <c r="J160" s="28"/>
      <c r="K160" s="28"/>
    </row>
    <row r="161" spans="1:32" s="2" customFormat="1" x14ac:dyDescent="0.2">
      <c r="A161" s="28"/>
      <c r="B161" s="28"/>
      <c r="C161" s="28"/>
      <c r="D161" s="28"/>
      <c r="E161" s="310"/>
      <c r="F161" s="28"/>
      <c r="G161" s="28"/>
      <c r="H161" s="29"/>
      <c r="I161" s="30"/>
      <c r="J161" s="28"/>
      <c r="K161" s="28"/>
    </row>
    <row r="162" spans="1:32" s="2" customFormat="1" x14ac:dyDescent="0.2">
      <c r="A162" s="28"/>
      <c r="B162" s="28"/>
      <c r="C162" s="28"/>
      <c r="D162" s="28"/>
      <c r="E162" s="310"/>
      <c r="F162" s="28"/>
      <c r="G162" s="28"/>
      <c r="H162" s="29"/>
      <c r="I162" s="30"/>
      <c r="J162" s="28"/>
      <c r="K162" s="28"/>
    </row>
    <row r="163" spans="1:32" s="2" customFormat="1" x14ac:dyDescent="0.2">
      <c r="A163" s="28"/>
      <c r="B163" s="28"/>
      <c r="C163" s="28"/>
      <c r="D163" s="28"/>
      <c r="E163" s="310"/>
      <c r="F163" s="28"/>
      <c r="G163" s="28"/>
      <c r="H163" s="29"/>
      <c r="I163" s="30"/>
      <c r="J163" s="28"/>
      <c r="K163" s="28"/>
    </row>
    <row r="164" spans="1:32" s="2" customFormat="1" x14ac:dyDescent="0.2">
      <c r="A164" s="28"/>
      <c r="B164" s="28"/>
      <c r="C164" s="28"/>
      <c r="D164" s="28"/>
      <c r="E164" s="310"/>
      <c r="F164" s="28"/>
      <c r="G164" s="28"/>
      <c r="H164" s="29"/>
      <c r="I164" s="30"/>
      <c r="J164" s="28"/>
      <c r="K164" s="28"/>
    </row>
    <row r="165" spans="1:32" s="2" customFormat="1" x14ac:dyDescent="0.2">
      <c r="A165" s="28"/>
      <c r="B165" s="28"/>
      <c r="C165" s="28"/>
      <c r="D165" s="28"/>
      <c r="E165" s="310"/>
      <c r="F165" s="28"/>
      <c r="G165" s="28"/>
      <c r="H165" s="29"/>
      <c r="I165" s="30"/>
      <c r="J165" s="28"/>
      <c r="K165" s="28"/>
    </row>
    <row r="166" spans="1:32" s="2" customFormat="1" x14ac:dyDescent="0.2">
      <c r="A166" s="28"/>
      <c r="B166" s="28"/>
      <c r="C166" s="28"/>
      <c r="D166" s="28"/>
      <c r="E166" s="310"/>
      <c r="F166" s="28"/>
      <c r="G166" s="28"/>
      <c r="H166" s="29"/>
      <c r="I166" s="30"/>
      <c r="J166" s="28"/>
      <c r="K166" s="28"/>
    </row>
    <row r="167" spans="1:32" s="2" customFormat="1" x14ac:dyDescent="0.2">
      <c r="A167" s="28"/>
      <c r="B167" s="28"/>
      <c r="C167" s="28"/>
      <c r="D167" s="28"/>
      <c r="E167" s="310"/>
      <c r="F167" s="28"/>
      <c r="G167" s="28"/>
      <c r="H167" s="29"/>
      <c r="I167" s="30"/>
      <c r="J167" s="28"/>
      <c r="K167" s="28"/>
    </row>
    <row r="168" spans="1:32" s="2" customFormat="1" ht="27.75" customHeight="1" thickBot="1" x14ac:dyDescent="0.25">
      <c r="A168" s="627" t="s">
        <v>56</v>
      </c>
      <c r="B168" s="627"/>
      <c r="C168" s="627"/>
      <c r="D168" s="627"/>
      <c r="E168" s="627"/>
      <c r="F168" s="627" t="s">
        <v>54</v>
      </c>
      <c r="G168" s="627"/>
      <c r="H168" s="627"/>
      <c r="I168" s="628" t="s">
        <v>55</v>
      </c>
      <c r="J168" s="628"/>
      <c r="K168" s="628"/>
    </row>
    <row r="169" spans="1:32" s="2" customFormat="1" ht="16.5" thickTop="1" x14ac:dyDescent="0.2">
      <c r="A169" s="31" t="s">
        <v>57</v>
      </c>
      <c r="B169" s="629" t="str">
        <f>+B113</f>
        <v xml:space="preserve"> 5.25x7.1x2.4/2=</v>
      </c>
      <c r="C169" s="630"/>
      <c r="D169" s="631"/>
      <c r="E169" s="461">
        <f t="shared" ref="E169:F171" si="7">+E113</f>
        <v>44.73</v>
      </c>
      <c r="F169" s="615">
        <f t="shared" si="7"/>
        <v>3.25</v>
      </c>
      <c r="G169" s="616"/>
      <c r="H169" s="32"/>
      <c r="I169" s="617">
        <f t="shared" ref="I169:I181" si="8">E169*F169</f>
        <v>145.3725</v>
      </c>
      <c r="J169" s="618"/>
      <c r="K169" s="33"/>
    </row>
    <row r="170" spans="1:32" s="2" customFormat="1" ht="15.75" x14ac:dyDescent="0.2">
      <c r="A170" s="34" t="s">
        <v>58</v>
      </c>
      <c r="B170" s="601" t="str">
        <f>+B114</f>
        <v xml:space="preserve"> 7.1x1x2.4=</v>
      </c>
      <c r="C170" s="602"/>
      <c r="D170" s="603"/>
      <c r="E170" s="434">
        <f t="shared" si="7"/>
        <v>17.04</v>
      </c>
      <c r="F170" s="641">
        <f t="shared" si="7"/>
        <v>1</v>
      </c>
      <c r="G170" s="642"/>
      <c r="H170" s="35"/>
      <c r="I170" s="643">
        <f t="shared" si="8"/>
        <v>17.04</v>
      </c>
      <c r="J170" s="644"/>
      <c r="K170" s="36"/>
    </row>
    <row r="171" spans="1:32" s="2" customFormat="1" ht="15.75" x14ac:dyDescent="0.2">
      <c r="A171" s="34" t="s">
        <v>59</v>
      </c>
      <c r="B171" s="601" t="str">
        <f>+B115</f>
        <v xml:space="preserve"> 7.25x1.5x2.4=</v>
      </c>
      <c r="C171" s="602"/>
      <c r="D171" s="603"/>
      <c r="E171" s="434">
        <f t="shared" si="7"/>
        <v>26.099999999999998</v>
      </c>
      <c r="F171" s="641">
        <f t="shared" si="7"/>
        <v>3.625</v>
      </c>
      <c r="G171" s="642"/>
      <c r="H171" s="35"/>
      <c r="I171" s="643">
        <f t="shared" si="8"/>
        <v>94.612499999999997</v>
      </c>
      <c r="J171" s="644"/>
      <c r="K171" s="36"/>
    </row>
    <row r="172" spans="1:32" s="2" customFormat="1" ht="12.75" hidden="1" x14ac:dyDescent="0.2">
      <c r="A172" s="34"/>
      <c r="B172" s="601"/>
      <c r="C172" s="602"/>
      <c r="D172" s="603"/>
      <c r="E172" s="434"/>
      <c r="F172" s="641"/>
      <c r="G172" s="642"/>
      <c r="H172" s="35"/>
      <c r="I172" s="643"/>
      <c r="J172" s="644"/>
      <c r="K172" s="36"/>
    </row>
    <row r="173" spans="1:32" s="2" customFormat="1" ht="12.75" hidden="1" x14ac:dyDescent="0.2">
      <c r="A173" s="34"/>
      <c r="B173" s="601"/>
      <c r="C173" s="602"/>
      <c r="D173" s="603"/>
      <c r="E173" s="434"/>
      <c r="F173" s="641"/>
      <c r="G173" s="642"/>
      <c r="H173" s="35"/>
      <c r="I173" s="643"/>
      <c r="J173" s="644"/>
      <c r="K173" s="36"/>
    </row>
    <row r="174" spans="1:32" s="575" customFormat="1" ht="15.75" x14ac:dyDescent="0.2">
      <c r="A174" s="571" t="s">
        <v>347</v>
      </c>
      <c r="B174" s="604" t="str">
        <f>+B116</f>
        <v xml:space="preserve"> 0.75x7.1²x1.8/2xsin(13.92+36.48)=</v>
      </c>
      <c r="C174" s="605"/>
      <c r="D174" s="606"/>
      <c r="E174" s="572">
        <f>kas*(hw)*(hw)*gnor/2*SIN(beta/180*PI()+delta/180*PI())</f>
        <v>26.200468712087762</v>
      </c>
      <c r="F174" s="607">
        <f>+F116</f>
        <v>5</v>
      </c>
      <c r="G174" s="608"/>
      <c r="H174" s="573"/>
      <c r="I174" s="609">
        <f>E174*F174</f>
        <v>131.00234356043882</v>
      </c>
      <c r="J174" s="610"/>
      <c r="K174" s="574"/>
    </row>
    <row r="175" spans="1:32" s="575" customFormat="1" ht="15.75" x14ac:dyDescent="0.2">
      <c r="A175" s="571" t="s">
        <v>346</v>
      </c>
      <c r="B175" s="604" t="str">
        <f>+B117</f>
        <v xml:space="preserve"> 0.75x7.1²x1.8/2xcos(13.92+36.48)=</v>
      </c>
      <c r="C175" s="605"/>
      <c r="D175" s="606"/>
      <c r="E175" s="572">
        <f>kas*(hw)*(hw)*gnor/2*COS(beta/180*PI()+delta/180*PI())</f>
        <v>21.678319078002804</v>
      </c>
      <c r="F175" s="607">
        <f>+F117</f>
        <v>3.8666666666666667</v>
      </c>
      <c r="G175" s="608"/>
      <c r="H175" s="573"/>
      <c r="I175" s="609">
        <f>E175*F175</f>
        <v>83.822833768277505</v>
      </c>
      <c r="J175" s="610"/>
      <c r="K175" s="574"/>
    </row>
    <row r="176" spans="1:32" s="2" customFormat="1" ht="15.75" x14ac:dyDescent="0.2">
      <c r="A176" s="31" t="s">
        <v>76</v>
      </c>
      <c r="B176" s="629" t="str">
        <f>" "&amp;ROUND((bw-bt),2)&amp;"x"&amp;hw&amp;"x"&amp;ROUND(gc,2)&amp;"x"&amp;ROUND(I38,3)&amp;"/2="</f>
        <v xml:space="preserve"> 5.25x7.1x2.4x0.369/2=</v>
      </c>
      <c r="C176" s="630"/>
      <c r="D176" s="631"/>
      <c r="E176" s="461">
        <f>(bw-bt)*hw*gc*I38/2</f>
        <v>16.490459999999999</v>
      </c>
      <c r="F176" s="642">
        <f>hs+hw/3</f>
        <v>3.8666666666666667</v>
      </c>
      <c r="G176" s="646"/>
      <c r="H176" s="32"/>
      <c r="I176" s="643">
        <f t="shared" si="8"/>
        <v>63.763111999999992</v>
      </c>
      <c r="J176" s="644"/>
      <c r="K176" s="33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  <c r="AA176" s="9"/>
      <c r="AB176" s="9"/>
      <c r="AC176" s="9"/>
      <c r="AD176" s="9"/>
      <c r="AE176" s="9"/>
      <c r="AF176" s="9"/>
    </row>
    <row r="177" spans="1:32" s="2" customFormat="1" ht="15.75" x14ac:dyDescent="0.2">
      <c r="A177" s="34" t="s">
        <v>77</v>
      </c>
      <c r="B177" s="601" t="str">
        <f>" "&amp;hw&amp;"x"&amp;bt&amp;"x"&amp;gc&amp;"x"&amp;ROUND(I38,3)&amp;"="</f>
        <v xml:space="preserve"> 7.1x1x2.4x0.369=</v>
      </c>
      <c r="C177" s="602"/>
      <c r="D177" s="603"/>
      <c r="E177" s="434">
        <f>hw*bt*gc*I38</f>
        <v>6.2820800000000006</v>
      </c>
      <c r="F177" s="641">
        <f>hw/2+hs</f>
        <v>5.05</v>
      </c>
      <c r="G177" s="642"/>
      <c r="H177" s="35"/>
      <c r="I177" s="643">
        <f t="shared" si="8"/>
        <v>31.724504000000003</v>
      </c>
      <c r="J177" s="644"/>
      <c r="K177" s="36"/>
      <c r="N177" s="47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  <c r="AA177" s="9"/>
      <c r="AB177" s="9"/>
      <c r="AC177" s="9"/>
      <c r="AD177" s="9"/>
      <c r="AE177" s="9"/>
      <c r="AF177" s="9"/>
    </row>
    <row r="178" spans="1:32" s="2" customFormat="1" ht="15.75" x14ac:dyDescent="0.2">
      <c r="A178" s="34" t="s">
        <v>78</v>
      </c>
      <c r="B178" s="601" t="str">
        <f>" " &amp;ROUND(b,2)&amp;"x"&amp;hs&amp;"x"&amp;gc&amp;"x"&amp;ROUND(I38,3)&amp;"="</f>
        <v xml:space="preserve"> 7.25x1.5x2.4x0.369=</v>
      </c>
      <c r="C178" s="602"/>
      <c r="D178" s="603"/>
      <c r="E178" s="434">
        <f>ROUND(b*hs*gc*I38,2)</f>
        <v>9.6199999999999992</v>
      </c>
      <c r="F178" s="641">
        <f>hs/2</f>
        <v>0.75</v>
      </c>
      <c r="G178" s="642"/>
      <c r="H178" s="35"/>
      <c r="I178" s="643">
        <f t="shared" si="8"/>
        <v>7.2149999999999999</v>
      </c>
      <c r="J178" s="644"/>
      <c r="K178" s="36"/>
      <c r="P178" s="48"/>
      <c r="Q178" s="647"/>
      <c r="R178" s="647"/>
      <c r="S178" s="647"/>
      <c r="T178" s="47"/>
      <c r="U178" s="648"/>
      <c r="V178" s="648"/>
      <c r="W178" s="41"/>
      <c r="X178" s="653"/>
      <c r="Y178" s="653"/>
      <c r="Z178" s="40"/>
      <c r="AA178" s="9"/>
      <c r="AB178" s="9"/>
      <c r="AC178" s="9"/>
      <c r="AD178" s="9"/>
      <c r="AE178" s="9"/>
      <c r="AF178" s="9"/>
    </row>
    <row r="179" spans="1:32" s="2" customFormat="1" ht="12.75" hidden="1" x14ac:dyDescent="0.2">
      <c r="A179" s="34"/>
      <c r="B179" s="601"/>
      <c r="C179" s="602"/>
      <c r="D179" s="603"/>
      <c r="E179" s="434"/>
      <c r="F179" s="641"/>
      <c r="G179" s="642"/>
      <c r="H179" s="35"/>
      <c r="I179" s="643">
        <f>E179*F179</f>
        <v>0</v>
      </c>
      <c r="J179" s="644"/>
      <c r="K179" s="282"/>
      <c r="N179" s="70"/>
      <c r="P179" s="48"/>
      <c r="Q179" s="280"/>
      <c r="R179" s="280"/>
      <c r="S179" s="280"/>
      <c r="T179" s="47"/>
      <c r="U179" s="281"/>
      <c r="V179" s="281"/>
      <c r="W179" s="41"/>
      <c r="X179" s="279"/>
      <c r="Y179" s="279"/>
      <c r="Z179" s="280"/>
      <c r="AA179" s="9"/>
      <c r="AB179" s="9"/>
      <c r="AC179" s="9"/>
      <c r="AD179" s="9"/>
      <c r="AE179" s="9"/>
      <c r="AF179" s="9"/>
    </row>
    <row r="180" spans="1:32" s="2" customFormat="1" ht="12.75" hidden="1" x14ac:dyDescent="0.2">
      <c r="A180" s="34"/>
      <c r="B180" s="601"/>
      <c r="C180" s="602"/>
      <c r="D180" s="603"/>
      <c r="E180" s="434"/>
      <c r="F180" s="641"/>
      <c r="G180" s="642"/>
      <c r="H180" s="35"/>
      <c r="I180" s="643">
        <f>E180*F180</f>
        <v>0</v>
      </c>
      <c r="J180" s="644"/>
      <c r="K180" s="282"/>
      <c r="P180" s="48"/>
      <c r="Q180" s="280"/>
      <c r="R180" s="280"/>
      <c r="S180" s="280"/>
      <c r="T180" s="47"/>
      <c r="U180" s="281"/>
      <c r="V180" s="281"/>
      <c r="W180" s="41"/>
      <c r="X180" s="279"/>
      <c r="Y180" s="279"/>
      <c r="Z180" s="280"/>
      <c r="AA180" s="9"/>
      <c r="AB180" s="9"/>
      <c r="AC180" s="9"/>
      <c r="AD180" s="9"/>
      <c r="AE180" s="9"/>
      <c r="AF180" s="9"/>
    </row>
    <row r="181" spans="1:32" s="575" customFormat="1" ht="15.75" x14ac:dyDescent="0.2">
      <c r="A181" s="571" t="s">
        <v>351</v>
      </c>
      <c r="B181" s="604" t="str">
        <f>" "&amp;ROUND(MAX(J82:K83),3)&amp;"x"&amp;(hw)&amp;"²x"&amp;ROUND(gnor,2)&amp;"/2xcos("&amp;(ROUND(delta,2)&amp;"+"&amp;(ROUND(beta,2))&amp;")=")</f>
        <v xml:space="preserve"> 2.807x7.1²x1.8/2xcos(13.92+36.48)=</v>
      </c>
      <c r="C181" s="605"/>
      <c r="D181" s="606"/>
      <c r="E181" s="572">
        <f>(MAX(J82:K83))*(hw)^2*(gnor)/2*COS(beta/180*PI()+delta/180*PI())</f>
        <v>81.196848473376207</v>
      </c>
      <c r="F181" s="607">
        <f>((hw)*2/3)+hs</f>
        <v>6.2333333333333334</v>
      </c>
      <c r="G181" s="608"/>
      <c r="H181" s="573"/>
      <c r="I181" s="609">
        <f t="shared" si="8"/>
        <v>506.1270221507117</v>
      </c>
      <c r="J181" s="610"/>
      <c r="K181" s="574"/>
      <c r="P181" s="578"/>
      <c r="Q181" s="745"/>
      <c r="R181" s="745"/>
      <c r="S181" s="745"/>
      <c r="T181" s="577"/>
      <c r="U181" s="743"/>
      <c r="V181" s="743"/>
      <c r="W181" s="579"/>
      <c r="X181" s="744"/>
      <c r="Y181" s="744"/>
      <c r="Z181" s="580"/>
      <c r="AA181" s="581"/>
      <c r="AB181" s="581"/>
      <c r="AC181" s="581"/>
      <c r="AD181" s="581"/>
      <c r="AE181" s="581"/>
      <c r="AF181" s="581"/>
    </row>
    <row r="182" spans="1:32" s="575" customFormat="1" ht="15.75" x14ac:dyDescent="0.2">
      <c r="A182" s="571" t="s">
        <v>352</v>
      </c>
      <c r="B182" s="604" t="str">
        <f>" "&amp;ROUND(MAX(J82:K83),3)&amp;"x"&amp;(hw)&amp;"²x"&amp;ROUND(gnor,2)&amp;"/2xsin("&amp;(ROUND(delta,2)&amp;"+"&amp;(ROUND(beta,2))&amp;")=")</f>
        <v xml:space="preserve"> 2.807x7.1²x1.8/2xsin(13.92+36.48)=</v>
      </c>
      <c r="C182" s="605"/>
      <c r="D182" s="606"/>
      <c r="E182" s="572">
        <f>(MAX(J82:K83))*(hw)^2*(gnor)/2*SIN(beta/180*PI()+delta/180*PI())</f>
        <v>98.134706860436992</v>
      </c>
      <c r="F182" s="607">
        <f>+bf+bt+(bw-bt)/3</f>
        <v>3.25</v>
      </c>
      <c r="G182" s="608"/>
      <c r="H182" s="573"/>
      <c r="I182" s="609">
        <f>E182*F182</f>
        <v>318.93779729642023</v>
      </c>
      <c r="J182" s="610"/>
      <c r="K182" s="574"/>
      <c r="P182" s="578"/>
      <c r="Q182" s="745"/>
      <c r="R182" s="745"/>
      <c r="S182" s="745"/>
      <c r="T182" s="577"/>
      <c r="U182" s="743"/>
      <c r="V182" s="743"/>
      <c r="W182" s="579"/>
      <c r="X182" s="744"/>
      <c r="Y182" s="744"/>
      <c r="Z182" s="580"/>
      <c r="AA182" s="581"/>
      <c r="AB182" s="581"/>
      <c r="AC182" s="581"/>
      <c r="AD182" s="581"/>
      <c r="AE182" s="581"/>
      <c r="AF182" s="581"/>
    </row>
    <row r="183" spans="1:32" s="193" customFormat="1" ht="15.75" x14ac:dyDescent="0.3">
      <c r="A183" s="336" t="s">
        <v>330</v>
      </c>
      <c r="B183" s="698" t="str">
        <f>+B120</f>
        <v xml:space="preserve"> 0x0x2.4+0x0/2/2x2x2.4=</v>
      </c>
      <c r="C183" s="699"/>
      <c r="D183" s="700"/>
      <c r="E183" s="434">
        <f>+E120</f>
        <v>0</v>
      </c>
      <c r="F183" s="642">
        <f>+F120</f>
        <v>6.25</v>
      </c>
      <c r="G183" s="646"/>
      <c r="H183" s="346"/>
      <c r="I183" s="644">
        <f>E183*F183</f>
        <v>0</v>
      </c>
      <c r="J183" s="645"/>
      <c r="K183" s="345"/>
      <c r="P183" s="183"/>
      <c r="Q183" s="337"/>
      <c r="R183" s="337"/>
      <c r="S183" s="337"/>
      <c r="T183" s="181"/>
      <c r="U183" s="338"/>
      <c r="V183" s="338"/>
      <c r="W183" s="334"/>
      <c r="X183" s="335"/>
      <c r="Y183" s="335"/>
      <c r="Z183" s="337"/>
      <c r="AA183" s="168"/>
      <c r="AB183" s="168"/>
      <c r="AC183" s="168"/>
      <c r="AD183" s="168"/>
      <c r="AE183" s="168"/>
      <c r="AF183" s="168"/>
    </row>
    <row r="184" spans="1:32" s="193" customFormat="1" ht="15.75" x14ac:dyDescent="0.2">
      <c r="A184" s="34" t="s">
        <v>212</v>
      </c>
      <c r="B184" s="601" t="str">
        <f>" "&amp;ROUND($J$87,3)&amp;"x"&amp;hs&amp;"x"&amp;$I$30&amp;"x"&amp;gnor&amp;"="</f>
        <v xml:space="preserve"> 2.526x1.5x0x1.8=</v>
      </c>
      <c r="C184" s="602"/>
      <c r="D184" s="603"/>
      <c r="E184" s="434">
        <f>gnor*$J$87*hs*$I$30</f>
        <v>0</v>
      </c>
      <c r="F184" s="642">
        <f>$I$30/2</f>
        <v>0</v>
      </c>
      <c r="G184" s="646"/>
      <c r="H184" s="346"/>
      <c r="I184" s="644">
        <f>E184*F184</f>
        <v>0</v>
      </c>
      <c r="J184" s="645"/>
      <c r="K184" s="333"/>
      <c r="P184" s="183"/>
      <c r="Q184" s="337"/>
      <c r="R184" s="337"/>
      <c r="S184" s="337"/>
      <c r="T184" s="181"/>
      <c r="U184" s="338"/>
      <c r="V184" s="338"/>
      <c r="W184" s="334"/>
      <c r="X184" s="335"/>
      <c r="Y184" s="335"/>
      <c r="Z184" s="337"/>
      <c r="AA184" s="168"/>
      <c r="AB184" s="168"/>
      <c r="AC184" s="168"/>
      <c r="AD184" s="168"/>
      <c r="AE184" s="168"/>
      <c r="AF184" s="168"/>
    </row>
    <row r="185" spans="1:32" s="193" customFormat="1" ht="15.75" x14ac:dyDescent="0.3">
      <c r="A185" s="535" t="s">
        <v>213</v>
      </c>
      <c r="B185" s="601" t="str">
        <f>" "&amp;ROUND($J$87,3)&amp;"x"&amp;$I$30&amp;"x"&amp;$I$30&amp;"x"&amp;gnor&amp;"/2="</f>
        <v xml:space="preserve"> 2.526x0x0x1.8/2=</v>
      </c>
      <c r="C185" s="602"/>
      <c r="D185" s="603"/>
      <c r="E185" s="462">
        <f>$J$87*$I$30*$I$30*gnor/2</f>
        <v>0</v>
      </c>
      <c r="F185" s="642">
        <f>$I$30*2/3</f>
        <v>0</v>
      </c>
      <c r="G185" s="646"/>
      <c r="H185" s="346"/>
      <c r="I185" s="644">
        <f>E185*F185</f>
        <v>0</v>
      </c>
      <c r="J185" s="645"/>
      <c r="K185" s="525"/>
      <c r="N185" s="347"/>
      <c r="P185" s="183"/>
      <c r="Q185" s="337"/>
      <c r="R185" s="337"/>
      <c r="S185" s="337"/>
      <c r="T185" s="181"/>
      <c r="U185" s="338"/>
      <c r="V185" s="338"/>
      <c r="W185" s="334"/>
      <c r="X185" s="335"/>
      <c r="Y185" s="335"/>
      <c r="Z185" s="337"/>
      <c r="AA185" s="168"/>
      <c r="AB185" s="168"/>
      <c r="AC185" s="168"/>
      <c r="AD185" s="168"/>
      <c r="AE185" s="168"/>
      <c r="AF185" s="168"/>
    </row>
    <row r="186" spans="1:32" s="193" customFormat="1" ht="15.75" hidden="1" x14ac:dyDescent="0.3">
      <c r="A186" s="439" t="s">
        <v>333</v>
      </c>
      <c r="B186" s="661"/>
      <c r="C186" s="661"/>
      <c r="D186" s="661"/>
      <c r="E186" s="463">
        <f>+'depremli durum ankraj'!I56</f>
        <v>0</v>
      </c>
      <c r="F186" s="642"/>
      <c r="G186" s="646"/>
      <c r="H186" s="346"/>
      <c r="I186" s="645">
        <f>+E186*F186</f>
        <v>0</v>
      </c>
      <c r="J186" s="645"/>
      <c r="K186" s="429"/>
      <c r="N186" s="347"/>
      <c r="P186" s="183"/>
      <c r="Q186" s="354"/>
      <c r="R186" s="354"/>
      <c r="S186" s="354"/>
      <c r="T186" s="181"/>
      <c r="U186" s="355"/>
      <c r="V186" s="355"/>
      <c r="W186" s="352"/>
      <c r="X186" s="353"/>
      <c r="Y186" s="353"/>
      <c r="Z186" s="354"/>
      <c r="AA186" s="168"/>
      <c r="AB186" s="168"/>
      <c r="AC186" s="168"/>
      <c r="AD186" s="168"/>
      <c r="AE186" s="168"/>
      <c r="AF186" s="168"/>
    </row>
    <row r="187" spans="1:32" s="2" customFormat="1" ht="12.75" x14ac:dyDescent="0.2">
      <c r="A187" s="48"/>
      <c r="B187" s="40"/>
      <c r="C187" s="40"/>
      <c r="D187" s="40"/>
      <c r="E187" s="181"/>
      <c r="F187" s="219"/>
      <c r="G187" s="219"/>
      <c r="H187" s="41"/>
      <c r="I187" s="198"/>
      <c r="J187" s="198"/>
      <c r="K187" s="40"/>
      <c r="P187" s="48"/>
      <c r="Q187" s="40"/>
      <c r="R187" s="40"/>
      <c r="S187" s="40"/>
      <c r="T187" s="47"/>
      <c r="U187" s="219"/>
      <c r="V187" s="219"/>
      <c r="W187" s="41"/>
      <c r="X187" s="198"/>
      <c r="Y187" s="198"/>
      <c r="Z187" s="40"/>
      <c r="AA187" s="9"/>
      <c r="AB187" s="9"/>
      <c r="AC187" s="9"/>
      <c r="AD187" s="9"/>
      <c r="AE187" s="9"/>
      <c r="AF187" s="9"/>
    </row>
    <row r="188" spans="1:32" s="2" customFormat="1" x14ac:dyDescent="0.2">
      <c r="A188" s="22" t="s">
        <v>71</v>
      </c>
      <c r="B188" s="8"/>
      <c r="C188" s="8"/>
      <c r="D188" s="37"/>
      <c r="E188" s="465"/>
      <c r="F188" s="8"/>
      <c r="G188" s="8"/>
      <c r="H188" s="16"/>
      <c r="K188" s="8"/>
      <c r="P188" s="48"/>
      <c r="Q188" s="647"/>
      <c r="R188" s="647"/>
      <c r="S188" s="647"/>
      <c r="T188" s="47"/>
      <c r="U188" s="648"/>
      <c r="V188" s="648"/>
      <c r="W188" s="41"/>
      <c r="X188" s="653"/>
      <c r="Y188" s="653"/>
      <c r="Z188" s="40"/>
      <c r="AA188" s="9"/>
      <c r="AB188" s="9"/>
      <c r="AC188" s="9"/>
      <c r="AD188" s="9"/>
      <c r="AE188" s="9"/>
      <c r="AF188" s="9"/>
    </row>
    <row r="189" spans="1:32" s="2" customFormat="1" ht="29.25" customHeight="1" x14ac:dyDescent="0.25">
      <c r="A189" s="632"/>
      <c r="B189" s="632"/>
      <c r="C189" s="633"/>
      <c r="D189" s="633"/>
      <c r="E189" s="464"/>
      <c r="F189" s="39"/>
      <c r="G189" s="40"/>
      <c r="H189" s="41"/>
      <c r="I189" s="9"/>
      <c r="J189" s="9"/>
      <c r="K189" s="40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  <c r="AA189" s="9"/>
      <c r="AB189" s="9"/>
      <c r="AC189" s="9"/>
      <c r="AD189" s="9"/>
      <c r="AE189" s="9"/>
      <c r="AF189" s="9"/>
    </row>
    <row r="190" spans="1:32" s="2" customFormat="1" ht="19.5" customHeight="1" x14ac:dyDescent="0.2">
      <c r="A190" s="9"/>
      <c r="B190" s="42"/>
      <c r="C190" s="9"/>
      <c r="D190" s="43"/>
      <c r="E190" s="464"/>
      <c r="F190" s="40"/>
      <c r="G190" s="40"/>
      <c r="H190" s="41"/>
      <c r="I190" s="9"/>
      <c r="J190" s="9"/>
      <c r="K190" s="40"/>
      <c r="N190" s="70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  <c r="AA190" s="9"/>
      <c r="AB190" s="9"/>
      <c r="AC190" s="9"/>
      <c r="AD190" s="9"/>
      <c r="AE190" s="9"/>
      <c r="AF190" s="9"/>
    </row>
    <row r="191" spans="1:32" s="2" customFormat="1" ht="19.5" customHeight="1" x14ac:dyDescent="0.2">
      <c r="A191" s="40"/>
      <c r="B191" s="40"/>
      <c r="C191" s="40"/>
      <c r="D191" s="44"/>
      <c r="E191" s="465"/>
      <c r="F191" s="8"/>
      <c r="G191" s="8"/>
      <c r="H191" s="16"/>
      <c r="K191" s="8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  <c r="AA191" s="9"/>
      <c r="AB191" s="9"/>
      <c r="AC191" s="9"/>
      <c r="AD191" s="9"/>
      <c r="AE191" s="9"/>
      <c r="AF191" s="9"/>
    </row>
    <row r="192" spans="1:32" s="2" customFormat="1" ht="15" x14ac:dyDescent="0.25">
      <c r="A192" s="8"/>
      <c r="B192" s="8"/>
      <c r="C192" s="39"/>
      <c r="D192" s="37"/>
      <c r="E192" s="465"/>
      <c r="F192" s="8"/>
      <c r="G192" s="8"/>
      <c r="H192" s="16"/>
      <c r="K192" s="8"/>
      <c r="N192" s="70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  <c r="AA192" s="9"/>
      <c r="AB192" s="9"/>
      <c r="AC192" s="9"/>
      <c r="AD192" s="9"/>
      <c r="AE192" s="9"/>
      <c r="AF192" s="9"/>
    </row>
    <row r="193" spans="1:32" s="2" customFormat="1" ht="28.5" customHeight="1" x14ac:dyDescent="0.2">
      <c r="A193" s="45"/>
      <c r="B193" s="649"/>
      <c r="C193" s="649"/>
      <c r="D193" s="46" t="s">
        <v>72</v>
      </c>
      <c r="E193" s="181">
        <f>IF(B194&lt;b/6,C203/b*(1+6*B194/b),2/3*C203/(b/2-B194))</f>
        <v>2097.490772463761</v>
      </c>
      <c r="F193" s="48" t="s">
        <v>25</v>
      </c>
      <c r="G193" s="48" t="str">
        <f>IF(E193&lt;I193,"&lt;","&gt;")</f>
        <v>&gt;</v>
      </c>
      <c r="H193" s="46" t="s">
        <v>75</v>
      </c>
      <c r="I193" s="49">
        <f>I49</f>
        <v>400</v>
      </c>
      <c r="J193" s="48" t="s">
        <v>25</v>
      </c>
      <c r="K193" s="50" t="str">
        <f>IF(G193="&lt;","O.K.","not O.K.")</f>
        <v>not O.K.</v>
      </c>
      <c r="N193" s="70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  <c r="AA193" s="9"/>
      <c r="AB193" s="9"/>
      <c r="AC193" s="9"/>
      <c r="AD193" s="9"/>
      <c r="AE193" s="9"/>
      <c r="AF193" s="9"/>
    </row>
    <row r="194" spans="1:32" s="2" customFormat="1" ht="18" x14ac:dyDescent="0.2">
      <c r="A194" s="527">
        <f>+(A198-C198)/C203</f>
        <v>6.7447313192312924E-2</v>
      </c>
      <c r="B194" s="643">
        <f>b/2-A194</f>
        <v>3.557552686807687</v>
      </c>
      <c r="C194" s="643"/>
      <c r="D194" s="46" t="s">
        <v>73</v>
      </c>
      <c r="E194" s="181">
        <f>IF(B194&lt;b/6,C203/b*(1-6*B194/b),0)</f>
        <v>0</v>
      </c>
      <c r="F194" s="48" t="s">
        <v>25</v>
      </c>
      <c r="G194" s="48" t="str">
        <f>IF(E194&lt;I194,"&lt;","&gt;")</f>
        <v>&gt;</v>
      </c>
      <c r="H194" s="46" t="s">
        <v>74</v>
      </c>
      <c r="I194" s="49">
        <v>0</v>
      </c>
      <c r="J194" s="48" t="s">
        <v>25</v>
      </c>
      <c r="K194" s="50" t="str">
        <f>IF(E194&lt;I194,"not O.K.","O.K.")</f>
        <v>O.K.</v>
      </c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  <c r="AA194" s="9"/>
      <c r="AB194" s="9"/>
      <c r="AC194" s="9"/>
      <c r="AD194" s="9"/>
      <c r="AE194" s="9"/>
      <c r="AF194" s="9"/>
    </row>
    <row r="195" spans="1:32" s="2" customFormat="1" ht="8.25" customHeight="1" x14ac:dyDescent="0.2">
      <c r="E195" s="193"/>
      <c r="I195" s="7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  <c r="AA195" s="9"/>
      <c r="AB195" s="9"/>
      <c r="AC195" s="9"/>
      <c r="AD195" s="9"/>
      <c r="AE195" s="9"/>
      <c r="AF195" s="9"/>
    </row>
    <row r="196" spans="1:32" s="2" customFormat="1" x14ac:dyDescent="0.2">
      <c r="A196" s="22" t="s">
        <v>69</v>
      </c>
      <c r="B196" s="28"/>
      <c r="C196" s="28"/>
      <c r="D196" s="28"/>
      <c r="E196" s="310"/>
      <c r="F196" s="28"/>
      <c r="G196" s="28"/>
      <c r="H196" s="29"/>
      <c r="I196" s="30"/>
      <c r="J196" s="28"/>
      <c r="K196" s="28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  <c r="AA196" s="9"/>
      <c r="AB196" s="9"/>
      <c r="AC196" s="9"/>
      <c r="AD196" s="9"/>
      <c r="AE196" s="9"/>
      <c r="AF196" s="9"/>
    </row>
    <row r="197" spans="1:32" s="2" customFormat="1" ht="33" customHeight="1" x14ac:dyDescent="0.25">
      <c r="A197" s="650" t="s">
        <v>64</v>
      </c>
      <c r="B197" s="650"/>
      <c r="C197" s="650" t="s">
        <v>65</v>
      </c>
      <c r="D197" s="650"/>
      <c r="E197" s="727"/>
      <c r="F197" s="728"/>
      <c r="G197" s="52"/>
      <c r="H197" s="53" t="s">
        <v>66</v>
      </c>
      <c r="I197" s="54"/>
      <c r="J197" s="28"/>
      <c r="K197" s="1"/>
    </row>
    <row r="198" spans="1:32" s="2" customFormat="1" ht="12.75" x14ac:dyDescent="0.2">
      <c r="A198" s="621">
        <f>+I169+I170+I171+I174+I182</f>
        <v>706.96514085685908</v>
      </c>
      <c r="B198" s="621"/>
      <c r="C198" s="621">
        <f>+I181+I176+I177+I178+I175</f>
        <v>692.65247191898925</v>
      </c>
      <c r="D198" s="621"/>
      <c r="E198" s="622">
        <f>A198/C198</f>
        <v>1.0206635643675921</v>
      </c>
      <c r="F198" s="624"/>
      <c r="G198" s="4" t="str">
        <f>IF(E198&lt;H198,"&lt;","&gt;")</f>
        <v>&gt;</v>
      </c>
      <c r="H198" s="76">
        <v>1</v>
      </c>
      <c r="I198" s="5" t="str">
        <f>IF(G198="&gt;","O.K.","not O.K.")</f>
        <v>O.K.</v>
      </c>
      <c r="J198" s="7"/>
      <c r="K198" s="7"/>
    </row>
    <row r="199" spans="1:32" s="2" customFormat="1" ht="12.75" hidden="1" customHeight="1" x14ac:dyDescent="0.2">
      <c r="A199" s="622">
        <f>+A198+I186</f>
        <v>706.96514085685908</v>
      </c>
      <c r="B199" s="623"/>
      <c r="C199" s="621">
        <f>+C198</f>
        <v>692.65247191898925</v>
      </c>
      <c r="D199" s="621"/>
      <c r="E199" s="622">
        <f>A199/C199</f>
        <v>1.0206635643675921</v>
      </c>
      <c r="F199" s="624"/>
      <c r="G199" s="4" t="str">
        <f>IF(E199&lt;H199,"&lt;","&gt;")</f>
        <v>&lt;</v>
      </c>
      <c r="H199" s="76">
        <v>1.2</v>
      </c>
      <c r="I199" s="5" t="str">
        <f>IF(G199="&gt;","O.K.","not O.K.")</f>
        <v>not O.K.</v>
      </c>
      <c r="J199" s="28" t="s">
        <v>327</v>
      </c>
      <c r="K199" s="28"/>
    </row>
    <row r="200" spans="1:32" s="2" customFormat="1" ht="15" customHeight="1" x14ac:dyDescent="0.2">
      <c r="A200" s="28"/>
      <c r="B200" s="28"/>
      <c r="C200" s="28"/>
      <c r="D200" s="28"/>
      <c r="E200" s="310"/>
      <c r="F200" s="28"/>
      <c r="G200" s="28"/>
      <c r="H200" s="29"/>
      <c r="I200" s="30"/>
      <c r="J200" s="28"/>
      <c r="K200" s="28"/>
    </row>
    <row r="201" spans="1:32" s="2" customFormat="1" x14ac:dyDescent="0.2">
      <c r="A201" s="22" t="s">
        <v>70</v>
      </c>
      <c r="B201" s="28"/>
      <c r="C201" s="28"/>
      <c r="D201" s="28"/>
      <c r="E201" s="310"/>
      <c r="F201" s="28"/>
      <c r="G201" s="28"/>
      <c r="H201" s="29"/>
      <c r="I201" s="30"/>
      <c r="J201" s="28"/>
      <c r="K201" s="28"/>
    </row>
    <row r="202" spans="1:32" s="2" customFormat="1" ht="31.5" customHeight="1" x14ac:dyDescent="0.2">
      <c r="A202" s="650" t="s">
        <v>67</v>
      </c>
      <c r="B202" s="650"/>
      <c r="C202" s="650" t="s">
        <v>68</v>
      </c>
      <c r="D202" s="650"/>
      <c r="E202" s="294" t="s">
        <v>11</v>
      </c>
      <c r="F202" s="741"/>
      <c r="G202" s="742"/>
      <c r="H202" s="53"/>
      <c r="I202" s="53" t="s">
        <v>66</v>
      </c>
      <c r="J202" s="56"/>
      <c r="K202" s="10"/>
    </row>
    <row r="203" spans="1:32" s="2" customFormat="1" ht="12.75" x14ac:dyDescent="0.2">
      <c r="A203" s="621">
        <f>SUM(E175:E181)-E184-E185</f>
        <v>135.267707551379</v>
      </c>
      <c r="B203" s="621"/>
      <c r="C203" s="621">
        <f>SUM(E169:E174)+E182</f>
        <v>212.20517557252475</v>
      </c>
      <c r="D203" s="621"/>
      <c r="E203" s="298">
        <f>I47</f>
        <v>0.65</v>
      </c>
      <c r="F203" s="622">
        <f>C203*E203/A203</f>
        <v>1.0197065258147409</v>
      </c>
      <c r="G203" s="624"/>
      <c r="H203" s="4" t="str">
        <f>IF(F203&lt;I203,"&lt;","&gt;")</f>
        <v>&gt;</v>
      </c>
      <c r="I203" s="76">
        <v>1</v>
      </c>
      <c r="J203" s="5" t="str">
        <f>IF(H203="&gt;","O.K.","not O.K.")</f>
        <v>O.K.</v>
      </c>
      <c r="K203" s="8"/>
    </row>
    <row r="204" spans="1:32" s="2" customFormat="1" ht="12.75" hidden="1" customHeight="1" x14ac:dyDescent="0.2">
      <c r="A204" s="643">
        <f>+A203</f>
        <v>135.267707551379</v>
      </c>
      <c r="B204" s="643"/>
      <c r="C204" s="643">
        <f>+C203+E186</f>
        <v>212.20517557252475</v>
      </c>
      <c r="D204" s="643"/>
      <c r="E204" s="298">
        <f>I47</f>
        <v>0.65</v>
      </c>
      <c r="F204" s="622">
        <f>C204*E204/A204</f>
        <v>1.0197065258147409</v>
      </c>
      <c r="G204" s="624"/>
      <c r="H204" s="4" t="str">
        <f>IF(F204&lt;I204,"&lt;","&gt;")</f>
        <v>&lt;</v>
      </c>
      <c r="I204" s="76">
        <v>1.2</v>
      </c>
      <c r="J204" s="5" t="str">
        <f>IF(H204="&gt;","O.K.","not O.K.")</f>
        <v>not O.K.</v>
      </c>
      <c r="K204" s="8" t="s">
        <v>327</v>
      </c>
    </row>
    <row r="205" spans="1:32" s="2" customFormat="1" ht="9.75" customHeight="1" x14ac:dyDescent="0.2">
      <c r="A205" s="28"/>
      <c r="B205" s="28"/>
      <c r="C205" s="28"/>
      <c r="D205" s="28"/>
      <c r="E205" s="310"/>
      <c r="F205" s="28"/>
      <c r="G205" s="28"/>
      <c r="H205" s="29"/>
      <c r="I205" s="30"/>
      <c r="J205" s="28"/>
      <c r="K205" s="28"/>
    </row>
    <row r="206" spans="1:32" s="2" customFormat="1" ht="9.75" customHeight="1" x14ac:dyDescent="0.2">
      <c r="A206" s="28"/>
      <c r="B206" s="28"/>
      <c r="C206" s="28"/>
      <c r="D206" s="28"/>
      <c r="E206" s="310"/>
      <c r="F206" s="28"/>
      <c r="G206" s="28"/>
      <c r="H206" s="29"/>
      <c r="I206" s="30"/>
      <c r="J206" s="28"/>
      <c r="K206" s="28"/>
    </row>
    <row r="207" spans="1:32" s="2" customFormat="1" ht="15" x14ac:dyDescent="0.25">
      <c r="A207" s="715" t="s">
        <v>353</v>
      </c>
      <c r="B207" s="715"/>
      <c r="C207" s="715"/>
      <c r="D207" s="715"/>
      <c r="E207" s="715"/>
      <c r="F207" s="715"/>
      <c r="G207" s="715"/>
      <c r="H207" s="715"/>
      <c r="I207" s="715"/>
      <c r="J207" s="715"/>
      <c r="K207" s="715"/>
    </row>
    <row r="208" spans="1:32" s="2" customFormat="1" x14ac:dyDescent="0.2">
      <c r="A208" s="28"/>
      <c r="B208" s="28"/>
      <c r="C208" s="28"/>
      <c r="D208" s="28"/>
      <c r="E208" s="310"/>
      <c r="F208" s="28"/>
      <c r="G208" s="28"/>
      <c r="H208" s="28"/>
      <c r="I208" s="28"/>
      <c r="J208" s="28"/>
      <c r="K208" s="28"/>
      <c r="L208" s="2" t="s">
        <v>187</v>
      </c>
    </row>
    <row r="209" spans="1:11" s="2" customFormat="1" x14ac:dyDescent="0.2">
      <c r="A209" s="28"/>
      <c r="B209" s="28"/>
      <c r="C209" s="28"/>
      <c r="D209" s="28"/>
      <c r="E209" s="310"/>
      <c r="F209" s="28"/>
      <c r="G209" s="28"/>
      <c r="H209" s="29"/>
      <c r="I209" s="30"/>
      <c r="J209" s="28"/>
      <c r="K209" s="28"/>
    </row>
    <row r="210" spans="1:11" s="2" customFormat="1" x14ac:dyDescent="0.2">
      <c r="A210" s="28"/>
      <c r="B210" s="28"/>
      <c r="C210" s="28"/>
      <c r="D210" s="28"/>
      <c r="E210" s="310"/>
      <c r="F210" s="28"/>
      <c r="G210" s="28"/>
      <c r="H210" s="29"/>
      <c r="I210" s="30"/>
      <c r="J210" s="28"/>
      <c r="K210" s="28"/>
    </row>
    <row r="211" spans="1:11" s="2" customFormat="1" x14ac:dyDescent="0.2">
      <c r="A211" s="28"/>
      <c r="B211" s="28"/>
      <c r="C211" s="28"/>
      <c r="D211" s="28"/>
      <c r="E211" s="310"/>
      <c r="F211" s="28"/>
      <c r="G211" s="28"/>
      <c r="H211" s="29"/>
      <c r="I211" s="30"/>
      <c r="J211" s="28"/>
      <c r="K211" s="28"/>
    </row>
    <row r="212" spans="1:11" s="2" customFormat="1" x14ac:dyDescent="0.2">
      <c r="A212" s="28"/>
      <c r="B212" s="28"/>
      <c r="C212" s="28"/>
      <c r="D212" s="28"/>
      <c r="E212" s="310"/>
      <c r="F212" s="28"/>
      <c r="G212" s="28"/>
      <c r="H212" s="29"/>
      <c r="I212" s="30"/>
      <c r="J212" s="28"/>
      <c r="K212" s="28"/>
    </row>
    <row r="213" spans="1:11" s="2" customFormat="1" x14ac:dyDescent="0.2">
      <c r="A213" s="28"/>
      <c r="B213" s="28"/>
      <c r="C213" s="28"/>
      <c r="D213" s="28"/>
      <c r="E213" s="310"/>
      <c r="F213" s="28"/>
      <c r="G213" s="28"/>
      <c r="H213" s="29"/>
      <c r="I213" s="30"/>
      <c r="J213" s="28"/>
      <c r="K213" s="28"/>
    </row>
    <row r="214" spans="1:11" s="2" customFormat="1" x14ac:dyDescent="0.2">
      <c r="A214" s="28"/>
      <c r="B214" s="28"/>
      <c r="C214" s="28"/>
      <c r="D214" s="28"/>
      <c r="E214" s="310"/>
      <c r="F214" s="28"/>
      <c r="G214" s="28"/>
      <c r="H214" s="29"/>
      <c r="I214" s="30"/>
      <c r="J214" s="28"/>
      <c r="K214" s="28"/>
    </row>
    <row r="215" spans="1:11" s="2" customFormat="1" x14ac:dyDescent="0.2">
      <c r="A215" s="28"/>
      <c r="B215" s="28"/>
      <c r="C215" s="28"/>
      <c r="D215" s="28"/>
      <c r="E215" s="310"/>
      <c r="F215" s="28"/>
      <c r="G215" s="28"/>
      <c r="H215" s="29"/>
      <c r="I215" s="30"/>
      <c r="J215" s="28"/>
      <c r="K215" s="28"/>
    </row>
    <row r="216" spans="1:11" s="2" customFormat="1" x14ac:dyDescent="0.2">
      <c r="A216" s="28"/>
      <c r="B216" s="28"/>
      <c r="C216" s="28"/>
      <c r="D216" s="28"/>
      <c r="E216" s="310"/>
      <c r="F216" s="28"/>
      <c r="G216" s="28"/>
      <c r="H216" s="29"/>
      <c r="I216" s="30"/>
      <c r="J216" s="28"/>
      <c r="K216" s="28"/>
    </row>
    <row r="217" spans="1:11" s="2" customFormat="1" x14ac:dyDescent="0.2">
      <c r="A217" s="28"/>
      <c r="B217" s="28"/>
      <c r="C217" s="28"/>
      <c r="D217" s="28"/>
      <c r="E217" s="310"/>
      <c r="F217" s="28"/>
      <c r="G217" s="28"/>
      <c r="H217" s="29"/>
      <c r="I217" s="30"/>
      <c r="J217" s="28"/>
      <c r="K217" s="28"/>
    </row>
    <row r="218" spans="1:11" s="2" customFormat="1" x14ac:dyDescent="0.2">
      <c r="A218" s="28"/>
      <c r="B218" s="28"/>
      <c r="C218" s="28"/>
      <c r="D218" s="28"/>
      <c r="E218" s="310"/>
      <c r="F218" s="28"/>
      <c r="G218" s="28"/>
      <c r="H218" s="29"/>
      <c r="I218" s="30"/>
      <c r="J218" s="28"/>
      <c r="K218" s="28"/>
    </row>
    <row r="219" spans="1:11" s="2" customFormat="1" x14ac:dyDescent="0.2">
      <c r="A219" s="28"/>
      <c r="B219" s="28"/>
      <c r="C219" s="28"/>
      <c r="D219" s="28"/>
      <c r="E219" s="310"/>
      <c r="F219" s="28"/>
      <c r="G219" s="28"/>
      <c r="H219" s="29"/>
      <c r="I219" s="30"/>
      <c r="J219" s="28"/>
      <c r="K219" s="28"/>
    </row>
    <row r="220" spans="1:11" s="2" customFormat="1" x14ac:dyDescent="0.2">
      <c r="A220" s="28"/>
      <c r="B220" s="28"/>
      <c r="C220" s="28"/>
      <c r="D220" s="28"/>
      <c r="E220" s="310"/>
      <c r="F220" s="28"/>
      <c r="G220" s="28"/>
      <c r="H220" s="29"/>
      <c r="I220" s="30"/>
      <c r="J220" s="28"/>
      <c r="K220" s="28"/>
    </row>
    <row r="221" spans="1:11" s="2" customFormat="1" x14ac:dyDescent="0.2">
      <c r="A221" s="28"/>
      <c r="B221" s="28"/>
      <c r="C221" s="28"/>
      <c r="D221" s="28"/>
      <c r="E221" s="310"/>
      <c r="F221" s="28"/>
      <c r="G221" s="28"/>
      <c r="H221" s="29"/>
      <c r="I221" s="30"/>
      <c r="J221" s="28"/>
      <c r="K221" s="28"/>
    </row>
    <row r="222" spans="1:11" s="2" customFormat="1" x14ac:dyDescent="0.2">
      <c r="A222" s="28"/>
      <c r="B222" s="28"/>
      <c r="C222" s="28"/>
      <c r="D222" s="28"/>
      <c r="E222" s="310"/>
      <c r="F222" s="28"/>
      <c r="G222" s="28"/>
      <c r="H222" s="29"/>
      <c r="I222" s="30"/>
      <c r="J222" s="28"/>
      <c r="K222" s="28"/>
    </row>
    <row r="223" spans="1:11" s="2" customFormat="1" x14ac:dyDescent="0.2">
      <c r="A223" s="28"/>
      <c r="B223" s="28"/>
      <c r="C223" s="28"/>
      <c r="D223" s="28"/>
      <c r="E223" s="310"/>
      <c r="F223" s="28"/>
      <c r="G223" s="28"/>
      <c r="H223" s="29"/>
      <c r="I223" s="30"/>
      <c r="J223" s="28"/>
      <c r="K223" s="28"/>
    </row>
    <row r="224" spans="1:11" s="2" customFormat="1" x14ac:dyDescent="0.2">
      <c r="A224" s="28"/>
      <c r="B224" s="28"/>
      <c r="C224" s="28"/>
      <c r="D224" s="28"/>
      <c r="E224" s="310"/>
      <c r="F224" s="28"/>
      <c r="G224" s="28"/>
      <c r="H224" s="29"/>
      <c r="I224" s="30"/>
      <c r="J224" s="28"/>
      <c r="K224" s="28"/>
    </row>
    <row r="225" spans="1:32" s="2" customFormat="1" x14ac:dyDescent="0.2">
      <c r="A225" s="28"/>
      <c r="B225" s="28"/>
      <c r="C225" s="28"/>
      <c r="D225" s="28"/>
      <c r="E225" s="310"/>
      <c r="F225" s="28"/>
      <c r="G225" s="28"/>
      <c r="H225" s="29"/>
      <c r="I225" s="30"/>
      <c r="J225" s="28"/>
      <c r="K225" s="28"/>
    </row>
    <row r="226" spans="1:32" s="2" customFormat="1" ht="27.75" customHeight="1" thickBot="1" x14ac:dyDescent="0.25">
      <c r="A226" s="627" t="s">
        <v>56</v>
      </c>
      <c r="B226" s="627"/>
      <c r="C226" s="627"/>
      <c r="D226" s="627"/>
      <c r="E226" s="627"/>
      <c r="F226" s="627" t="s">
        <v>54</v>
      </c>
      <c r="G226" s="627"/>
      <c r="H226" s="627"/>
      <c r="I226" s="628" t="s">
        <v>55</v>
      </c>
      <c r="J226" s="628"/>
      <c r="K226" s="628"/>
    </row>
    <row r="227" spans="1:32" s="2" customFormat="1" ht="16.5" thickTop="1" x14ac:dyDescent="0.2">
      <c r="A227" s="31" t="s">
        <v>57</v>
      </c>
      <c r="B227" s="629" t="str">
        <f>+B169</f>
        <v xml:space="preserve"> 5.25x7.1x2.4/2=</v>
      </c>
      <c r="C227" s="630"/>
      <c r="D227" s="631"/>
      <c r="E227" s="461">
        <f t="shared" ref="E227:F229" si="9">+E169</f>
        <v>44.73</v>
      </c>
      <c r="F227" s="615">
        <f t="shared" si="9"/>
        <v>3.25</v>
      </c>
      <c r="G227" s="616"/>
      <c r="H227" s="32"/>
      <c r="I227" s="617">
        <f>E227*F227</f>
        <v>145.3725</v>
      </c>
      <c r="J227" s="618"/>
      <c r="K227" s="524"/>
    </row>
    <row r="228" spans="1:32" s="2" customFormat="1" ht="15.75" x14ac:dyDescent="0.2">
      <c r="A228" s="34" t="s">
        <v>58</v>
      </c>
      <c r="B228" s="601" t="str">
        <f>+B170</f>
        <v xml:space="preserve"> 7.1x1x2.4=</v>
      </c>
      <c r="C228" s="602"/>
      <c r="D228" s="603"/>
      <c r="E228" s="528">
        <f t="shared" si="9"/>
        <v>17.04</v>
      </c>
      <c r="F228" s="641">
        <f t="shared" si="9"/>
        <v>1</v>
      </c>
      <c r="G228" s="642"/>
      <c r="H228" s="35"/>
      <c r="I228" s="643">
        <f>E228*F228</f>
        <v>17.04</v>
      </c>
      <c r="J228" s="644"/>
      <c r="K228" s="525"/>
    </row>
    <row r="229" spans="1:32" s="2" customFormat="1" ht="15.75" x14ac:dyDescent="0.2">
      <c r="A229" s="34" t="s">
        <v>59</v>
      </c>
      <c r="B229" s="601" t="str">
        <f>+B171</f>
        <v xml:space="preserve"> 7.25x1.5x2.4=</v>
      </c>
      <c r="C229" s="602"/>
      <c r="D229" s="603"/>
      <c r="E229" s="528">
        <f t="shared" si="9"/>
        <v>26.099999999999998</v>
      </c>
      <c r="F229" s="641">
        <f t="shared" si="9"/>
        <v>3.625</v>
      </c>
      <c r="G229" s="642"/>
      <c r="H229" s="35"/>
      <c r="I229" s="643">
        <f>E229*F229</f>
        <v>94.612499999999997</v>
      </c>
      <c r="J229" s="644"/>
      <c r="K229" s="525"/>
    </row>
    <row r="230" spans="1:32" s="2" customFormat="1" ht="12.75" hidden="1" x14ac:dyDescent="0.2">
      <c r="A230" s="34"/>
      <c r="B230" s="601"/>
      <c r="C230" s="602"/>
      <c r="D230" s="603"/>
      <c r="E230" s="528"/>
      <c r="F230" s="641"/>
      <c r="G230" s="642"/>
      <c r="H230" s="35"/>
      <c r="I230" s="643"/>
      <c r="J230" s="644"/>
      <c r="K230" s="525"/>
    </row>
    <row r="231" spans="1:32" s="2" customFormat="1" ht="12.75" hidden="1" x14ac:dyDescent="0.2">
      <c r="A231" s="34"/>
      <c r="B231" s="601"/>
      <c r="C231" s="602"/>
      <c r="D231" s="603"/>
      <c r="E231" s="528"/>
      <c r="F231" s="641"/>
      <c r="G231" s="642"/>
      <c r="H231" s="35"/>
      <c r="I231" s="643"/>
      <c r="J231" s="644"/>
      <c r="K231" s="525"/>
    </row>
    <row r="232" spans="1:32" s="575" customFormat="1" ht="15.75" x14ac:dyDescent="0.2">
      <c r="A232" s="571" t="s">
        <v>347</v>
      </c>
      <c r="B232" s="604" t="str">
        <f>" "&amp;ROUND(kas,3)&amp;"x"&amp;(hw)&amp;"²x"&amp;ROUND(gdoy,2)&amp;"/2xsin("&amp;(ROUND(delta,2)&amp;"+"&amp;(ROUND(beta,2))&amp;")=")</f>
        <v xml:space="preserve"> 0.75x7.1²x2/2xsin(13.92+36.48)=</v>
      </c>
      <c r="C232" s="605"/>
      <c r="D232" s="606"/>
      <c r="E232" s="572">
        <f>kas*(hw)*(hw)*gdoy/2*SIN(beta/180*PI()+delta/180*PI())</f>
        <v>29.111631902319736</v>
      </c>
      <c r="F232" s="607">
        <f>+F174</f>
        <v>5</v>
      </c>
      <c r="G232" s="608"/>
      <c r="H232" s="573"/>
      <c r="I232" s="609">
        <f t="shared" ref="I232:I241" si="10">E232*F232</f>
        <v>145.55815951159869</v>
      </c>
      <c r="J232" s="610"/>
      <c r="K232" s="574"/>
    </row>
    <row r="233" spans="1:32" s="575" customFormat="1" ht="15.75" x14ac:dyDescent="0.2">
      <c r="A233" s="571" t="s">
        <v>346</v>
      </c>
      <c r="B233" s="604" t="str">
        <f>" "&amp;ROUND(kas,3)&amp;"x"&amp;(hw)&amp;"²x"&amp;ROUND(gdoy,2)&amp;"/2xCOS("&amp;(ROUND(delta,2)&amp;"+"&amp;(ROUND(beta,2))&amp;")=")</f>
        <v xml:space="preserve"> 0.75x7.1²x2/2xCOS(13.92+36.48)=</v>
      </c>
      <c r="C233" s="605"/>
      <c r="D233" s="606"/>
      <c r="E233" s="572">
        <f>kas*(hw)*(hw)*gdoy/2*COS(beta/180*PI()+delta/180*PI())</f>
        <v>24.087021197780896</v>
      </c>
      <c r="F233" s="607">
        <f>+F175</f>
        <v>3.8666666666666667</v>
      </c>
      <c r="G233" s="608"/>
      <c r="H233" s="573"/>
      <c r="I233" s="609">
        <f t="shared" si="10"/>
        <v>93.136481964752804</v>
      </c>
      <c r="J233" s="610"/>
      <c r="K233" s="574"/>
    </row>
    <row r="234" spans="1:32" s="2" customFormat="1" ht="15.75" x14ac:dyDescent="0.2">
      <c r="A234" s="31" t="s">
        <v>76</v>
      </c>
      <c r="B234" s="629" t="str">
        <f>" "&amp;ROUND((bw-bt),2)&amp;"x"&amp;hw&amp;"x"&amp;ROUND(gc,2)&amp;"x"&amp;ROUND(I38,3)&amp;"/2="</f>
        <v xml:space="preserve"> 5.25x7.1x2.4x0.369/2=</v>
      </c>
      <c r="C234" s="630"/>
      <c r="D234" s="631"/>
      <c r="E234" s="461">
        <f>(bw-bt)*hw*gc*I38/2</f>
        <v>16.490459999999999</v>
      </c>
      <c r="F234" s="642">
        <f>hs+hw/3</f>
        <v>3.8666666666666667</v>
      </c>
      <c r="G234" s="646"/>
      <c r="H234" s="32"/>
      <c r="I234" s="643">
        <f t="shared" si="10"/>
        <v>63.763111999999992</v>
      </c>
      <c r="J234" s="644"/>
      <c r="K234" s="524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  <c r="AA234" s="9"/>
      <c r="AB234" s="9"/>
      <c r="AC234" s="9"/>
      <c r="AD234" s="9"/>
      <c r="AE234" s="9"/>
      <c r="AF234" s="9"/>
    </row>
    <row r="235" spans="1:32" s="2" customFormat="1" ht="15.75" x14ac:dyDescent="0.2">
      <c r="A235" s="34" t="s">
        <v>77</v>
      </c>
      <c r="B235" s="601" t="str">
        <f>" "&amp;hw&amp;"x"&amp;bt&amp;"x"&amp;gc&amp;"x"&amp;ROUND(I38,3)&amp;"="</f>
        <v xml:space="preserve"> 7.1x1x2.4x0.369=</v>
      </c>
      <c r="C235" s="602"/>
      <c r="D235" s="603"/>
      <c r="E235" s="528">
        <f>hw*bt*gc*I38</f>
        <v>6.2820800000000006</v>
      </c>
      <c r="F235" s="641">
        <f>hw/2+hs</f>
        <v>5.05</v>
      </c>
      <c r="G235" s="642"/>
      <c r="H235" s="35"/>
      <c r="I235" s="643">
        <f t="shared" si="10"/>
        <v>31.724504000000003</v>
      </c>
      <c r="J235" s="644"/>
      <c r="K235" s="525"/>
      <c r="N235" s="47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  <c r="AA235" s="9"/>
      <c r="AB235" s="9"/>
      <c r="AC235" s="9"/>
      <c r="AD235" s="9"/>
      <c r="AE235" s="9"/>
      <c r="AF235" s="9"/>
    </row>
    <row r="236" spans="1:32" s="2" customFormat="1" ht="15.75" x14ac:dyDescent="0.2">
      <c r="A236" s="34" t="s">
        <v>78</v>
      </c>
      <c r="B236" s="601" t="str">
        <f>" " &amp;ROUND(b,2)&amp;"x"&amp;hs&amp;"x"&amp;gc&amp;"x"&amp;ROUND(I38,3)&amp;"="</f>
        <v xml:space="preserve"> 7.25x1.5x2.4x0.369=</v>
      </c>
      <c r="C236" s="602"/>
      <c r="D236" s="603"/>
      <c r="E236" s="528">
        <f>ROUND(b*hs*gc*I38,2)</f>
        <v>9.6199999999999992</v>
      </c>
      <c r="F236" s="641">
        <f>hs/2</f>
        <v>0.75</v>
      </c>
      <c r="G236" s="642"/>
      <c r="H236" s="35"/>
      <c r="I236" s="643">
        <f t="shared" si="10"/>
        <v>7.2149999999999999</v>
      </c>
      <c r="J236" s="644"/>
      <c r="K236" s="525"/>
      <c r="P236" s="48"/>
      <c r="Q236" s="647"/>
      <c r="R236" s="647"/>
      <c r="S236" s="647"/>
      <c r="T236" s="47"/>
      <c r="U236" s="648"/>
      <c r="V236" s="648"/>
      <c r="W236" s="41"/>
      <c r="X236" s="653"/>
      <c r="Y236" s="653"/>
      <c r="Z236" s="529"/>
      <c r="AA236" s="9"/>
      <c r="AB236" s="9"/>
      <c r="AC236" s="9"/>
      <c r="AD236" s="9"/>
      <c r="AE236" s="9"/>
      <c r="AF236" s="9"/>
    </row>
    <row r="237" spans="1:32" s="2" customFormat="1" ht="12.75" hidden="1" x14ac:dyDescent="0.2">
      <c r="A237" s="34"/>
      <c r="B237" s="601"/>
      <c r="C237" s="602"/>
      <c r="D237" s="603"/>
      <c r="E237" s="528"/>
      <c r="F237" s="641"/>
      <c r="G237" s="642"/>
      <c r="H237" s="35"/>
      <c r="I237" s="643">
        <f t="shared" si="10"/>
        <v>0</v>
      </c>
      <c r="J237" s="644"/>
      <c r="K237" s="525"/>
      <c r="N237" s="70"/>
      <c r="P237" s="48"/>
      <c r="Q237" s="529"/>
      <c r="R237" s="529"/>
      <c r="S237" s="529"/>
      <c r="T237" s="47"/>
      <c r="U237" s="530"/>
      <c r="V237" s="530"/>
      <c r="W237" s="41"/>
      <c r="X237" s="531"/>
      <c r="Y237" s="531"/>
      <c r="Z237" s="529"/>
      <c r="AA237" s="9"/>
      <c r="AB237" s="9"/>
      <c r="AC237" s="9"/>
      <c r="AD237" s="9"/>
      <c r="AE237" s="9"/>
      <c r="AF237" s="9"/>
    </row>
    <row r="238" spans="1:32" s="2" customFormat="1" ht="12.75" hidden="1" x14ac:dyDescent="0.2">
      <c r="A238" s="34"/>
      <c r="B238" s="601"/>
      <c r="C238" s="602"/>
      <c r="D238" s="603"/>
      <c r="E238" s="528"/>
      <c r="F238" s="641"/>
      <c r="G238" s="642"/>
      <c r="H238" s="35"/>
      <c r="I238" s="643">
        <f t="shared" si="10"/>
        <v>0</v>
      </c>
      <c r="J238" s="644"/>
      <c r="K238" s="525"/>
      <c r="P238" s="48"/>
      <c r="Q238" s="529"/>
      <c r="R238" s="529"/>
      <c r="S238" s="529"/>
      <c r="T238" s="47"/>
      <c r="U238" s="530"/>
      <c r="V238" s="530"/>
      <c r="W238" s="41"/>
      <c r="X238" s="531"/>
      <c r="Y238" s="531"/>
      <c r="Z238" s="529"/>
      <c r="AA238" s="9"/>
      <c r="AB238" s="9"/>
      <c r="AC238" s="9"/>
      <c r="AD238" s="9"/>
      <c r="AE238" s="9"/>
      <c r="AF238" s="9"/>
    </row>
    <row r="239" spans="1:32" s="193" customFormat="1" ht="15.75" x14ac:dyDescent="0.2">
      <c r="A239" s="327" t="s">
        <v>351</v>
      </c>
      <c r="B239" s="634" t="str">
        <f>" "&amp;ROUND(MAX(J82:K85),3)&amp;"x"&amp;(hw)&amp;"²x"&amp;ROUND(gdoy,2)&amp;"/2xcos("&amp;(ROUND(delta,2)&amp;"+"&amp;(ROUND(beta,2))&amp;")=")</f>
        <v xml:space="preserve"> 11.986x7.1²x2/2xcos(13.92+36.48)=</v>
      </c>
      <c r="C239" s="635"/>
      <c r="D239" s="636"/>
      <c r="E239" s="528">
        <f>(MAX(J84:K85))*(hw)^2*(gdoy)/2*COS(beta/180*PI()+delta/180*PI())</f>
        <v>385.16571730768385</v>
      </c>
      <c r="F239" s="637">
        <f>((hw)*2/3)+hs</f>
        <v>6.2333333333333334</v>
      </c>
      <c r="G239" s="638"/>
      <c r="H239" s="328"/>
      <c r="I239" s="639">
        <f t="shared" si="10"/>
        <v>2400.8663045512294</v>
      </c>
      <c r="J239" s="640"/>
      <c r="K239" s="536"/>
      <c r="P239" s="183"/>
      <c r="Q239" s="654"/>
      <c r="R239" s="654"/>
      <c r="S239" s="654"/>
      <c r="T239" s="181"/>
      <c r="U239" s="655"/>
      <c r="V239" s="655"/>
      <c r="W239" s="534"/>
      <c r="X239" s="665"/>
      <c r="Y239" s="665"/>
      <c r="Z239" s="537"/>
      <c r="AA239" s="168"/>
      <c r="AB239" s="168"/>
      <c r="AC239" s="168"/>
      <c r="AD239" s="168"/>
      <c r="AE239" s="168"/>
      <c r="AF239" s="168"/>
    </row>
    <row r="240" spans="1:32" s="193" customFormat="1" ht="15.75" x14ac:dyDescent="0.2">
      <c r="A240" s="327" t="s">
        <v>352</v>
      </c>
      <c r="B240" s="634" t="str">
        <f>" "&amp;ROUND(MAX(J84:K85),3)&amp;"x"&amp;(hw)&amp;"²x"&amp;ROUND(gdoy,2)&amp;"/2xsin("&amp;(ROUND(delta,2)&amp;"+"&amp;(ROUND(beta,2))&amp;")=")</f>
        <v xml:space="preserve"> 11.986x7.1²x2/2xsin(13.92+36.48)=</v>
      </c>
      <c r="C240" s="635"/>
      <c r="D240" s="636"/>
      <c r="E240" s="528">
        <f>(MAX(J84:K85))*(hw)^2*(gdoy)/2*SIN(beta/180*PI()+delta/180*PI())</f>
        <v>465.51221471450583</v>
      </c>
      <c r="F240" s="637">
        <f>+bf+bt+(bw-bt)/3</f>
        <v>3.25</v>
      </c>
      <c r="G240" s="638"/>
      <c r="H240" s="328"/>
      <c r="I240" s="639">
        <f t="shared" si="10"/>
        <v>1512.914697822144</v>
      </c>
      <c r="J240" s="640"/>
      <c r="K240" s="536"/>
      <c r="P240" s="183"/>
      <c r="Q240" s="654"/>
      <c r="R240" s="654"/>
      <c r="S240" s="654"/>
      <c r="T240" s="181"/>
      <c r="U240" s="655"/>
      <c r="V240" s="655"/>
      <c r="W240" s="534"/>
      <c r="X240" s="665"/>
      <c r="Y240" s="665"/>
      <c r="Z240" s="537"/>
      <c r="AA240" s="168"/>
      <c r="AB240" s="168"/>
      <c r="AC240" s="168"/>
      <c r="AD240" s="168"/>
      <c r="AE240" s="168"/>
      <c r="AF240" s="168"/>
    </row>
    <row r="241" spans="1:32" s="2" customFormat="1" ht="15.75" x14ac:dyDescent="0.2">
      <c r="A241" s="34" t="s">
        <v>93</v>
      </c>
      <c r="B241" s="601" t="str">
        <f>" "&amp;gw&amp;"x"&amp;(hsui+p)&amp;"²/2="</f>
        <v xml:space="preserve"> 1x2.6²/2=</v>
      </c>
      <c r="C241" s="602"/>
      <c r="D241" s="603"/>
      <c r="E241" s="528">
        <f>0.5*(hsui+p)^2*gw</f>
        <v>3.3800000000000003</v>
      </c>
      <c r="F241" s="641">
        <f>(hsui+p)/3</f>
        <v>0.8666666666666667</v>
      </c>
      <c r="G241" s="642"/>
      <c r="H241" s="35"/>
      <c r="I241" s="643">
        <f t="shared" si="10"/>
        <v>2.9293333333333336</v>
      </c>
      <c r="J241" s="644"/>
      <c r="K241" s="525"/>
    </row>
    <row r="242" spans="1:32" s="193" customFormat="1" ht="15.75" x14ac:dyDescent="0.3">
      <c r="A242" s="535" t="s">
        <v>330</v>
      </c>
      <c r="B242" s="698" t="str">
        <f>+B178</f>
        <v xml:space="preserve"> 7.25x1.5x2.4x0.369=</v>
      </c>
      <c r="C242" s="699"/>
      <c r="D242" s="700"/>
      <c r="E242" s="528">
        <f>+E178</f>
        <v>9.6199999999999992</v>
      </c>
      <c r="F242" s="642">
        <f>+F178</f>
        <v>0.75</v>
      </c>
      <c r="G242" s="646"/>
      <c r="H242" s="346"/>
      <c r="I242" s="644">
        <f>E242*F242</f>
        <v>7.2149999999999999</v>
      </c>
      <c r="J242" s="645"/>
      <c r="K242" s="345"/>
      <c r="P242" s="183"/>
      <c r="Q242" s="537"/>
      <c r="R242" s="537"/>
      <c r="S242" s="537"/>
      <c r="T242" s="181"/>
      <c r="U242" s="538"/>
      <c r="V242" s="538"/>
      <c r="W242" s="534"/>
      <c r="X242" s="532"/>
      <c r="Y242" s="532"/>
      <c r="Z242" s="537"/>
      <c r="AA242" s="168"/>
      <c r="AB242" s="168"/>
      <c r="AC242" s="168"/>
      <c r="AD242" s="168"/>
      <c r="AE242" s="168"/>
      <c r="AF242" s="168"/>
    </row>
    <row r="243" spans="1:32" s="193" customFormat="1" ht="15.75" x14ac:dyDescent="0.2">
      <c r="A243" s="34" t="s">
        <v>212</v>
      </c>
      <c r="B243" s="601" t="str">
        <f>" "&amp;ROUND($J$87,3)&amp;"x"&amp;hs&amp;"x"&amp;$I$30&amp;"x"&amp;gnor&amp;"="</f>
        <v xml:space="preserve"> 2.526x1.5x0x1.8=</v>
      </c>
      <c r="C243" s="602"/>
      <c r="D243" s="603"/>
      <c r="E243" s="528">
        <f>gnor*$J$87*hs*$I$30</f>
        <v>0</v>
      </c>
      <c r="F243" s="642">
        <f>$I$30/2</f>
        <v>0</v>
      </c>
      <c r="G243" s="646"/>
      <c r="H243" s="346"/>
      <c r="I243" s="644">
        <f>E243*F243</f>
        <v>0</v>
      </c>
      <c r="J243" s="645"/>
      <c r="K243" s="525"/>
      <c r="P243" s="183"/>
      <c r="Q243" s="537"/>
      <c r="R243" s="537"/>
      <c r="S243" s="537"/>
      <c r="T243" s="181"/>
      <c r="U243" s="538"/>
      <c r="V243" s="538"/>
      <c r="W243" s="534"/>
      <c r="X243" s="532"/>
      <c r="Y243" s="532"/>
      <c r="Z243" s="537"/>
      <c r="AA243" s="168"/>
      <c r="AB243" s="168"/>
      <c r="AC243" s="168"/>
      <c r="AD243" s="168"/>
      <c r="AE243" s="168"/>
      <c r="AF243" s="168"/>
    </row>
    <row r="244" spans="1:32" s="193" customFormat="1" ht="15.75" x14ac:dyDescent="0.3">
      <c r="A244" s="535" t="s">
        <v>213</v>
      </c>
      <c r="B244" s="601" t="str">
        <f>" "&amp;ROUND($J$87,3)&amp;"x"&amp;$I$30&amp;"x"&amp;$I$30&amp;"x"&amp;gnor&amp;"/2="</f>
        <v xml:space="preserve"> 2.526x0x0x1.8/2=</v>
      </c>
      <c r="C244" s="602"/>
      <c r="D244" s="603"/>
      <c r="E244" s="462">
        <f>$J$87*$I$30*$I$30*gnor/2</f>
        <v>0</v>
      </c>
      <c r="F244" s="642">
        <f>$I$30*2/3</f>
        <v>0</v>
      </c>
      <c r="G244" s="646"/>
      <c r="H244" s="346"/>
      <c r="I244" s="644">
        <f>E244*F244</f>
        <v>0</v>
      </c>
      <c r="J244" s="645"/>
      <c r="K244" s="525"/>
      <c r="N244" s="347"/>
      <c r="P244" s="183"/>
      <c r="Q244" s="537"/>
      <c r="R244" s="537"/>
      <c r="S244" s="537"/>
      <c r="T244" s="181"/>
      <c r="U244" s="538"/>
      <c r="V244" s="538"/>
      <c r="W244" s="534"/>
      <c r="X244" s="532"/>
      <c r="Y244" s="532"/>
      <c r="Z244" s="537"/>
      <c r="AA244" s="168"/>
      <c r="AB244" s="168"/>
      <c r="AC244" s="168"/>
      <c r="AD244" s="168"/>
      <c r="AE244" s="168"/>
      <c r="AF244" s="168"/>
    </row>
    <row r="245" spans="1:32" s="193" customFormat="1" ht="15.75" hidden="1" x14ac:dyDescent="0.3">
      <c r="A245" s="439" t="s">
        <v>333</v>
      </c>
      <c r="B245" s="661"/>
      <c r="C245" s="661"/>
      <c r="D245" s="661"/>
      <c r="E245" s="463">
        <f>+'depremli durum ankraj'!I114</f>
        <v>0</v>
      </c>
      <c r="F245" s="642"/>
      <c r="G245" s="646"/>
      <c r="H245" s="346"/>
      <c r="I245" s="645">
        <f>+E245*F245</f>
        <v>0</v>
      </c>
      <c r="J245" s="645"/>
      <c r="K245" s="525"/>
      <c r="N245" s="347"/>
      <c r="P245" s="183"/>
      <c r="Q245" s="537"/>
      <c r="R245" s="537"/>
      <c r="S245" s="537"/>
      <c r="T245" s="181"/>
      <c r="U245" s="538"/>
      <c r="V245" s="538"/>
      <c r="W245" s="534"/>
      <c r="X245" s="532"/>
      <c r="Y245" s="532"/>
      <c r="Z245" s="537"/>
      <c r="AA245" s="168"/>
      <c r="AB245" s="168"/>
      <c r="AC245" s="168"/>
      <c r="AD245" s="168"/>
      <c r="AE245" s="168"/>
      <c r="AF245" s="168"/>
    </row>
    <row r="246" spans="1:32" s="2" customFormat="1" ht="12.75" x14ac:dyDescent="0.2">
      <c r="A246" s="48"/>
      <c r="B246" s="529"/>
      <c r="C246" s="529"/>
      <c r="D246" s="529"/>
      <c r="E246" s="181"/>
      <c r="F246" s="530"/>
      <c r="G246" s="530"/>
      <c r="H246" s="41"/>
      <c r="I246" s="531"/>
      <c r="J246" s="531"/>
      <c r="K246" s="529"/>
      <c r="P246" s="48"/>
      <c r="Q246" s="529"/>
      <c r="R246" s="529"/>
      <c r="S246" s="529"/>
      <c r="T246" s="47"/>
      <c r="U246" s="530"/>
      <c r="V246" s="530"/>
      <c r="W246" s="41"/>
      <c r="X246" s="531"/>
      <c r="Y246" s="531"/>
      <c r="Z246" s="529"/>
      <c r="AA246" s="9"/>
      <c r="AB246" s="9"/>
      <c r="AC246" s="9"/>
      <c r="AD246" s="9"/>
      <c r="AE246" s="9"/>
      <c r="AF246" s="9"/>
    </row>
    <row r="247" spans="1:32" s="2" customFormat="1" x14ac:dyDescent="0.2">
      <c r="A247" s="22" t="s">
        <v>71</v>
      </c>
      <c r="B247" s="8"/>
      <c r="C247" s="8"/>
      <c r="D247" s="37"/>
      <c r="E247" s="465"/>
      <c r="F247" s="8"/>
      <c r="G247" s="8"/>
      <c r="H247" s="16"/>
      <c r="K247" s="8"/>
      <c r="P247" s="48"/>
      <c r="Q247" s="647"/>
      <c r="R247" s="647"/>
      <c r="S247" s="647"/>
      <c r="T247" s="47"/>
      <c r="U247" s="648"/>
      <c r="V247" s="648"/>
      <c r="W247" s="41"/>
      <c r="X247" s="653"/>
      <c r="Y247" s="653"/>
      <c r="Z247" s="529"/>
      <c r="AA247" s="9"/>
      <c r="AB247" s="9"/>
      <c r="AC247" s="9"/>
      <c r="AD247" s="9"/>
      <c r="AE247" s="9"/>
      <c r="AF247" s="9"/>
    </row>
    <row r="248" spans="1:32" s="2" customFormat="1" ht="29.25" customHeight="1" x14ac:dyDescent="0.25">
      <c r="A248" s="632"/>
      <c r="B248" s="632"/>
      <c r="C248" s="633"/>
      <c r="D248" s="633"/>
      <c r="E248" s="464"/>
      <c r="F248" s="39"/>
      <c r="G248" s="529"/>
      <c r="H248" s="41"/>
      <c r="I248" s="9"/>
      <c r="J248" s="9"/>
      <c r="K248" s="52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  <c r="AA248" s="9"/>
      <c r="AB248" s="9"/>
      <c r="AC248" s="9"/>
      <c r="AD248" s="9"/>
      <c r="AE248" s="9"/>
      <c r="AF248" s="9"/>
    </row>
    <row r="249" spans="1:32" s="2" customFormat="1" ht="19.5" customHeight="1" x14ac:dyDescent="0.2">
      <c r="A249" s="9"/>
      <c r="B249" s="42"/>
      <c r="C249" s="9"/>
      <c r="D249" s="43"/>
      <c r="E249" s="464"/>
      <c r="F249" s="529"/>
      <c r="G249" s="529"/>
      <c r="H249" s="41"/>
      <c r="I249" s="9"/>
      <c r="J249" s="9"/>
      <c r="K249" s="529"/>
      <c r="N249" s="70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  <c r="AA249" s="9"/>
      <c r="AB249" s="9"/>
      <c r="AC249" s="9"/>
      <c r="AD249" s="9"/>
      <c r="AE249" s="9"/>
      <c r="AF249" s="9"/>
    </row>
    <row r="250" spans="1:32" s="2" customFormat="1" ht="19.5" customHeight="1" x14ac:dyDescent="0.2">
      <c r="A250" s="529"/>
      <c r="B250" s="529"/>
      <c r="C250" s="529"/>
      <c r="D250" s="44"/>
      <c r="E250" s="465"/>
      <c r="F250" s="8"/>
      <c r="G250" s="8"/>
      <c r="H250" s="16"/>
      <c r="K250" s="8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  <c r="AA250" s="9"/>
      <c r="AB250" s="9"/>
      <c r="AC250" s="9"/>
      <c r="AD250" s="9"/>
      <c r="AE250" s="9"/>
      <c r="AF250" s="9"/>
    </row>
    <row r="251" spans="1:32" s="2" customFormat="1" ht="15" x14ac:dyDescent="0.25">
      <c r="A251" s="8"/>
      <c r="B251" s="8"/>
      <c r="C251" s="39"/>
      <c r="D251" s="37"/>
      <c r="E251" s="465"/>
      <c r="F251" s="8"/>
      <c r="G251" s="8"/>
      <c r="H251" s="16"/>
      <c r="K251" s="8"/>
      <c r="N251" s="70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  <c r="AA251" s="9"/>
      <c r="AB251" s="9"/>
      <c r="AC251" s="9"/>
      <c r="AD251" s="9"/>
      <c r="AE251" s="9"/>
      <c r="AF251" s="9"/>
    </row>
    <row r="252" spans="1:32" s="2" customFormat="1" ht="28.5" customHeight="1" x14ac:dyDescent="0.2">
      <c r="A252" s="526"/>
      <c r="B252" s="649"/>
      <c r="C252" s="649"/>
      <c r="D252" s="46" t="s">
        <v>72</v>
      </c>
      <c r="E252" s="181">
        <f>IF(B253&lt;b/6,C262/b*(1+6*B253/b),2/3*C262/(b/2-B253))</f>
        <v>-333.49057011239933</v>
      </c>
      <c r="F252" s="48" t="s">
        <v>25</v>
      </c>
      <c r="G252" s="48" t="str">
        <f>IF(E252&lt;I252,"&lt;","&gt;")</f>
        <v>&lt;</v>
      </c>
      <c r="H252" s="46" t="s">
        <v>75</v>
      </c>
      <c r="I252" s="49">
        <f>I49</f>
        <v>400</v>
      </c>
      <c r="J252" s="48" t="s">
        <v>25</v>
      </c>
      <c r="K252" s="50" t="str">
        <f>IF(G252="&lt;","O.K.","not O.K.")</f>
        <v>O.K.</v>
      </c>
      <c r="N252" s="70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  <c r="AA252" s="9"/>
      <c r="AB252" s="9"/>
      <c r="AC252" s="9"/>
      <c r="AD252" s="9"/>
      <c r="AE252" s="9"/>
      <c r="AF252" s="9"/>
    </row>
    <row r="253" spans="1:32" s="2" customFormat="1" ht="18" x14ac:dyDescent="0.2">
      <c r="A253" s="527">
        <f>+(A257-C257)/C262</f>
        <v>-1.1644384155959842</v>
      </c>
      <c r="B253" s="643">
        <f>b/2-A253</f>
        <v>4.7894384155959839</v>
      </c>
      <c r="C253" s="643"/>
      <c r="D253" s="46" t="s">
        <v>73</v>
      </c>
      <c r="E253" s="181">
        <f>IF(B253&lt;b/6,C262/b*(1-6*B253/b),0)</f>
        <v>0</v>
      </c>
      <c r="F253" s="48" t="s">
        <v>25</v>
      </c>
      <c r="G253" s="48" t="str">
        <f>IF(E253&lt;I253,"&lt;","&gt;")</f>
        <v>&gt;</v>
      </c>
      <c r="H253" s="46" t="s">
        <v>74</v>
      </c>
      <c r="I253" s="49">
        <v>0</v>
      </c>
      <c r="J253" s="48" t="s">
        <v>25</v>
      </c>
      <c r="K253" s="50" t="str">
        <f>IF(E253&lt;I253,"not O.K.","O.K.")</f>
        <v>O.K.</v>
      </c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  <c r="AA253" s="9"/>
      <c r="AB253" s="9"/>
      <c r="AC253" s="9"/>
      <c r="AD253" s="9"/>
      <c r="AE253" s="9"/>
      <c r="AF253" s="9"/>
    </row>
    <row r="254" spans="1:32" s="2" customFormat="1" ht="8.25" customHeight="1" x14ac:dyDescent="0.2">
      <c r="E254" s="193"/>
      <c r="I254" s="7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  <c r="AA254" s="9"/>
      <c r="AB254" s="9"/>
      <c r="AC254" s="9"/>
      <c r="AD254" s="9"/>
      <c r="AE254" s="9"/>
      <c r="AF254" s="9"/>
    </row>
    <row r="255" spans="1:32" s="2" customFormat="1" x14ac:dyDescent="0.2">
      <c r="A255" s="22" t="s">
        <v>69</v>
      </c>
      <c r="B255" s="28"/>
      <c r="C255" s="28"/>
      <c r="D255" s="28"/>
      <c r="E255" s="310"/>
      <c r="F255" s="28"/>
      <c r="G255" s="28"/>
      <c r="H255" s="29"/>
      <c r="I255" s="30"/>
      <c r="J255" s="28"/>
      <c r="K255" s="28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  <c r="AA255" s="9"/>
      <c r="AB255" s="9"/>
      <c r="AC255" s="9"/>
      <c r="AD255" s="9"/>
      <c r="AE255" s="9"/>
      <c r="AF255" s="9"/>
    </row>
    <row r="256" spans="1:32" s="2" customFormat="1" ht="33" customHeight="1" x14ac:dyDescent="0.25">
      <c r="A256" s="650" t="s">
        <v>64</v>
      </c>
      <c r="B256" s="650"/>
      <c r="C256" s="651" t="s">
        <v>65</v>
      </c>
      <c r="D256" s="652"/>
      <c r="E256" s="540"/>
      <c r="F256" s="52"/>
      <c r="G256" s="6"/>
      <c r="H256" s="541" t="s">
        <v>66</v>
      </c>
      <c r="J256" s="28"/>
      <c r="K256" s="1"/>
    </row>
    <row r="257" spans="1:11" s="2" customFormat="1" ht="12.75" x14ac:dyDescent="0.2">
      <c r="A257" s="621">
        <f>+I227+I228+I229+I232+I240+I241</f>
        <v>1918.4271906670758</v>
      </c>
      <c r="B257" s="621"/>
      <c r="C257" s="622">
        <f>+I239+I234+I235+I236+I233</f>
        <v>2596.7054025159823</v>
      </c>
      <c r="D257" s="623"/>
      <c r="E257" s="533">
        <f>A257/C257</f>
        <v>0.73879277518669861</v>
      </c>
      <c r="F257" s="4" t="str">
        <f>IF(E257&lt;G257,"&lt;","&gt;")</f>
        <v>&lt;</v>
      </c>
      <c r="G257" s="76">
        <v>1</v>
      </c>
      <c r="H257" s="5" t="str">
        <f>IF(F257="&gt;","O.K.","not O.K.")</f>
        <v>not O.K.</v>
      </c>
      <c r="J257" s="7"/>
      <c r="K257" s="7"/>
    </row>
    <row r="258" spans="1:11" s="2" customFormat="1" ht="12.75" hidden="1" customHeight="1" x14ac:dyDescent="0.2">
      <c r="A258" s="622">
        <f>+A257+I245</f>
        <v>1918.4271906670758</v>
      </c>
      <c r="B258" s="623"/>
      <c r="C258" s="621">
        <f>+C257</f>
        <v>2596.7054025159823</v>
      </c>
      <c r="D258" s="621"/>
      <c r="E258" s="622">
        <f>A258/C258</f>
        <v>0.73879277518669861</v>
      </c>
      <c r="F258" s="624"/>
      <c r="G258" s="4" t="str">
        <f>IF(E258&lt;H258,"&lt;","&gt;")</f>
        <v>&lt;</v>
      </c>
      <c r="H258" s="76">
        <v>1.2</v>
      </c>
      <c r="I258" s="5" t="str">
        <f>IF(G258="&gt;","O.K.","not O.K.")</f>
        <v>not O.K.</v>
      </c>
      <c r="J258" s="28" t="s">
        <v>327</v>
      </c>
      <c r="K258" s="28"/>
    </row>
    <row r="259" spans="1:11" s="2" customFormat="1" ht="15" customHeight="1" x14ac:dyDescent="0.2">
      <c r="A259" s="28"/>
      <c r="B259" s="28"/>
      <c r="C259" s="28"/>
      <c r="D259" s="28"/>
      <c r="E259" s="310"/>
      <c r="F259" s="28"/>
      <c r="G259" s="28"/>
      <c r="H259" s="29"/>
      <c r="I259" s="30"/>
      <c r="J259" s="28"/>
      <c r="K259" s="28"/>
    </row>
    <row r="260" spans="1:11" s="2" customFormat="1" x14ac:dyDescent="0.2">
      <c r="A260" s="22" t="s">
        <v>70</v>
      </c>
      <c r="B260" s="28"/>
      <c r="C260" s="28"/>
      <c r="D260" s="28"/>
      <c r="E260" s="310"/>
      <c r="F260" s="28"/>
      <c r="G260" s="28"/>
      <c r="H260" s="29"/>
      <c r="I260" s="30"/>
      <c r="J260" s="28"/>
      <c r="K260" s="28"/>
    </row>
    <row r="261" spans="1:11" s="2" customFormat="1" ht="31.5" customHeight="1" x14ac:dyDescent="0.2">
      <c r="A261" s="650" t="s">
        <v>67</v>
      </c>
      <c r="B261" s="650"/>
      <c r="C261" s="651" t="s">
        <v>68</v>
      </c>
      <c r="D261" s="652"/>
      <c r="E261" s="539" t="s">
        <v>11</v>
      </c>
      <c r="F261" s="741"/>
      <c r="G261" s="742"/>
      <c r="H261" s="53"/>
      <c r="I261" s="53" t="s">
        <v>66</v>
      </c>
      <c r="J261" s="56"/>
      <c r="K261" s="10"/>
    </row>
    <row r="262" spans="1:11" s="2" customFormat="1" ht="12.75" x14ac:dyDescent="0.2">
      <c r="A262" s="621">
        <f>SUM(E233:E239)-E243-E244-E241</f>
        <v>438.26527850546472</v>
      </c>
      <c r="B262" s="621"/>
      <c r="C262" s="622">
        <f>SUM(E227:E232)+E240</f>
        <v>582.49384661682552</v>
      </c>
      <c r="D262" s="623"/>
      <c r="E262" s="298">
        <f>+E203</f>
        <v>0.65</v>
      </c>
      <c r="F262" s="622">
        <f>C262*E262/A262</f>
        <v>0.86390827398437309</v>
      </c>
      <c r="G262" s="624"/>
      <c r="H262" s="4" t="str">
        <f>IF(F262&lt;I262,"&lt;","&gt;")</f>
        <v>&lt;</v>
      </c>
      <c r="I262" s="76">
        <v>1</v>
      </c>
      <c r="J262" s="5" t="str">
        <f>IF(H262="&gt;","O.K.","not O.K.")</f>
        <v>not O.K.</v>
      </c>
      <c r="K262" s="8"/>
    </row>
    <row r="263" spans="1:11" s="2" customFormat="1" ht="9.75" customHeight="1" x14ac:dyDescent="0.2">
      <c r="A263" s="28"/>
      <c r="B263" s="28"/>
      <c r="C263" s="28"/>
      <c r="D263" s="28"/>
      <c r="E263" s="310"/>
      <c r="F263" s="28"/>
      <c r="G263" s="28"/>
      <c r="H263" s="29"/>
      <c r="I263" s="30"/>
      <c r="J263" s="28"/>
      <c r="K263" s="28"/>
    </row>
    <row r="264" spans="1:11" s="2" customFormat="1" ht="9.75" customHeight="1" x14ac:dyDescent="0.2">
      <c r="A264" s="28"/>
      <c r="B264" s="28"/>
      <c r="C264" s="28"/>
      <c r="D264" s="28"/>
      <c r="E264" s="310"/>
      <c r="F264" s="28"/>
      <c r="G264" s="28"/>
      <c r="H264" s="29"/>
      <c r="I264" s="30"/>
      <c r="J264" s="28"/>
      <c r="K264" s="28"/>
    </row>
    <row r="265" spans="1:11" s="2" customFormat="1" ht="15" x14ac:dyDescent="0.25">
      <c r="A265" s="715" t="s">
        <v>343</v>
      </c>
      <c r="B265" s="715"/>
      <c r="C265" s="715"/>
      <c r="D265" s="715"/>
      <c r="E265" s="715"/>
      <c r="F265" s="715"/>
      <c r="G265" s="715"/>
      <c r="H265" s="715"/>
      <c r="I265" s="715"/>
      <c r="J265" s="715"/>
      <c r="K265" s="715"/>
    </row>
    <row r="266" spans="1:11" s="2" customFormat="1" x14ac:dyDescent="0.2">
      <c r="A266" s="28"/>
      <c r="B266" s="28"/>
      <c r="C266" s="28"/>
      <c r="D266" s="28"/>
      <c r="E266" s="310"/>
      <c r="F266" s="28"/>
      <c r="G266" s="28"/>
      <c r="H266" s="28"/>
      <c r="I266" s="28"/>
      <c r="J266" s="28"/>
      <c r="K266" s="28"/>
    </row>
    <row r="267" spans="1:11" s="2" customFormat="1" ht="26.25" customHeight="1" x14ac:dyDescent="0.2">
      <c r="A267" s="28"/>
      <c r="B267" s="28"/>
      <c r="C267" s="28"/>
      <c r="D267" s="28"/>
      <c r="E267" s="310"/>
      <c r="F267" s="28"/>
      <c r="G267" s="28"/>
      <c r="H267" s="29"/>
      <c r="I267" s="30"/>
      <c r="J267" s="28"/>
      <c r="K267" s="28"/>
    </row>
    <row r="268" spans="1:11" s="2" customFormat="1" ht="26.25" customHeight="1" x14ac:dyDescent="0.2">
      <c r="A268" s="28"/>
      <c r="B268" s="28"/>
      <c r="C268" s="28"/>
      <c r="D268" s="28"/>
      <c r="E268" s="310"/>
      <c r="F268" s="28"/>
      <c r="G268" s="28"/>
      <c r="H268" s="29"/>
      <c r="I268" s="30"/>
      <c r="J268" s="28"/>
      <c r="K268" s="28"/>
    </row>
    <row r="269" spans="1:11" s="2" customFormat="1" x14ac:dyDescent="0.2">
      <c r="A269" s="28"/>
      <c r="B269" s="28"/>
      <c r="C269" s="28"/>
      <c r="D269" s="28"/>
      <c r="E269" s="310"/>
      <c r="F269" s="28"/>
      <c r="G269" s="28"/>
      <c r="H269" s="29"/>
      <c r="I269" s="30"/>
      <c r="J269" s="28"/>
      <c r="K269" s="28"/>
    </row>
    <row r="270" spans="1:11" s="2" customFormat="1" x14ac:dyDescent="0.2">
      <c r="A270" s="28"/>
      <c r="B270" s="28"/>
      <c r="C270" s="28"/>
      <c r="D270" s="28"/>
      <c r="E270" s="310"/>
      <c r="F270" s="28"/>
      <c r="G270" s="28"/>
      <c r="H270" s="29"/>
      <c r="I270" s="30"/>
      <c r="J270" s="28"/>
      <c r="K270" s="28"/>
    </row>
    <row r="271" spans="1:11" s="2" customFormat="1" x14ac:dyDescent="0.2">
      <c r="A271" s="28"/>
      <c r="B271" s="28"/>
      <c r="C271" s="28"/>
      <c r="D271" s="28"/>
      <c r="E271" s="310"/>
      <c r="F271" s="28"/>
      <c r="G271" s="28"/>
      <c r="H271" s="29"/>
      <c r="I271" s="30"/>
      <c r="J271" s="28"/>
      <c r="K271" s="28"/>
    </row>
    <row r="272" spans="1:11" s="2" customFormat="1" x14ac:dyDescent="0.2">
      <c r="A272" s="28"/>
      <c r="B272" s="28"/>
      <c r="C272" s="28"/>
      <c r="D272" s="28"/>
      <c r="E272" s="310"/>
      <c r="F272" s="28"/>
      <c r="G272" s="28"/>
      <c r="H272" s="29"/>
      <c r="I272" s="30"/>
      <c r="J272" s="28"/>
      <c r="K272" s="28"/>
    </row>
    <row r="273" spans="1:11" s="2" customFormat="1" x14ac:dyDescent="0.2">
      <c r="A273" s="28"/>
      <c r="B273" s="28"/>
      <c r="C273" s="28"/>
      <c r="D273" s="28"/>
      <c r="E273" s="310"/>
      <c r="F273" s="28"/>
      <c r="G273" s="28"/>
      <c r="H273" s="29"/>
      <c r="I273" s="30"/>
      <c r="J273" s="28"/>
      <c r="K273" s="28"/>
    </row>
    <row r="274" spans="1:11" s="2" customFormat="1" x14ac:dyDescent="0.2">
      <c r="A274" s="28"/>
      <c r="B274" s="28"/>
      <c r="C274" s="28"/>
      <c r="D274" s="28"/>
      <c r="E274" s="310"/>
      <c r="F274" s="28"/>
      <c r="G274" s="28"/>
      <c r="H274" s="29"/>
      <c r="I274" s="30"/>
      <c r="J274" s="28"/>
      <c r="K274" s="28"/>
    </row>
    <row r="275" spans="1:11" s="2" customFormat="1" x14ac:dyDescent="0.2">
      <c r="A275" s="28"/>
      <c r="B275" s="28"/>
      <c r="C275" s="28"/>
      <c r="D275" s="28"/>
      <c r="E275" s="310"/>
      <c r="F275" s="28"/>
      <c r="G275" s="28"/>
      <c r="H275" s="29"/>
      <c r="I275" s="30"/>
      <c r="J275" s="28"/>
      <c r="K275" s="28"/>
    </row>
    <row r="276" spans="1:11" s="2" customFormat="1" x14ac:dyDescent="0.2">
      <c r="A276" s="28"/>
      <c r="B276" s="28"/>
      <c r="C276" s="28"/>
      <c r="D276" s="28"/>
      <c r="E276" s="310"/>
      <c r="F276" s="28"/>
      <c r="G276" s="28"/>
      <c r="H276" s="29"/>
      <c r="I276" s="30"/>
      <c r="J276" s="28"/>
      <c r="K276" s="28"/>
    </row>
    <row r="277" spans="1:11" s="2" customFormat="1" x14ac:dyDescent="0.2">
      <c r="A277" s="28"/>
      <c r="B277" s="28"/>
      <c r="C277" s="28"/>
      <c r="D277" s="28"/>
      <c r="E277" s="310"/>
      <c r="F277" s="28"/>
      <c r="G277" s="28"/>
      <c r="H277" s="29"/>
      <c r="I277" s="30"/>
      <c r="J277" s="28"/>
      <c r="K277" s="28"/>
    </row>
    <row r="278" spans="1:11" s="2" customFormat="1" x14ac:dyDescent="0.2">
      <c r="A278" s="28"/>
      <c r="B278" s="28"/>
      <c r="C278" s="28"/>
      <c r="D278" s="28"/>
      <c r="E278" s="310"/>
      <c r="F278" s="28"/>
      <c r="G278" s="28"/>
      <c r="H278" s="29"/>
      <c r="I278" s="30"/>
      <c r="J278" s="28"/>
      <c r="K278" s="28"/>
    </row>
    <row r="279" spans="1:11" s="2" customFormat="1" x14ac:dyDescent="0.2">
      <c r="A279" s="28"/>
      <c r="B279" s="28"/>
      <c r="C279" s="28"/>
      <c r="D279" s="28"/>
      <c r="E279" s="310"/>
      <c r="F279" s="28"/>
      <c r="G279" s="28"/>
      <c r="H279" s="29"/>
      <c r="I279" s="30"/>
      <c r="J279" s="28"/>
      <c r="K279" s="28"/>
    </row>
    <row r="280" spans="1:11" s="2" customFormat="1" x14ac:dyDescent="0.2">
      <c r="A280" s="28"/>
      <c r="B280" s="28"/>
      <c r="C280" s="28"/>
      <c r="D280" s="28"/>
      <c r="E280" s="310"/>
      <c r="F280" s="28"/>
      <c r="G280" s="28"/>
      <c r="H280" s="29"/>
      <c r="I280" s="30"/>
      <c r="J280" s="28"/>
      <c r="K280" s="28"/>
    </row>
    <row r="281" spans="1:11" s="2" customFormat="1" x14ac:dyDescent="0.2">
      <c r="A281" s="28"/>
      <c r="B281" s="28"/>
      <c r="C281" s="28"/>
      <c r="D281" s="28"/>
      <c r="E281" s="310"/>
      <c r="F281" s="28"/>
      <c r="G281" s="28"/>
      <c r="H281" s="29"/>
      <c r="I281" s="30"/>
      <c r="J281" s="28"/>
      <c r="K281" s="28"/>
    </row>
    <row r="282" spans="1:11" s="2" customFormat="1" x14ac:dyDescent="0.2">
      <c r="A282" s="28"/>
      <c r="B282" s="28"/>
      <c r="C282" s="28"/>
      <c r="D282" s="28"/>
      <c r="E282" s="310"/>
      <c r="F282" s="28"/>
      <c r="G282" s="28"/>
      <c r="H282" s="29"/>
      <c r="I282" s="30"/>
      <c r="J282" s="28"/>
      <c r="K282" s="28"/>
    </row>
    <row r="283" spans="1:11" s="2" customFormat="1" x14ac:dyDescent="0.2">
      <c r="A283" s="28"/>
      <c r="B283" s="28"/>
      <c r="C283" s="28"/>
      <c r="D283" s="28"/>
      <c r="E283" s="310"/>
      <c r="F283" s="28"/>
      <c r="G283" s="28"/>
      <c r="H283" s="29"/>
      <c r="I283" s="30"/>
      <c r="J283" s="28"/>
      <c r="K283" s="28"/>
    </row>
    <row r="284" spans="1:11" s="2" customFormat="1" ht="28.5" customHeight="1" thickBot="1" x14ac:dyDescent="0.25">
      <c r="A284" s="627" t="s">
        <v>56</v>
      </c>
      <c r="B284" s="627"/>
      <c r="C284" s="627"/>
      <c r="D284" s="627"/>
      <c r="E284" s="627"/>
      <c r="F284" s="627" t="s">
        <v>54</v>
      </c>
      <c r="G284" s="627"/>
      <c r="H284" s="627"/>
      <c r="I284" s="628" t="s">
        <v>55</v>
      </c>
      <c r="J284" s="628"/>
      <c r="K284" s="628"/>
    </row>
    <row r="285" spans="1:11" s="2" customFormat="1" ht="16.5" thickTop="1" x14ac:dyDescent="0.2">
      <c r="A285" s="31" t="s">
        <v>57</v>
      </c>
      <c r="B285" s="629" t="str">
        <f>" "&amp;ROUND((bw-bt),2)&amp;"x"&amp;hw&amp;"x"&amp;gc&amp;"/2="</f>
        <v xml:space="preserve"> 5.25x7.1x2.4/2=</v>
      </c>
      <c r="C285" s="630"/>
      <c r="D285" s="631"/>
      <c r="E285" s="461">
        <f>(bw-bt)*hw*gc/2</f>
        <v>44.73</v>
      </c>
      <c r="F285" s="716">
        <f>(bw-bt)/3+bt+bf</f>
        <v>3.25</v>
      </c>
      <c r="G285" s="717"/>
      <c r="H285" s="32"/>
      <c r="I285" s="617">
        <f>E285*F285</f>
        <v>145.3725</v>
      </c>
      <c r="J285" s="618"/>
      <c r="K285" s="33"/>
    </row>
    <row r="286" spans="1:11" s="2" customFormat="1" ht="15.75" x14ac:dyDescent="0.2">
      <c r="A286" s="34" t="s">
        <v>58</v>
      </c>
      <c r="B286" s="601" t="str">
        <f>" " &amp;hw&amp; "x"&amp;bt&amp; "x"&amp;gc&amp;"="</f>
        <v xml:space="preserve"> 7.1x1x2.4=</v>
      </c>
      <c r="C286" s="602"/>
      <c r="D286" s="603"/>
      <c r="E286" s="434">
        <f>hw*bt*gc</f>
        <v>17.04</v>
      </c>
      <c r="F286" s="625">
        <f>bt*0.5+bf</f>
        <v>1</v>
      </c>
      <c r="G286" s="626"/>
      <c r="H286" s="35"/>
      <c r="I286" s="643">
        <f>E286*F286</f>
        <v>17.04</v>
      </c>
      <c r="J286" s="644"/>
      <c r="K286" s="36"/>
    </row>
    <row r="287" spans="1:11" s="2" customFormat="1" ht="15.75" x14ac:dyDescent="0.2">
      <c r="A287" s="34" t="s">
        <v>59</v>
      </c>
      <c r="B287" s="601" t="str">
        <f>" " &amp;ROUND(b,2)&amp;"x"&amp;hs&amp;"x"&amp;gc&amp;"="</f>
        <v xml:space="preserve"> 7.25x1.5x2.4=</v>
      </c>
      <c r="C287" s="602"/>
      <c r="D287" s="603"/>
      <c r="E287" s="434">
        <f>ROUND(b*hs*gc,2)</f>
        <v>26.1</v>
      </c>
      <c r="F287" s="625">
        <f>b/2</f>
        <v>3.625</v>
      </c>
      <c r="G287" s="626"/>
      <c r="H287" s="35"/>
      <c r="I287" s="643">
        <f>E287*F287</f>
        <v>94.612500000000011</v>
      </c>
      <c r="J287" s="644"/>
      <c r="K287" s="36"/>
    </row>
    <row r="288" spans="1:11" s="2" customFormat="1" ht="12.75" hidden="1" x14ac:dyDescent="0.2">
      <c r="A288" s="34"/>
      <c r="B288" s="601"/>
      <c r="C288" s="602"/>
      <c r="D288" s="603"/>
      <c r="E288" s="434"/>
      <c r="F288" s="625"/>
      <c r="G288" s="626"/>
      <c r="H288" s="35"/>
      <c r="I288" s="643"/>
      <c r="J288" s="644"/>
      <c r="K288" s="36"/>
    </row>
    <row r="289" spans="1:32" s="2" customFormat="1" ht="12.75" hidden="1" x14ac:dyDescent="0.2">
      <c r="A289" s="34"/>
      <c r="B289" s="601"/>
      <c r="C289" s="602"/>
      <c r="D289" s="603"/>
      <c r="E289" s="434"/>
      <c r="F289" s="625"/>
      <c r="G289" s="626"/>
      <c r="H289" s="35"/>
      <c r="I289" s="643"/>
      <c r="J289" s="644"/>
      <c r="K289" s="36"/>
    </row>
    <row r="290" spans="1:32" s="2" customFormat="1" ht="12.75" hidden="1" x14ac:dyDescent="0.2">
      <c r="A290" s="34"/>
      <c r="B290" s="601"/>
      <c r="C290" s="602"/>
      <c r="D290" s="603"/>
      <c r="E290" s="434"/>
      <c r="F290" s="625"/>
      <c r="G290" s="626"/>
      <c r="H290" s="35"/>
      <c r="I290" s="643"/>
      <c r="J290" s="644"/>
      <c r="K290" s="36"/>
    </row>
    <row r="291" spans="1:32" s="2" customFormat="1" ht="12.75" hidden="1" x14ac:dyDescent="0.2">
      <c r="A291" s="34"/>
      <c r="B291" s="601"/>
      <c r="C291" s="602"/>
      <c r="D291" s="603"/>
      <c r="E291" s="434"/>
      <c r="F291" s="625"/>
      <c r="G291" s="626"/>
      <c r="H291" s="35"/>
      <c r="I291" s="643"/>
      <c r="J291" s="644"/>
      <c r="K291" s="36"/>
    </row>
    <row r="292" spans="1:32" s="2" customFormat="1" ht="15.75" x14ac:dyDescent="0.2">
      <c r="A292" s="34" t="s">
        <v>87</v>
      </c>
      <c r="B292" s="601" t="str">
        <f>" "&amp;bf&amp;"x"&amp;ROUND(hsuf-hs,2)&amp;"x"&amp;gw&amp;"="</f>
        <v xml:space="preserve"> 0.5x5.12x1=</v>
      </c>
      <c r="C292" s="602"/>
      <c r="D292" s="603"/>
      <c r="E292" s="434">
        <f>bf*(hsuf-hs)*gw</f>
        <v>2.56</v>
      </c>
      <c r="F292" s="625">
        <f>bf/2</f>
        <v>0.25</v>
      </c>
      <c r="G292" s="626"/>
      <c r="H292" s="35"/>
      <c r="I292" s="643">
        <f>E292*F292</f>
        <v>0.64</v>
      </c>
      <c r="J292" s="644"/>
      <c r="K292" s="36"/>
    </row>
    <row r="293" spans="1:32" s="2" customFormat="1" ht="15" customHeight="1" x14ac:dyDescent="0.2">
      <c r="A293" s="34" t="s">
        <v>82</v>
      </c>
      <c r="B293" s="601" t="str">
        <f>" "&amp;ROUND(b,2)&amp;"x"&amp;hsuf&amp;"x"&amp;gw&amp;"="</f>
        <v xml:space="preserve"> 7.25x6.62x1=</v>
      </c>
      <c r="C293" s="602"/>
      <c r="D293" s="603"/>
      <c r="E293" s="434">
        <f>b*hsuf*gw</f>
        <v>47.994999999999997</v>
      </c>
      <c r="F293" s="625">
        <f>b/2</f>
        <v>3.625</v>
      </c>
      <c r="G293" s="626"/>
      <c r="H293" s="35"/>
      <c r="I293" s="643">
        <f t="shared" ref="I293:I294" si="11">E293*F293</f>
        <v>173.981875</v>
      </c>
      <c r="J293" s="644"/>
      <c r="K293" s="36"/>
    </row>
    <row r="294" spans="1:32" s="575" customFormat="1" ht="15.75" x14ac:dyDescent="0.2">
      <c r="A294" s="571" t="s">
        <v>354</v>
      </c>
      <c r="B294" s="604" t="str">
        <f>" "&amp;ROUND(kas,3)&amp;"x"&amp;ROUND(h-hsuf,3)&amp;"²x"&amp;ROUND(gnor,2)&amp;"/2xcos("&amp;(ROUND(delta,2)&amp;"+"&amp;(ROUND(beta,2))&amp;")=")</f>
        <v xml:space="preserve"> 0.75x1.98²x1.8/2xcos(13.92+36.48)=</v>
      </c>
      <c r="C294" s="605"/>
      <c r="D294" s="606"/>
      <c r="E294" s="572">
        <f>kas*(h-hsuf)^2*gnor/2*COS(beta/180*PI()+delta/180*PI())</f>
        <v>1.6859290242690372</v>
      </c>
      <c r="F294" s="659">
        <f>(hw-L54)/3+L54+hs</f>
        <v>7.28</v>
      </c>
      <c r="G294" s="619"/>
      <c r="H294" s="573"/>
      <c r="I294" s="609">
        <f t="shared" si="11"/>
        <v>12.273563296678592</v>
      </c>
      <c r="J294" s="610"/>
      <c r="K294" s="574"/>
    </row>
    <row r="295" spans="1:32" s="575" customFormat="1" ht="15.75" x14ac:dyDescent="0.2">
      <c r="A295" s="571" t="s">
        <v>355</v>
      </c>
      <c r="B295" s="604" t="str">
        <f>" "&amp;ROUND(kas,3)&amp;"x"&amp;ROUND(h-hsuf,3)&amp;"²x"&amp;ROUND(gnor,2)&amp;"/2xsin("&amp;(ROUND(delta,2)&amp;"+"&amp;(ROUND(beta,2))&amp;")=")</f>
        <v xml:space="preserve"> 0.75x1.98²x1.8/2xsin(13.92+36.48)=</v>
      </c>
      <c r="C295" s="605"/>
      <c r="D295" s="606"/>
      <c r="E295" s="572">
        <f>kas*(h-hsuf)^2*gnor/2*SIN(beta/180*PI()+delta/180*PI())</f>
        <v>2.0376178841275308</v>
      </c>
      <c r="F295" s="607">
        <f>+bf+bt+((hw-L54)*SIN(beta/180*PI()+delta/180*PI()))/3*2</f>
        <v>2.5170125371930578</v>
      </c>
      <c r="G295" s="608"/>
      <c r="H295" s="573"/>
      <c r="I295" s="609">
        <f t="shared" ref="I295:I302" si="12">E295*F295</f>
        <v>5.1287097603577863</v>
      </c>
      <c r="J295" s="610"/>
      <c r="K295" s="574"/>
    </row>
    <row r="296" spans="1:32" s="575" customFormat="1" ht="15.75" x14ac:dyDescent="0.2">
      <c r="A296" s="571" t="s">
        <v>356</v>
      </c>
      <c r="B296" s="612" t="str">
        <f>ROUND(kas,3)&amp;"x"&amp;ROUND(gnor,2)&amp;"x"&amp;ROUND((hw-L54),2)&amp;"x"&amp;ROUND((hsuf),2)&amp;" x cos("&amp;(ROUND(delta,2)&amp;"+"&amp;(ROUND(beta,2))&amp;")=")</f>
        <v>0.75x1.8x1.98x6.62 x cos(13.92+36.48)=</v>
      </c>
      <c r="C296" s="613"/>
      <c r="D296" s="614"/>
      <c r="E296" s="572">
        <f>(kas*(gnor*(hw-L54)*(hsuf))*COS(beta/180*PI()+delta/180*PI()))</f>
        <v>11.273586000667706</v>
      </c>
      <c r="F296" s="619">
        <f>+hsuf/2</f>
        <v>3.31</v>
      </c>
      <c r="G296" s="620"/>
      <c r="H296" s="573"/>
      <c r="I296" s="609">
        <f t="shared" si="12"/>
        <v>37.315569662210109</v>
      </c>
      <c r="J296" s="610"/>
      <c r="K296" s="574"/>
    </row>
    <row r="297" spans="1:32" s="575" customFormat="1" ht="15.75" x14ac:dyDescent="0.2">
      <c r="A297" s="571" t="s">
        <v>357</v>
      </c>
      <c r="B297" s="612" t="str">
        <f>ROUND(kas,3)&amp;"x"&amp;ROUND(gnor,2)&amp;"x"&amp;ROUND((hw-L54),2)&amp;"x"&amp;ROUND((hsuf),2)&amp;" x cos("&amp;(ROUND(delta,2)&amp;"+"&amp;(ROUND(beta,2))&amp;")=")</f>
        <v>0.75x1.8x1.98x6.62 x cos(13.92+36.48)=</v>
      </c>
      <c r="C297" s="613"/>
      <c r="D297" s="614"/>
      <c r="E297" s="572">
        <f>(kas*(gnor*(hw-L54)*(hsuf))*SIN(beta/180*PI()+delta/180*PI()))</f>
        <v>13.625283225176016</v>
      </c>
      <c r="F297" s="658">
        <f>+(bw-(hsuf/2*COS(beta/180*PI()+delta/180*PI())))+bt+bf</f>
        <v>5.6399297573562617</v>
      </c>
      <c r="G297" s="658"/>
      <c r="H297" s="573"/>
      <c r="I297" s="609">
        <f t="shared" si="12"/>
        <v>76.845640314077315</v>
      </c>
      <c r="J297" s="610"/>
      <c r="K297" s="574"/>
    </row>
    <row r="298" spans="1:32" s="575" customFormat="1" ht="15.75" x14ac:dyDescent="0.2">
      <c r="A298" s="571" t="s">
        <v>358</v>
      </c>
      <c r="B298" s="612" t="str">
        <f>ROUND(kas,3)&amp;"x"&amp;"("&amp;ROUND(gdoy,2)&amp;"x"&amp;ROUND(hsuf,2)&amp;")"&amp;"/2"&amp;"x"&amp;hsuf&amp;" xcos("&amp;(ROUND(delta,2)&amp;"+"&amp;(ROUND(beta,2))&amp;")=")</f>
        <v>0.75x(2x6.62)/2x6.62 xcos(13.92+36.48)=</v>
      </c>
      <c r="C298" s="613"/>
      <c r="D298" s="614"/>
      <c r="E298" s="572">
        <f>(kas*(gdoy*hsuf))*hsuf/2*COS(beta/180*PI()+delta/180*PI())</f>
        <v>20.940274782385028</v>
      </c>
      <c r="F298" s="619">
        <f>+hsuf/3</f>
        <v>2.2066666666666666</v>
      </c>
      <c r="G298" s="620"/>
      <c r="H298" s="573"/>
      <c r="I298" s="609">
        <f t="shared" ref="I298:I299" si="13">E298*F298</f>
        <v>46.208206353129626</v>
      </c>
      <c r="J298" s="610"/>
      <c r="K298" s="574"/>
    </row>
    <row r="299" spans="1:32" s="575" customFormat="1" ht="15.75" x14ac:dyDescent="0.2">
      <c r="A299" s="571" t="s">
        <v>359</v>
      </c>
      <c r="B299" s="612" t="str">
        <f>ROUND(kas,3)&amp;"x"&amp;"("&amp;ROUND(gdoy,2)&amp;"x"&amp;ROUND(hsuf,2)&amp;")"&amp;"/2"&amp;"x"&amp;hsuf&amp;" xsin("&amp;(ROUND(delta,2)&amp;"+"&amp;(ROUND(beta,2))&amp;")=")</f>
        <v>0.75x(2x6.62)/2x6.62 xsin(13.92+36.48)=</v>
      </c>
      <c r="C299" s="613"/>
      <c r="D299" s="614"/>
      <c r="E299" s="572">
        <f>(kas*(gdoy*hsuf))*hsuf/2*SIN(beta/180*PI()+delta/180*PI())</f>
        <v>25.308466596707422</v>
      </c>
      <c r="F299" s="658">
        <f>+(bw-(hsuf/3*COS(beta/180*PI()+delta/180*PI())))+bt+bf</f>
        <v>6.3432865049041744</v>
      </c>
      <c r="G299" s="658"/>
      <c r="H299" s="573"/>
      <c r="I299" s="609">
        <f t="shared" si="13"/>
        <v>160.53885462271228</v>
      </c>
      <c r="J299" s="610"/>
      <c r="K299" s="574"/>
    </row>
    <row r="300" spans="1:32" s="193" customFormat="1" ht="15.75" x14ac:dyDescent="0.3">
      <c r="A300" s="433" t="s">
        <v>330</v>
      </c>
      <c r="B300" s="698" t="str">
        <f>+B183</f>
        <v xml:space="preserve"> 0x0x2.4+0x0/2/2x2x2.4=</v>
      </c>
      <c r="C300" s="699"/>
      <c r="D300" s="700"/>
      <c r="E300" s="434">
        <f>+E183</f>
        <v>0</v>
      </c>
      <c r="F300" s="642">
        <f>+F183</f>
        <v>6.25</v>
      </c>
      <c r="G300" s="646"/>
      <c r="H300" s="346"/>
      <c r="I300" s="644">
        <f t="shared" si="12"/>
        <v>0</v>
      </c>
      <c r="J300" s="645"/>
      <c r="K300" s="345"/>
      <c r="P300" s="183"/>
      <c r="Q300" s="425"/>
      <c r="R300" s="425"/>
      <c r="S300" s="425"/>
      <c r="T300" s="181"/>
      <c r="U300" s="426"/>
      <c r="V300" s="426"/>
      <c r="W300" s="432"/>
      <c r="X300" s="427"/>
      <c r="Y300" s="427"/>
      <c r="Z300" s="425"/>
      <c r="AA300" s="168"/>
      <c r="AB300" s="168"/>
      <c r="AC300" s="168"/>
      <c r="AD300" s="168"/>
      <c r="AE300" s="168"/>
      <c r="AF300" s="168"/>
    </row>
    <row r="301" spans="1:32" s="193" customFormat="1" ht="15.75" x14ac:dyDescent="0.2">
      <c r="A301" s="34" t="s">
        <v>212</v>
      </c>
      <c r="B301" s="601" t="str">
        <f>" "&amp;ROUND($J$87,3)&amp;"x"&amp;hs&amp;"x"&amp;$I$30&amp;"x"&amp;gnor&amp;"="</f>
        <v xml:space="preserve"> 2.526x1.5x0x1.8=</v>
      </c>
      <c r="C301" s="602"/>
      <c r="D301" s="603"/>
      <c r="E301" s="434">
        <f>gnor*$J$87*hs*$I$30</f>
        <v>0</v>
      </c>
      <c r="F301" s="642">
        <f>$I$30/2</f>
        <v>0</v>
      </c>
      <c r="G301" s="646"/>
      <c r="H301" s="346"/>
      <c r="I301" s="644">
        <f t="shared" si="12"/>
        <v>0</v>
      </c>
      <c r="J301" s="645"/>
      <c r="K301" s="429"/>
      <c r="P301" s="183"/>
      <c r="Q301" s="425"/>
      <c r="R301" s="425"/>
      <c r="S301" s="425"/>
      <c r="T301" s="181"/>
      <c r="U301" s="426"/>
      <c r="V301" s="426"/>
      <c r="W301" s="432"/>
      <c r="X301" s="427"/>
      <c r="Y301" s="427"/>
      <c r="Z301" s="425"/>
      <c r="AA301" s="168"/>
      <c r="AB301" s="168"/>
      <c r="AC301" s="168"/>
      <c r="AD301" s="168"/>
      <c r="AE301" s="168"/>
      <c r="AF301" s="168"/>
    </row>
    <row r="302" spans="1:32" s="193" customFormat="1" ht="15.75" x14ac:dyDescent="0.3">
      <c r="A302" s="543" t="s">
        <v>213</v>
      </c>
      <c r="B302" s="601" t="str">
        <f>" "&amp;ROUND($J$87,3)&amp;"x"&amp;$I$30&amp;"x"&amp;$I$30&amp;"x"&amp;gnor&amp;"/2="</f>
        <v xml:space="preserve"> 2.526x0x0x1.8/2=</v>
      </c>
      <c r="C302" s="602"/>
      <c r="D302" s="603"/>
      <c r="E302" s="462">
        <f>$J$87*$I$30*$I$30*gnor/2</f>
        <v>0</v>
      </c>
      <c r="F302" s="642">
        <f>$I$30*2/3</f>
        <v>0</v>
      </c>
      <c r="G302" s="646"/>
      <c r="H302" s="346"/>
      <c r="I302" s="644">
        <f t="shared" si="12"/>
        <v>0</v>
      </c>
      <c r="J302" s="645"/>
      <c r="K302" s="542"/>
      <c r="N302" s="347"/>
      <c r="P302" s="183"/>
      <c r="Q302" s="425"/>
      <c r="R302" s="425"/>
      <c r="S302" s="425"/>
      <c r="T302" s="181"/>
      <c r="U302" s="426"/>
      <c r="V302" s="426"/>
      <c r="W302" s="432"/>
      <c r="X302" s="427"/>
      <c r="Y302" s="427"/>
      <c r="Z302" s="425"/>
      <c r="AA302" s="168"/>
      <c r="AB302" s="168"/>
      <c r="AC302" s="168"/>
      <c r="AD302" s="168"/>
      <c r="AE302" s="168"/>
      <c r="AF302" s="168"/>
    </row>
    <row r="303" spans="1:32" s="193" customFormat="1" ht="12.75" hidden="1" x14ac:dyDescent="0.2">
      <c r="A303" s="439"/>
      <c r="B303" s="661"/>
      <c r="C303" s="661"/>
      <c r="D303" s="661"/>
      <c r="E303" s="463"/>
      <c r="F303" s="642"/>
      <c r="G303" s="646"/>
      <c r="H303" s="346"/>
      <c r="I303" s="645"/>
      <c r="J303" s="645"/>
      <c r="K303" s="429"/>
      <c r="N303" s="347"/>
      <c r="P303" s="183"/>
      <c r="Q303" s="425"/>
      <c r="R303" s="425"/>
      <c r="S303" s="425"/>
      <c r="T303" s="181"/>
      <c r="U303" s="426"/>
      <c r="V303" s="426"/>
      <c r="W303" s="432"/>
      <c r="X303" s="427"/>
      <c r="Y303" s="427"/>
      <c r="Z303" s="425"/>
      <c r="AA303" s="168"/>
      <c r="AB303" s="168"/>
      <c r="AC303" s="168"/>
      <c r="AD303" s="168"/>
      <c r="AE303" s="168"/>
      <c r="AF303" s="168"/>
    </row>
    <row r="304" spans="1:32" s="2" customFormat="1" x14ac:dyDescent="0.2">
      <c r="A304" s="28"/>
      <c r="E304" s="310"/>
      <c r="F304" s="662"/>
      <c r="G304" s="662"/>
      <c r="H304" s="29"/>
      <c r="I304" s="30"/>
      <c r="J304" s="28"/>
      <c r="K304" s="28"/>
    </row>
    <row r="305" spans="1:27" s="2" customFormat="1" ht="12.75" x14ac:dyDescent="0.2">
      <c r="A305" s="58" t="s">
        <v>71</v>
      </c>
      <c r="B305" s="8"/>
      <c r="C305" s="8"/>
      <c r="D305" s="37"/>
      <c r="E305" s="465"/>
      <c r="F305" s="8"/>
      <c r="G305" s="8"/>
      <c r="H305" s="16"/>
      <c r="K305" s="8"/>
      <c r="L305" s="70"/>
    </row>
    <row r="306" spans="1:27" s="2" customFormat="1" ht="32.25" customHeight="1" x14ac:dyDescent="0.25">
      <c r="A306" s="632"/>
      <c r="B306" s="632"/>
      <c r="C306" s="633"/>
      <c r="D306" s="633"/>
      <c r="E306" s="464"/>
      <c r="F306" s="39"/>
      <c r="G306" s="40"/>
      <c r="H306" s="41"/>
      <c r="I306" s="9"/>
      <c r="J306" s="9"/>
      <c r="K306" s="40"/>
    </row>
    <row r="307" spans="1:27" s="2" customFormat="1" ht="19.5" customHeight="1" x14ac:dyDescent="0.2">
      <c r="A307" s="9"/>
      <c r="B307" s="42"/>
      <c r="C307" s="9"/>
      <c r="D307" s="43"/>
      <c r="E307" s="464"/>
      <c r="F307" s="40"/>
      <c r="G307" s="40"/>
      <c r="H307" s="41"/>
      <c r="I307" s="9"/>
      <c r="J307" s="9"/>
      <c r="K307" s="40"/>
    </row>
    <row r="308" spans="1:27" s="2" customFormat="1" ht="19.5" customHeight="1" x14ac:dyDescent="0.2">
      <c r="A308" s="40"/>
      <c r="B308" s="40"/>
      <c r="C308" s="40"/>
      <c r="D308" s="44"/>
      <c r="E308" s="465"/>
      <c r="F308" s="8"/>
      <c r="G308" s="8"/>
      <c r="H308" s="16"/>
      <c r="K308" s="8"/>
      <c r="L308" s="1"/>
      <c r="M308" s="1"/>
      <c r="N308" s="1"/>
      <c r="O308" s="1"/>
      <c r="P308" s="1"/>
      <c r="Q308" s="1"/>
      <c r="R308" s="1"/>
      <c r="S308" s="1"/>
      <c r="T308" s="1"/>
      <c r="U308" s="1"/>
    </row>
    <row r="309" spans="1:27" s="2" customFormat="1" ht="15" x14ac:dyDescent="0.25">
      <c r="A309" s="8"/>
      <c r="B309" s="8"/>
      <c r="C309" s="39"/>
      <c r="D309" s="37"/>
      <c r="E309" s="465"/>
      <c r="F309" s="8"/>
      <c r="G309" s="8"/>
      <c r="H309" s="16"/>
      <c r="K309" s="8"/>
      <c r="L309" s="1"/>
      <c r="M309" s="1"/>
      <c r="N309" s="1"/>
      <c r="O309" s="1"/>
      <c r="P309" s="1"/>
      <c r="Q309" s="1"/>
      <c r="R309" s="1"/>
      <c r="S309" s="1"/>
      <c r="T309" s="1"/>
      <c r="U309" s="1"/>
    </row>
    <row r="310" spans="1:27" s="2" customFormat="1" ht="31.5" customHeight="1" x14ac:dyDescent="0.2">
      <c r="A310" s="45"/>
      <c r="B310" s="649"/>
      <c r="C310" s="649"/>
      <c r="D310" s="46" t="s">
        <v>72</v>
      </c>
      <c r="E310" s="181">
        <f>IF(B311&lt;b/6,C319/b*(1+6*B311/b),2/3*C319/(b/2-B311))</f>
        <v>19.717302661851022</v>
      </c>
      <c r="F310" s="48" t="s">
        <v>25</v>
      </c>
      <c r="G310" s="48" t="str">
        <f>IF(E310&lt;I310,"&lt;","&gt;")</f>
        <v>&lt;</v>
      </c>
      <c r="H310" s="46" t="s">
        <v>75</v>
      </c>
      <c r="I310" s="49">
        <f>I49</f>
        <v>400</v>
      </c>
      <c r="J310" s="48" t="s">
        <v>25</v>
      </c>
      <c r="K310" s="50" t="str">
        <f>IF(G310="&lt;","O.K.","not O.K.")</f>
        <v>O.K.</v>
      </c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</row>
    <row r="311" spans="1:27" s="2" customFormat="1" ht="18" x14ac:dyDescent="0.2">
      <c r="A311" s="560">
        <f>+(A315-C315)/C319</f>
        <v>2.7623669118074359</v>
      </c>
      <c r="B311" s="622">
        <f>b/2-A311</f>
        <v>0.86263308819256412</v>
      </c>
      <c r="C311" s="623"/>
      <c r="D311" s="46" t="s">
        <v>73</v>
      </c>
      <c r="E311" s="181">
        <f>IF(B311&lt;b/6,C319/b*(1-6*B311/b),0)</f>
        <v>3.2913504984278679</v>
      </c>
      <c r="F311" s="48" t="s">
        <v>25</v>
      </c>
      <c r="G311" s="48" t="str">
        <f>IF(E311&lt;I311,"&lt;","&gt;")</f>
        <v>&gt;</v>
      </c>
      <c r="H311" s="46" t="s">
        <v>74</v>
      </c>
      <c r="I311" s="49">
        <v>0</v>
      </c>
      <c r="J311" s="48" t="s">
        <v>25</v>
      </c>
      <c r="K311" s="50" t="str">
        <f>IF(E311&lt;I311,"not O.K.","O.K.")</f>
        <v>O.K.</v>
      </c>
      <c r="V311" s="1"/>
      <c r="W311" s="1"/>
      <c r="X311" s="1"/>
      <c r="Y311" s="1"/>
      <c r="Z311" s="1"/>
      <c r="AA311" s="1"/>
    </row>
    <row r="312" spans="1:27" s="2" customFormat="1" ht="14.25" customHeight="1" x14ac:dyDescent="0.2">
      <c r="E312" s="193"/>
      <c r="I312" s="7"/>
      <c r="V312" s="1"/>
      <c r="W312" s="1"/>
      <c r="X312" s="1"/>
      <c r="Y312" s="1"/>
      <c r="Z312" s="1"/>
      <c r="AA312" s="1"/>
    </row>
    <row r="313" spans="1:27" s="2" customFormat="1" ht="12.75" x14ac:dyDescent="0.2">
      <c r="A313" s="58" t="s">
        <v>69</v>
      </c>
      <c r="B313" s="8"/>
      <c r="C313" s="8"/>
      <c r="D313" s="8"/>
      <c r="E313" s="299"/>
      <c r="F313" s="8"/>
      <c r="G313" s="8"/>
      <c r="H313" s="16"/>
      <c r="I313" s="26"/>
      <c r="J313" s="8"/>
      <c r="K313" s="8"/>
    </row>
    <row r="314" spans="1:27" s="2" customFormat="1" ht="33.75" customHeight="1" x14ac:dyDescent="0.25">
      <c r="A314" s="650" t="s">
        <v>64</v>
      </c>
      <c r="B314" s="650"/>
      <c r="C314" s="650" t="s">
        <v>65</v>
      </c>
      <c r="D314" s="650"/>
      <c r="E314" s="727"/>
      <c r="F314" s="728"/>
      <c r="G314" s="52"/>
      <c r="H314" s="53" t="s">
        <v>66</v>
      </c>
      <c r="I314" s="54"/>
      <c r="J314" s="28"/>
      <c r="K314" s="1"/>
    </row>
    <row r="315" spans="1:27" s="2" customFormat="1" ht="12.75" x14ac:dyDescent="0.2">
      <c r="A315" s="621">
        <f>SUM(I285:J292)+I295+I297+I299</f>
        <v>500.17820469714729</v>
      </c>
      <c r="B315" s="621"/>
      <c r="C315" s="621">
        <f>SUM(I293:J294)+I296+I298</f>
        <v>269.77921431201833</v>
      </c>
      <c r="D315" s="621"/>
      <c r="E315" s="622">
        <f>A315/C315</f>
        <v>1.8540279538313749</v>
      </c>
      <c r="F315" s="624"/>
      <c r="G315" s="4" t="str">
        <f>IF(E315&lt;H315,"&lt;","&gt;")</f>
        <v>&gt;</v>
      </c>
      <c r="H315" s="76">
        <v>1.5</v>
      </c>
      <c r="I315" s="5" t="str">
        <f>IF(G315="&gt;","O.K.","not O.K.")</f>
        <v>O.K.</v>
      </c>
      <c r="J315" s="7"/>
      <c r="K315" s="7"/>
    </row>
    <row r="316" spans="1:27" s="2" customFormat="1" ht="12.75" x14ac:dyDescent="0.2">
      <c r="A316" s="8"/>
      <c r="B316" s="8"/>
      <c r="C316" s="8"/>
      <c r="D316" s="8"/>
      <c r="E316" s="299"/>
      <c r="F316" s="8"/>
      <c r="G316" s="8"/>
      <c r="H316" s="16"/>
      <c r="I316" s="26"/>
      <c r="J316" s="8"/>
      <c r="K316" s="8"/>
    </row>
    <row r="317" spans="1:27" s="2" customFormat="1" ht="12.75" x14ac:dyDescent="0.2">
      <c r="A317" s="58" t="s">
        <v>70</v>
      </c>
      <c r="B317" s="8"/>
      <c r="C317" s="8"/>
      <c r="D317" s="8"/>
      <c r="E317" s="299"/>
      <c r="F317" s="8"/>
      <c r="G317" s="8"/>
      <c r="H317" s="16"/>
      <c r="I317" s="26"/>
      <c r="J317" s="8"/>
      <c r="K317" s="8"/>
    </row>
    <row r="318" spans="1:27" ht="33.75" customHeight="1" x14ac:dyDescent="0.2">
      <c r="A318" s="714" t="s">
        <v>67</v>
      </c>
      <c r="B318" s="714"/>
      <c r="C318" s="702" t="s">
        <v>68</v>
      </c>
      <c r="D318" s="702"/>
      <c r="E318" s="294" t="s">
        <v>11</v>
      </c>
      <c r="F318" s="703"/>
      <c r="G318" s="704"/>
      <c r="H318" s="295"/>
      <c r="I318" s="295" t="s">
        <v>66</v>
      </c>
      <c r="J318" s="296"/>
      <c r="K318" s="297"/>
      <c r="L318" s="193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</row>
    <row r="319" spans="1:27" x14ac:dyDescent="0.2">
      <c r="A319" s="621">
        <f>IF((E294+E296+E298-E301-E302)&lt;0,-(E294+E296+E298-E301-E302),(E294+E296+E298-E301-E302))</f>
        <v>33.899789807321767</v>
      </c>
      <c r="B319" s="621"/>
      <c r="C319" s="701">
        <f>SUM(E285:E292)-E293+E295+E297+E299</f>
        <v>83.406367706010968</v>
      </c>
      <c r="D319" s="701"/>
      <c r="E319" s="298">
        <f>I47</f>
        <v>0.65</v>
      </c>
      <c r="F319" s="656">
        <f>C319*E319/A319</f>
        <v>1.5992470548356561</v>
      </c>
      <c r="G319" s="657"/>
      <c r="H319" s="290" t="str">
        <f>IF(F319&lt;I319,"&lt;","&gt;")</f>
        <v>&gt;</v>
      </c>
      <c r="I319" s="291">
        <v>1.5</v>
      </c>
      <c r="J319" s="292" t="str">
        <f>IF(H319="&gt;","O.K.","not O.K.")</f>
        <v>O.K.</v>
      </c>
      <c r="K319" s="299"/>
      <c r="L319" s="193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</row>
    <row r="320" spans="1:27" ht="10.5" customHeight="1" x14ac:dyDescent="0.2">
      <c r="A320" s="47"/>
      <c r="B320" s="47"/>
      <c r="C320" s="181"/>
      <c r="D320" s="181"/>
      <c r="E320" s="303" t="s">
        <v>188</v>
      </c>
      <c r="F320" s="181"/>
      <c r="G320" s="181"/>
      <c r="H320" s="183"/>
      <c r="I320" s="300"/>
      <c r="J320" s="301"/>
      <c r="K320" s="299"/>
      <c r="L320" s="193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</row>
    <row r="321" spans="1:12" s="2" customFormat="1" ht="12.75" x14ac:dyDescent="0.2">
      <c r="A321" s="8"/>
      <c r="B321" s="8"/>
      <c r="C321" s="299"/>
      <c r="D321" s="299"/>
      <c r="E321" s="299"/>
      <c r="F321" s="299"/>
      <c r="G321" s="299"/>
      <c r="H321" s="196"/>
      <c r="I321" s="302"/>
      <c r="J321" s="299"/>
      <c r="K321" s="299"/>
      <c r="L321" s="193"/>
    </row>
    <row r="322" spans="1:12" s="2" customFormat="1" ht="15" x14ac:dyDescent="0.25">
      <c r="A322" s="715" t="s">
        <v>344</v>
      </c>
      <c r="B322" s="715"/>
      <c r="C322" s="715"/>
      <c r="D322" s="715"/>
      <c r="E322" s="715"/>
      <c r="F322" s="715"/>
      <c r="G322" s="715"/>
      <c r="H322" s="715"/>
      <c r="I322" s="715"/>
      <c r="J322" s="715"/>
      <c r="K322" s="715"/>
    </row>
    <row r="323" spans="1:12" s="2" customFormat="1" x14ac:dyDescent="0.2">
      <c r="A323" s="28"/>
      <c r="B323" s="28"/>
      <c r="C323" s="28"/>
      <c r="D323" s="28"/>
      <c r="E323" s="310"/>
      <c r="F323" s="28"/>
      <c r="G323" s="28"/>
      <c r="H323" s="28"/>
      <c r="I323" s="28"/>
      <c r="J323" s="28"/>
      <c r="K323" s="28"/>
    </row>
    <row r="324" spans="1:12" s="2" customFormat="1" x14ac:dyDescent="0.2">
      <c r="A324" s="28"/>
      <c r="B324" s="28"/>
      <c r="C324" s="28"/>
      <c r="D324" s="28"/>
      <c r="E324" s="310"/>
      <c r="F324" s="28"/>
      <c r="G324" s="28"/>
      <c r="H324" s="29"/>
      <c r="I324" s="30"/>
      <c r="J324" s="28"/>
      <c r="K324" s="28"/>
    </row>
    <row r="325" spans="1:12" s="2" customFormat="1" x14ac:dyDescent="0.2">
      <c r="A325" s="28"/>
      <c r="B325" s="28"/>
      <c r="C325" s="28"/>
      <c r="D325" s="28"/>
      <c r="E325" s="310"/>
      <c r="F325" s="28"/>
      <c r="G325" s="28"/>
      <c r="H325" s="29"/>
      <c r="I325" s="30"/>
      <c r="J325" s="28"/>
      <c r="K325" s="28"/>
    </row>
    <row r="326" spans="1:12" s="2" customFormat="1" ht="30.75" customHeight="1" x14ac:dyDescent="0.2">
      <c r="A326" s="28"/>
      <c r="B326" s="28"/>
      <c r="C326" s="28"/>
      <c r="D326" s="28"/>
      <c r="E326" s="310"/>
      <c r="F326" s="28"/>
      <c r="G326" s="28"/>
      <c r="H326" s="29"/>
      <c r="I326" s="30"/>
      <c r="J326" s="28"/>
      <c r="K326" s="28"/>
    </row>
    <row r="327" spans="1:12" s="2" customFormat="1" ht="30.75" customHeight="1" x14ac:dyDescent="0.2">
      <c r="A327" s="28"/>
      <c r="B327" s="28"/>
      <c r="C327" s="28"/>
      <c r="D327" s="28"/>
      <c r="E327" s="310"/>
      <c r="F327" s="28"/>
      <c r="G327" s="28"/>
      <c r="H327" s="29"/>
      <c r="I327" s="30"/>
      <c r="J327" s="28"/>
      <c r="K327" s="28"/>
    </row>
    <row r="328" spans="1:12" s="2" customFormat="1" ht="30.75" customHeight="1" x14ac:dyDescent="0.2">
      <c r="A328" s="28"/>
      <c r="B328" s="28"/>
      <c r="C328" s="28"/>
      <c r="D328" s="28"/>
      <c r="E328" s="310"/>
      <c r="F328" s="28"/>
      <c r="G328" s="28"/>
      <c r="H328" s="29"/>
      <c r="I328" s="30"/>
      <c r="J328" s="28"/>
      <c r="K328" s="28"/>
    </row>
    <row r="329" spans="1:12" s="2" customFormat="1" ht="30.75" customHeight="1" x14ac:dyDescent="0.2">
      <c r="A329" s="28"/>
      <c r="B329" s="28"/>
      <c r="C329" s="28"/>
      <c r="D329" s="28"/>
      <c r="E329" s="310"/>
      <c r="F329" s="28"/>
      <c r="G329" s="28"/>
      <c r="H329" s="29"/>
      <c r="I329" s="30"/>
      <c r="J329" s="28"/>
      <c r="K329" s="28"/>
    </row>
    <row r="330" spans="1:12" s="2" customFormat="1" ht="30.75" customHeight="1" x14ac:dyDescent="0.2">
      <c r="A330" s="28"/>
      <c r="B330" s="28"/>
      <c r="C330" s="28"/>
      <c r="D330" s="28"/>
      <c r="E330" s="310"/>
      <c r="F330" s="28"/>
      <c r="G330" s="28"/>
      <c r="H330" s="29"/>
      <c r="I330" s="30"/>
      <c r="J330" s="28"/>
      <c r="K330" s="28"/>
    </row>
    <row r="331" spans="1:12" s="2" customFormat="1" ht="30.75" customHeight="1" x14ac:dyDescent="0.2">
      <c r="A331" s="28"/>
      <c r="B331" s="28"/>
      <c r="C331" s="28"/>
      <c r="D331" s="28"/>
      <c r="E331" s="310"/>
      <c r="F331" s="28"/>
      <c r="G331" s="28"/>
      <c r="H331" s="29"/>
      <c r="I331" s="30"/>
      <c r="J331" s="28"/>
      <c r="K331" s="28"/>
    </row>
    <row r="332" spans="1:12" s="2" customFormat="1" ht="30.75" customHeight="1" x14ac:dyDescent="0.2">
      <c r="A332" s="28"/>
      <c r="B332" s="28"/>
      <c r="C332" s="28"/>
      <c r="D332" s="28"/>
      <c r="E332" s="310"/>
      <c r="F332" s="28"/>
      <c r="G332" s="28"/>
      <c r="H332" s="29"/>
      <c r="I332" s="30"/>
      <c r="J332" s="28"/>
      <c r="K332" s="28"/>
    </row>
    <row r="333" spans="1:12" s="2" customFormat="1" ht="30.75" customHeight="1" x14ac:dyDescent="0.2">
      <c r="A333" s="28"/>
      <c r="B333" s="28"/>
      <c r="C333" s="28"/>
      <c r="D333" s="28"/>
      <c r="E333" s="310"/>
      <c r="F333" s="28"/>
      <c r="G333" s="28"/>
      <c r="H333" s="29"/>
      <c r="I333" s="30"/>
      <c r="J333" s="28"/>
      <c r="K333" s="28"/>
    </row>
    <row r="334" spans="1:12" s="2" customFormat="1" x14ac:dyDescent="0.2">
      <c r="A334" s="28"/>
      <c r="B334" s="28"/>
      <c r="C334" s="28"/>
      <c r="D334" s="28"/>
      <c r="E334" s="310"/>
      <c r="F334" s="28"/>
      <c r="G334" s="28"/>
      <c r="H334" s="29"/>
      <c r="I334" s="30"/>
      <c r="J334" s="28"/>
      <c r="K334" s="28"/>
    </row>
    <row r="335" spans="1:12" s="2" customFormat="1" ht="26.25" customHeight="1" thickBot="1" x14ac:dyDescent="0.25">
      <c r="A335" s="627" t="s">
        <v>56</v>
      </c>
      <c r="B335" s="627"/>
      <c r="C335" s="627"/>
      <c r="D335" s="627"/>
      <c r="E335" s="627"/>
      <c r="F335" s="627" t="s">
        <v>54</v>
      </c>
      <c r="G335" s="627"/>
      <c r="H335" s="627"/>
      <c r="I335" s="628" t="s">
        <v>55</v>
      </c>
      <c r="J335" s="628"/>
      <c r="K335" s="628"/>
    </row>
    <row r="336" spans="1:12" s="2" customFormat="1" ht="16.5" thickTop="1" x14ac:dyDescent="0.2">
      <c r="A336" s="31" t="s">
        <v>57</v>
      </c>
      <c r="B336" s="629" t="str">
        <f>" "&amp;ROUND((bw-bt),2)&amp;"x"&amp;hw&amp;"x"&amp;gc&amp;"/2="</f>
        <v xml:space="preserve"> 5.25x7.1x2.4/2=</v>
      </c>
      <c r="C336" s="630"/>
      <c r="D336" s="631"/>
      <c r="E336" s="461">
        <f>(bw-bt)*hw*gc/2</f>
        <v>44.73</v>
      </c>
      <c r="F336" s="615">
        <f>(bw-bt)/3+bt+bf</f>
        <v>3.25</v>
      </c>
      <c r="G336" s="616"/>
      <c r="H336" s="32"/>
      <c r="I336" s="617">
        <f>E336*F336</f>
        <v>145.3725</v>
      </c>
      <c r="J336" s="618"/>
      <c r="K336" s="33"/>
    </row>
    <row r="337" spans="1:13" s="2" customFormat="1" ht="15.75" x14ac:dyDescent="0.2">
      <c r="A337" s="34" t="s">
        <v>58</v>
      </c>
      <c r="B337" s="601" t="str">
        <f>" " &amp;hw&amp; "x"&amp;bt&amp; "x"&amp;gc&amp;"="</f>
        <v xml:space="preserve"> 7.1x1x2.4=</v>
      </c>
      <c r="C337" s="602"/>
      <c r="D337" s="603"/>
      <c r="E337" s="467">
        <f>hw*bt*gc</f>
        <v>17.04</v>
      </c>
      <c r="F337" s="712">
        <f>bt*0.5+bf</f>
        <v>1</v>
      </c>
      <c r="G337" s="713"/>
      <c r="H337" s="35"/>
      <c r="I337" s="643">
        <f>E337*F337</f>
        <v>17.04</v>
      </c>
      <c r="J337" s="644"/>
      <c r="K337" s="36"/>
    </row>
    <row r="338" spans="1:13" s="2" customFormat="1" ht="15.75" x14ac:dyDescent="0.2">
      <c r="A338" s="34" t="s">
        <v>59</v>
      </c>
      <c r="B338" s="601" t="str">
        <f>" " &amp;ROUND(b,2)&amp;"x"&amp;hs&amp;"x"&amp;gc&amp;"="</f>
        <v xml:space="preserve"> 7.25x1.5x2.4=</v>
      </c>
      <c r="C338" s="602"/>
      <c r="D338" s="603"/>
      <c r="E338" s="434">
        <f>b*hs*gc</f>
        <v>26.099999999999998</v>
      </c>
      <c r="F338" s="641">
        <f>b/2</f>
        <v>3.625</v>
      </c>
      <c r="G338" s="642"/>
      <c r="H338" s="35"/>
      <c r="I338" s="643">
        <f>E338*F338</f>
        <v>94.612499999999997</v>
      </c>
      <c r="J338" s="644"/>
      <c r="K338" s="36"/>
    </row>
    <row r="339" spans="1:13" s="2" customFormat="1" ht="12.75" hidden="1" x14ac:dyDescent="0.2">
      <c r="A339" s="34"/>
      <c r="B339" s="663"/>
      <c r="C339" s="663"/>
      <c r="D339" s="663"/>
      <c r="E339" s="434"/>
      <c r="F339" s="642"/>
      <c r="G339" s="646"/>
      <c r="H339" s="35"/>
      <c r="I339" s="644">
        <f t="shared" ref="I339:I344" si="14">E339*F339</f>
        <v>0</v>
      </c>
      <c r="J339" s="645"/>
      <c r="K339" s="222"/>
    </row>
    <row r="340" spans="1:13" s="2" customFormat="1" ht="12.75" hidden="1" x14ac:dyDescent="0.2">
      <c r="A340" s="34"/>
      <c r="B340" s="661"/>
      <c r="C340" s="661"/>
      <c r="D340" s="661"/>
      <c r="E340" s="434"/>
      <c r="F340" s="642"/>
      <c r="G340" s="646"/>
      <c r="H340" s="35"/>
      <c r="I340" s="644">
        <f t="shared" si="14"/>
        <v>0</v>
      </c>
      <c r="J340" s="645"/>
      <c r="K340" s="222"/>
    </row>
    <row r="341" spans="1:13" s="2" customFormat="1" ht="12.75" hidden="1" x14ac:dyDescent="0.2">
      <c r="A341" s="34"/>
      <c r="B341" s="661"/>
      <c r="C341" s="661"/>
      <c r="D341" s="661"/>
      <c r="E341" s="434"/>
      <c r="F341" s="642"/>
      <c r="G341" s="646"/>
      <c r="H341" s="35"/>
      <c r="I341" s="644">
        <f t="shared" si="14"/>
        <v>0</v>
      </c>
      <c r="J341" s="645"/>
      <c r="K341" s="222"/>
    </row>
    <row r="342" spans="1:13" s="2" customFormat="1" ht="12.75" hidden="1" x14ac:dyDescent="0.2">
      <c r="A342" s="34"/>
      <c r="B342" s="661"/>
      <c r="C342" s="661"/>
      <c r="D342" s="661"/>
      <c r="E342" s="434"/>
      <c r="F342" s="642"/>
      <c r="G342" s="646"/>
      <c r="H342" s="35"/>
      <c r="I342" s="644">
        <f t="shared" si="14"/>
        <v>0</v>
      </c>
      <c r="J342" s="645"/>
      <c r="K342" s="222"/>
      <c r="M342" s="2">
        <f>gdoy*(hsus-hsui)+gnor*(h-0.5-hsus)</f>
        <v>12.222</v>
      </c>
    </row>
    <row r="343" spans="1:13" s="2" customFormat="1" ht="15.75" x14ac:dyDescent="0.2">
      <c r="A343" s="34" t="s">
        <v>87</v>
      </c>
      <c r="B343" s="601" t="str">
        <f>bf&amp;"x"&amp;ROUND(p,2)&amp;"x"&amp;ROUND(gw,2)</f>
        <v>0.5x1.1x1</v>
      </c>
      <c r="C343" s="602"/>
      <c r="D343" s="603"/>
      <c r="E343" s="434">
        <f>bf*p*gw</f>
        <v>0.55000000000000004</v>
      </c>
      <c r="F343" s="625">
        <f>bf/2</f>
        <v>0.25</v>
      </c>
      <c r="G343" s="626"/>
      <c r="H343" s="35"/>
      <c r="I343" s="643">
        <f t="shared" si="14"/>
        <v>0.13750000000000001</v>
      </c>
      <c r="J343" s="644"/>
      <c r="K343" s="222"/>
    </row>
    <row r="344" spans="1:13" s="2" customFormat="1" ht="15" customHeight="1" x14ac:dyDescent="0.2">
      <c r="A344" s="34" t="s">
        <v>82</v>
      </c>
      <c r="B344" s="601" t="str">
        <f>" "&amp;gw&amp;"x("&amp;ROUND(hsus,2)&amp;"+"&amp;hsui&amp;")x"&amp;ROUND(b,2)&amp;"/2="</f>
        <v xml:space="preserve"> 1x(3.21+1.5)x7.25/2=</v>
      </c>
      <c r="C344" s="602"/>
      <c r="D344" s="603"/>
      <c r="E344" s="434">
        <f>gw*(hsus+hsui)*b/2</f>
        <v>17.07375</v>
      </c>
      <c r="F344" s="641">
        <f>((hsus-hsui)*b/2*2*b/3+hsui*b*b/2)/((hsus+hsui)*b/2)</f>
        <v>4.0636942675159231</v>
      </c>
      <c r="G344" s="642"/>
      <c r="H344" s="35"/>
      <c r="I344" s="643">
        <f t="shared" si="14"/>
        <v>69.382499999999993</v>
      </c>
      <c r="J344" s="644"/>
      <c r="K344" s="36"/>
      <c r="M344" s="2">
        <f>hsui*(gdoy-gw)</f>
        <v>1.5</v>
      </c>
    </row>
    <row r="345" spans="1:13" s="575" customFormat="1" ht="15.75" x14ac:dyDescent="0.2">
      <c r="A345" s="571" t="s">
        <v>354</v>
      </c>
      <c r="B345" s="604" t="str">
        <f>" "&amp;ROUND(kas,3)&amp;"x"&amp;ROUND(h-hsus,3)&amp;"²x"&amp;ROUND(gdoy,2)&amp;"/2xcos("&amp;(ROUND(delta,2)&amp;"+"&amp;(ROUND(beta,2))&amp;")=")</f>
        <v xml:space="preserve"> 0.75x5.39²x2/2xcos(13.92+36.48)=</v>
      </c>
      <c r="C345" s="605"/>
      <c r="D345" s="606"/>
      <c r="E345" s="572">
        <f>kas*(h-hsus)^2*gnor/2*COS(beta/180*PI()+delta/180*PI())</f>
        <v>12.493566627376419</v>
      </c>
      <c r="F345" s="607">
        <f>(h-hsus)/3+hsus</f>
        <v>5.0066666666666668</v>
      </c>
      <c r="G345" s="608"/>
      <c r="H345" s="573"/>
      <c r="I345" s="609">
        <f>E345*F345</f>
        <v>62.551123581064608</v>
      </c>
      <c r="J345" s="610"/>
      <c r="K345" s="574"/>
      <c r="L345" s="611"/>
      <c r="M345" s="611"/>
    </row>
    <row r="346" spans="1:13" s="575" customFormat="1" ht="15.75" x14ac:dyDescent="0.2">
      <c r="A346" s="571" t="s">
        <v>355</v>
      </c>
      <c r="B346" s="604" t="str">
        <f>" "&amp;ROUND(kas,3)&amp;"x"&amp;ROUND(h-hsus,3)&amp;"²x"&amp;ROUND(gdoy,2)&amp;"/2xsin("&amp;(ROUND(delta,2)&amp;"+"&amp;(ROUND(beta,2))&amp;")=")</f>
        <v xml:space="preserve"> 0.75x5.39²x2/2xsin(13.92+36.48)=</v>
      </c>
      <c r="C346" s="605"/>
      <c r="D346" s="606"/>
      <c r="E346" s="572">
        <f>kas*(h-hsus)^2*gnor/2*SIN(beta/180*PI()+delta/180*PI())</f>
        <v>15.099754752438898</v>
      </c>
      <c r="F346" s="607">
        <f>+bf+bt+((h-hsus)*SIN(beta/180*PI()+delta/180*PI()))/3*2</f>
        <v>4.2685341290255465</v>
      </c>
      <c r="G346" s="608"/>
      <c r="H346" s="573"/>
      <c r="I346" s="609">
        <f>E346*F346</f>
        <v>64.453818500701132</v>
      </c>
      <c r="J346" s="610"/>
      <c r="K346" s="574"/>
      <c r="L346" s="611"/>
      <c r="M346" s="611"/>
    </row>
    <row r="347" spans="1:13" s="575" customFormat="1" ht="15.75" x14ac:dyDescent="0.2">
      <c r="A347" s="571" t="s">
        <v>356</v>
      </c>
      <c r="B347" s="612" t="str">
        <f>ROUND(kas,3)&amp;"x"&amp;ROUND(gdoy,2)&amp;"x"&amp;ROUND((h-hsus),2)&amp;"x"&amp;ROUND((hsus),2)&amp;" x cos("&amp;(ROUND(delta,2)&amp;"+"&amp;(ROUND(beta,2))&amp;")=")</f>
        <v>0.75x2x5.39x3.21 x cos(13.92+36.48)=</v>
      </c>
      <c r="C347" s="613"/>
      <c r="D347" s="614"/>
      <c r="E347" s="572">
        <f>kas*((gnor*(h-hsus))*hsus)*COS(beta/180*PI()+delta/180*PI())</f>
        <v>14.881019990307349</v>
      </c>
      <c r="F347" s="607">
        <f>+hsus/2</f>
        <v>1.605</v>
      </c>
      <c r="G347" s="608"/>
      <c r="H347" s="573"/>
      <c r="I347" s="609">
        <f t="shared" ref="I347:I355" si="15">E347*F347</f>
        <v>23.884037084443296</v>
      </c>
      <c r="J347" s="610"/>
      <c r="K347" s="574"/>
      <c r="L347" s="611"/>
      <c r="M347" s="611"/>
    </row>
    <row r="348" spans="1:13" s="575" customFormat="1" ht="15.75" x14ac:dyDescent="0.2">
      <c r="A348" s="571" t="s">
        <v>357</v>
      </c>
      <c r="B348" s="604" t="str">
        <f>ROUND(kas,3)&amp;"x"&amp;ROUND(gdoy,2)&amp;"x"&amp;ROUND((h-hsus),2)&amp;"x"&amp;ROUND((hsus),2)&amp;" x sin("&amp;(ROUND(delta,2)&amp;"+"&amp;(ROUND(beta,2))&amp;")=")</f>
        <v>0.75x2x5.39x3.21 x sin(13.92+36.48)=</v>
      </c>
      <c r="C348" s="605"/>
      <c r="D348" s="606"/>
      <c r="E348" s="572">
        <f>kas*((gnor*(h-hsus))*hsus)*SIN(beta/180*PI()+delta/180*PI())</f>
        <v>17.985236643906816</v>
      </c>
      <c r="F348" s="607">
        <f>+(bw-(hsus/2*COS(beta/180*PI()+delta/180*PI())))+bt+bf</f>
        <v>6.7268390515277341</v>
      </c>
      <c r="G348" s="608"/>
      <c r="H348" s="573"/>
      <c r="I348" s="609">
        <f t="shared" ref="I348" si="16">E348*F348</f>
        <v>120.98379220719998</v>
      </c>
      <c r="J348" s="610"/>
      <c r="K348" s="574"/>
      <c r="L348" s="611"/>
      <c r="M348" s="611"/>
    </row>
    <row r="349" spans="1:13" s="575" customFormat="1" ht="15.75" x14ac:dyDescent="0.2">
      <c r="A349" s="571" t="s">
        <v>358</v>
      </c>
      <c r="B349" s="604" t="str">
        <f>ROUND(kas,3)&amp;"x"&amp;"("&amp;ROUND(gdoy,2)&amp;"x"&amp;ROUND(hsus,2)&amp;")"&amp;"/2"&amp;"x"&amp;hsus&amp;" xcos("&amp;(ROUND(delta,2)&amp;"+"&amp;(ROUND(beta,2))&amp;")=")</f>
        <v>0.75x(2x3.21)/2x3.21 xcos(13.92+36.48)=</v>
      </c>
      <c r="C349" s="605"/>
      <c r="D349" s="606"/>
      <c r="E349" s="572">
        <f>(kas*(gdoy*hsus))*hsus/2*COS(beta/180*PI()+delta/180*PI())</f>
        <v>4.9235285682216654</v>
      </c>
      <c r="F349" s="607">
        <f>+hsus/3</f>
        <v>1.07</v>
      </c>
      <c r="G349" s="608"/>
      <c r="H349" s="573"/>
      <c r="I349" s="609">
        <f t="shared" si="15"/>
        <v>5.268175567997182</v>
      </c>
      <c r="J349" s="610"/>
      <c r="K349" s="574"/>
      <c r="L349" s="611"/>
      <c r="M349" s="611"/>
    </row>
    <row r="350" spans="1:13" s="575" customFormat="1" ht="15.75" x14ac:dyDescent="0.2">
      <c r="A350" s="571" t="s">
        <v>359</v>
      </c>
      <c r="B350" s="604" t="str">
        <f>ROUND(kas,3)&amp;"x"&amp;"("&amp;ROUND(gdoy,2)&amp;"x"&amp;ROUND(hsus,2)&amp;")"&amp;"/2"&amp;"x"&amp;hsus&amp;" xsin("&amp;(ROUND(delta,2)&amp;"+"&amp;(ROUND(beta,2))&amp;")=")</f>
        <v>0.75x(2x3.21)/2x3.21 xsin(13.92+36.48)=</v>
      </c>
      <c r="C350" s="605"/>
      <c r="D350" s="606"/>
      <c r="E350" s="572">
        <f>(kas*(gdoy*hsus))*hsus/2*SIN(beta/180*PI()+delta/180*PI())</f>
        <v>5.9505884999939065</v>
      </c>
      <c r="F350" s="607">
        <f>+(bw-(hsus/3*COS(beta/180*PI()+delta/180*PI())))+bt+bf</f>
        <v>7.0678927010184891</v>
      </c>
      <c r="G350" s="608"/>
      <c r="H350" s="573"/>
      <c r="I350" s="609">
        <f t="shared" ref="I350" si="17">E350*F350</f>
        <v>42.058121025871493</v>
      </c>
      <c r="J350" s="610"/>
      <c r="K350" s="574"/>
      <c r="L350" s="611"/>
      <c r="M350" s="611"/>
    </row>
    <row r="351" spans="1:13" s="2" customFormat="1" ht="15.75" x14ac:dyDescent="0.2">
      <c r="A351" s="34" t="s">
        <v>92</v>
      </c>
      <c r="B351" s="601" t="str">
        <f>" "&amp;gw&amp;"x"&amp;ROUND(hsus,2)&amp;"²/2="</f>
        <v xml:space="preserve"> 1x3.21²/2=</v>
      </c>
      <c r="C351" s="602"/>
      <c r="D351" s="603"/>
      <c r="E351" s="434">
        <f>0.5*hsus^2*gw</f>
        <v>5.15205</v>
      </c>
      <c r="F351" s="641">
        <f>hsus/3</f>
        <v>1.07</v>
      </c>
      <c r="G351" s="642"/>
      <c r="H351" s="35"/>
      <c r="I351" s="643">
        <f t="shared" si="15"/>
        <v>5.5126935000000001</v>
      </c>
      <c r="J351" s="644"/>
      <c r="K351" s="36"/>
    </row>
    <row r="352" spans="1:13" s="2" customFormat="1" ht="15.75" x14ac:dyDescent="0.2">
      <c r="A352" s="34" t="s">
        <v>93</v>
      </c>
      <c r="B352" s="601" t="str">
        <f>" "&amp;gw&amp;"x"&amp;(hsui)&amp;"²/2="</f>
        <v xml:space="preserve"> 1x1.5²/2=</v>
      </c>
      <c r="C352" s="602"/>
      <c r="D352" s="603"/>
      <c r="E352" s="434">
        <f>0.5*(hsui)^2*gw</f>
        <v>1.125</v>
      </c>
      <c r="F352" s="641">
        <f>(hsui)/3</f>
        <v>0.5</v>
      </c>
      <c r="G352" s="642"/>
      <c r="H352" s="35"/>
      <c r="I352" s="643">
        <f t="shared" si="15"/>
        <v>0.5625</v>
      </c>
      <c r="J352" s="644"/>
      <c r="K352" s="36"/>
    </row>
    <row r="353" spans="1:32" s="193" customFormat="1" ht="15.75" x14ac:dyDescent="0.3">
      <c r="A353" s="433" t="s">
        <v>330</v>
      </c>
      <c r="B353" s="698" t="str">
        <f>+B183</f>
        <v xml:space="preserve"> 0x0x2.4+0x0/2/2x2x2.4=</v>
      </c>
      <c r="C353" s="699"/>
      <c r="D353" s="700"/>
      <c r="E353" s="434">
        <f>+E300</f>
        <v>0</v>
      </c>
      <c r="F353" s="642">
        <f>+F300</f>
        <v>6.25</v>
      </c>
      <c r="G353" s="646"/>
      <c r="H353" s="346"/>
      <c r="I353" s="644">
        <f t="shared" si="15"/>
        <v>0</v>
      </c>
      <c r="J353" s="645"/>
      <c r="K353" s="345"/>
      <c r="P353" s="183"/>
      <c r="Q353" s="425"/>
      <c r="R353" s="425"/>
      <c r="S353" s="425"/>
      <c r="T353" s="181"/>
      <c r="U353" s="426"/>
      <c r="V353" s="426"/>
      <c r="W353" s="432"/>
      <c r="X353" s="427"/>
      <c r="Y353" s="427"/>
      <c r="Z353" s="425"/>
      <c r="AA353" s="168"/>
      <c r="AB353" s="168"/>
      <c r="AC353" s="168"/>
      <c r="AD353" s="168"/>
      <c r="AE353" s="168"/>
      <c r="AF353" s="168"/>
    </row>
    <row r="354" spans="1:32" s="193" customFormat="1" ht="15.75" x14ac:dyDescent="0.2">
      <c r="A354" s="34" t="s">
        <v>212</v>
      </c>
      <c r="B354" s="601" t="str">
        <f>" "&amp;ROUND($J$87,3)&amp;"x"&amp;hs&amp;"x"&amp;$I$30&amp;"x"&amp;gnor&amp;"="</f>
        <v xml:space="preserve"> 2.526x1.5x0x1.8=</v>
      </c>
      <c r="C354" s="602"/>
      <c r="D354" s="603"/>
      <c r="E354" s="434">
        <f>gnor*$J$87*hs*$I$30</f>
        <v>0</v>
      </c>
      <c r="F354" s="642">
        <f>$I$30/2</f>
        <v>0</v>
      </c>
      <c r="G354" s="646"/>
      <c r="H354" s="346"/>
      <c r="I354" s="644">
        <f t="shared" si="15"/>
        <v>0</v>
      </c>
      <c r="J354" s="645"/>
      <c r="K354" s="429"/>
      <c r="P354" s="183"/>
      <c r="Q354" s="425"/>
      <c r="R354" s="425"/>
      <c r="S354" s="425"/>
      <c r="T354" s="181"/>
      <c r="U354" s="426"/>
      <c r="V354" s="426"/>
      <c r="W354" s="432"/>
      <c r="X354" s="427"/>
      <c r="Y354" s="427"/>
      <c r="Z354" s="425"/>
      <c r="AA354" s="168"/>
      <c r="AB354" s="168"/>
      <c r="AC354" s="168"/>
      <c r="AD354" s="168"/>
      <c r="AE354" s="168"/>
      <c r="AF354" s="168"/>
    </row>
    <row r="355" spans="1:32" s="193" customFormat="1" ht="15.75" x14ac:dyDescent="0.3">
      <c r="A355" s="569" t="s">
        <v>213</v>
      </c>
      <c r="B355" s="601" t="str">
        <f>" "&amp;ROUND($J$87,3)&amp;"x"&amp;$I$30&amp;"x"&amp;$I$30&amp;"x"&amp;gnor&amp;"/2="</f>
        <v xml:space="preserve"> 2.526x0x0x1.8/2=</v>
      </c>
      <c r="C355" s="602"/>
      <c r="D355" s="603"/>
      <c r="E355" s="462">
        <f>$J$87*$I$30*$I$30*gnor/2</f>
        <v>0</v>
      </c>
      <c r="F355" s="642">
        <f>$I$30*2/3</f>
        <v>0</v>
      </c>
      <c r="G355" s="646"/>
      <c r="H355" s="346"/>
      <c r="I355" s="644">
        <f t="shared" si="15"/>
        <v>0</v>
      </c>
      <c r="J355" s="645"/>
      <c r="K355" s="544"/>
      <c r="N355" s="347"/>
      <c r="P355" s="183"/>
      <c r="Q355" s="425"/>
      <c r="R355" s="425"/>
      <c r="S355" s="425"/>
      <c r="T355" s="181"/>
      <c r="U355" s="426"/>
      <c r="V355" s="426"/>
      <c r="W355" s="432"/>
      <c r="X355" s="427"/>
      <c r="Y355" s="427"/>
      <c r="Z355" s="425"/>
      <c r="AA355" s="168"/>
      <c r="AB355" s="168"/>
      <c r="AC355" s="168"/>
      <c r="AD355" s="168"/>
      <c r="AE355" s="168"/>
      <c r="AF355" s="168"/>
    </row>
    <row r="356" spans="1:32" s="2" customFormat="1" ht="10.5" customHeight="1" x14ac:dyDescent="0.2">
      <c r="A356" s="28"/>
      <c r="B356" s="28"/>
      <c r="C356" s="28"/>
      <c r="D356" s="28"/>
      <c r="E356" s="310"/>
      <c r="F356" s="664"/>
      <c r="G356" s="664"/>
      <c r="H356" s="29"/>
      <c r="I356" s="30"/>
      <c r="J356" s="28"/>
      <c r="K356" s="28"/>
    </row>
    <row r="357" spans="1:32" s="2" customFormat="1" ht="12.75" x14ac:dyDescent="0.2">
      <c r="A357" s="58" t="s">
        <v>71</v>
      </c>
      <c r="B357" s="8"/>
      <c r="C357" s="8"/>
      <c r="D357" s="37"/>
      <c r="E357" s="465"/>
      <c r="F357" s="8"/>
      <c r="G357" s="8"/>
      <c r="H357" s="16"/>
      <c r="K357" s="8"/>
    </row>
    <row r="358" spans="1:32" s="2" customFormat="1" ht="29.25" customHeight="1" x14ac:dyDescent="0.25">
      <c r="A358" s="632"/>
      <c r="B358" s="632"/>
      <c r="C358" s="633"/>
      <c r="D358" s="633"/>
      <c r="E358" s="464"/>
      <c r="F358" s="39"/>
      <c r="G358" s="40"/>
      <c r="H358" s="41"/>
      <c r="I358" s="9"/>
      <c r="J358" s="9"/>
      <c r="K358" s="40"/>
    </row>
    <row r="359" spans="1:32" s="2" customFormat="1" ht="18" customHeight="1" x14ac:dyDescent="0.2">
      <c r="A359" s="9"/>
      <c r="B359" s="42"/>
      <c r="C359" s="9"/>
      <c r="D359" s="43"/>
      <c r="E359" s="464"/>
      <c r="F359" s="40"/>
      <c r="G359" s="40"/>
      <c r="H359" s="41"/>
      <c r="I359" s="9"/>
      <c r="J359" s="9"/>
      <c r="K359" s="40"/>
    </row>
    <row r="360" spans="1:32" s="2" customFormat="1" ht="18" customHeight="1" x14ac:dyDescent="0.2">
      <c r="A360" s="40"/>
      <c r="B360" s="40"/>
      <c r="C360" s="40"/>
      <c r="D360" s="44"/>
      <c r="E360" s="465"/>
      <c r="F360" s="8"/>
      <c r="G360" s="8"/>
      <c r="H360" s="16"/>
      <c r="K360" s="8"/>
    </row>
    <row r="361" spans="1:32" s="2" customFormat="1" ht="14.25" customHeight="1" x14ac:dyDescent="0.25">
      <c r="A361" s="8"/>
      <c r="B361" s="8"/>
      <c r="C361" s="39"/>
      <c r="D361" s="37"/>
      <c r="E361" s="465"/>
      <c r="F361" s="8"/>
      <c r="G361" s="8"/>
      <c r="H361" s="16"/>
      <c r="K361" s="8"/>
    </row>
    <row r="362" spans="1:32" s="2" customFormat="1" ht="30" customHeight="1" x14ac:dyDescent="0.2">
      <c r="A362" s="45"/>
      <c r="B362" s="649"/>
      <c r="C362" s="649"/>
      <c r="D362" s="46" t="s">
        <v>72</v>
      </c>
      <c r="E362" s="181">
        <f>IF(B363&lt;b/6,C371/b*(1+6*B363/b),2/3*C371/(b/2-B363))</f>
        <v>24.529652413645533</v>
      </c>
      <c r="F362" s="48" t="s">
        <v>25</v>
      </c>
      <c r="G362" s="48" t="str">
        <f>IF(E362&lt;I362,"&lt;","&gt;")</f>
        <v>&lt;</v>
      </c>
      <c r="H362" s="46" t="s">
        <v>75</v>
      </c>
      <c r="I362" s="49">
        <f>I49</f>
        <v>400</v>
      </c>
      <c r="J362" s="48" t="s">
        <v>25</v>
      </c>
      <c r="K362" s="50" t="str">
        <f>IF(G362="&lt;","O.K.","not O.K.")</f>
        <v>O.K.</v>
      </c>
    </row>
    <row r="363" spans="1:32" s="2" customFormat="1" ht="14.25" customHeight="1" x14ac:dyDescent="0.2">
      <c r="A363" s="560">
        <f>+(A367-C367)/C371</f>
        <v>2.8865457503240162</v>
      </c>
      <c r="B363" s="656">
        <f>b/2-A363</f>
        <v>0.73845424967598383</v>
      </c>
      <c r="C363" s="660"/>
      <c r="D363" s="304" t="s">
        <v>73</v>
      </c>
      <c r="E363" s="181">
        <f>IF(B363&lt;b/6,C371/b*(1-6*B363/b),0)</f>
        <v>5.9205075577584951</v>
      </c>
      <c r="F363" s="183" t="s">
        <v>25</v>
      </c>
      <c r="G363" s="183" t="str">
        <f>IF(E363&lt;I363,"&lt;","&gt;")</f>
        <v>&gt;</v>
      </c>
      <c r="H363" s="304" t="s">
        <v>74</v>
      </c>
      <c r="I363" s="305">
        <v>0</v>
      </c>
      <c r="J363" s="183" t="s">
        <v>25</v>
      </c>
      <c r="K363" s="306" t="str">
        <f>IF(E363&lt;I363,"not O.K.","O.K.")</f>
        <v>O.K.</v>
      </c>
      <c r="L363" s="193"/>
      <c r="M363" s="193"/>
      <c r="N363" s="236"/>
      <c r="O363" s="236"/>
      <c r="P363" s="236"/>
    </row>
    <row r="364" spans="1:32" s="2" customFormat="1" ht="14.25" customHeight="1" x14ac:dyDescent="0.2">
      <c r="A364" s="193"/>
      <c r="B364" s="193"/>
      <c r="C364" s="193"/>
      <c r="D364" s="193"/>
      <c r="E364" s="193"/>
      <c r="F364" s="193"/>
      <c r="G364" s="193"/>
      <c r="H364" s="193"/>
      <c r="I364" s="293"/>
      <c r="J364" s="193"/>
      <c r="K364" s="193"/>
      <c r="L364" s="193"/>
      <c r="M364" s="193"/>
      <c r="N364" s="236"/>
      <c r="O364" s="236"/>
      <c r="P364" s="236"/>
    </row>
    <row r="365" spans="1:32" s="2" customFormat="1" ht="14.25" customHeight="1" x14ac:dyDescent="0.2">
      <c r="A365" s="307" t="s">
        <v>69</v>
      </c>
      <c r="B365" s="299"/>
      <c r="C365" s="299"/>
      <c r="D365" s="299"/>
      <c r="E365" s="299"/>
      <c r="F365" s="299"/>
      <c r="G365" s="299"/>
      <c r="H365" s="196"/>
      <c r="I365" s="302"/>
      <c r="J365" s="299"/>
      <c r="K365" s="299"/>
      <c r="L365" s="193"/>
      <c r="M365" s="193"/>
      <c r="N365" s="236"/>
      <c r="O365" s="236"/>
      <c r="P365" s="236"/>
    </row>
    <row r="366" spans="1:32" s="2" customFormat="1" ht="30" customHeight="1" x14ac:dyDescent="0.25">
      <c r="A366" s="702" t="s">
        <v>64</v>
      </c>
      <c r="B366" s="702"/>
      <c r="C366" s="702" t="s">
        <v>65</v>
      </c>
      <c r="D366" s="702"/>
      <c r="E366" s="710"/>
      <c r="F366" s="711"/>
      <c r="G366" s="308"/>
      <c r="H366" s="295" t="s">
        <v>66</v>
      </c>
      <c r="I366" s="309"/>
      <c r="J366" s="310"/>
      <c r="K366" s="261"/>
      <c r="L366" s="193"/>
      <c r="M366" s="193"/>
      <c r="N366" s="236"/>
      <c r="O366" s="236"/>
      <c r="P366" s="236"/>
    </row>
    <row r="367" spans="1:32" s="2" customFormat="1" ht="14.25" customHeight="1" x14ac:dyDescent="0.2">
      <c r="A367" s="701">
        <f>SUM(I336:J343)+I352+I346+I348+I350</f>
        <v>485.2207317337726</v>
      </c>
      <c r="B367" s="701"/>
      <c r="C367" s="701">
        <f>+I344+I345+I347+I349+I351</f>
        <v>166.5985297335051</v>
      </c>
      <c r="D367" s="701"/>
      <c r="E367" s="656">
        <f>A367/C367</f>
        <v>2.9125150894785388</v>
      </c>
      <c r="F367" s="657"/>
      <c r="G367" s="290" t="str">
        <f>IF(ROUND(E367,1)&lt;H367,"&lt;","&gt;")</f>
        <v>&gt;</v>
      </c>
      <c r="H367" s="291">
        <v>1.5</v>
      </c>
      <c r="I367" s="292" t="str">
        <f>IF(G367="&gt;","O.K.","not O.K.")</f>
        <v>O.K.</v>
      </c>
      <c r="J367" s="293"/>
      <c r="K367" s="293"/>
      <c r="L367" s="168"/>
      <c r="M367" s="168"/>
      <c r="N367" s="729"/>
      <c r="O367" s="729"/>
      <c r="P367" s="237"/>
      <c r="Q367" s="9"/>
      <c r="R367" s="9"/>
    </row>
    <row r="368" spans="1:32" s="2" customFormat="1" ht="14.25" customHeight="1" x14ac:dyDescent="0.2">
      <c r="A368" s="299"/>
      <c r="B368" s="299"/>
      <c r="C368" s="299"/>
      <c r="D368" s="299"/>
      <c r="E368" s="299"/>
      <c r="F368" s="299"/>
      <c r="G368" s="299"/>
      <c r="H368" s="196"/>
      <c r="I368" s="302"/>
      <c r="J368" s="299"/>
      <c r="K368" s="299"/>
      <c r="L368" s="168"/>
      <c r="M368" s="168"/>
      <c r="N368" s="233"/>
      <c r="O368" s="233"/>
      <c r="P368" s="238"/>
      <c r="Q368" s="223"/>
      <c r="R368" s="9"/>
    </row>
    <row r="369" spans="1:27" s="2" customFormat="1" ht="14.25" customHeight="1" x14ac:dyDescent="0.2">
      <c r="A369" s="307" t="s">
        <v>70</v>
      </c>
      <c r="B369" s="299"/>
      <c r="C369" s="299"/>
      <c r="D369" s="299"/>
      <c r="E369" s="299"/>
      <c r="F369" s="299"/>
      <c r="G369" s="299"/>
      <c r="H369" s="196"/>
      <c r="I369" s="302"/>
      <c r="J369" s="299"/>
      <c r="K369" s="299"/>
      <c r="L369" s="671"/>
      <c r="M369" s="671"/>
      <c r="N369" s="234"/>
      <c r="O369" s="234"/>
      <c r="P369" s="234"/>
      <c r="Q369" s="47"/>
      <c r="R369" s="9"/>
    </row>
    <row r="370" spans="1:27" s="2" customFormat="1" ht="30" customHeight="1" x14ac:dyDescent="0.2">
      <c r="A370" s="702" t="s">
        <v>67</v>
      </c>
      <c r="B370" s="702"/>
      <c r="C370" s="702" t="s">
        <v>68</v>
      </c>
      <c r="D370" s="702"/>
      <c r="E370" s="294" t="s">
        <v>11</v>
      </c>
      <c r="F370" s="703"/>
      <c r="G370" s="704"/>
      <c r="H370" s="295"/>
      <c r="I370" s="295" t="s">
        <v>66</v>
      </c>
      <c r="J370" s="296"/>
      <c r="K370" s="297"/>
      <c r="L370" s="671"/>
      <c r="M370" s="671"/>
      <c r="N370" s="235"/>
      <c r="O370" s="234"/>
      <c r="P370" s="234"/>
      <c r="Q370" s="224"/>
      <c r="R370" s="9"/>
    </row>
    <row r="371" spans="1:27" s="2" customFormat="1" ht="14.25" customHeight="1" x14ac:dyDescent="0.2">
      <c r="A371" s="656">
        <f>IF((+E345+E347+E349+E351-E352-E354-E355)&lt;0,-(+E345+E347+E349+E351-E352-E354-E355),(+E345+E347+E349+E351-E352-E354-E355))</f>
        <v>36.325165185905433</v>
      </c>
      <c r="B371" s="660"/>
      <c r="C371" s="701">
        <f>SUM(E336:E343)-E344+E346+E348+E350</f>
        <v>110.38182989633961</v>
      </c>
      <c r="D371" s="701"/>
      <c r="E371" s="298">
        <f>I47</f>
        <v>0.65</v>
      </c>
      <c r="F371" s="656">
        <f>C371*E371/A371</f>
        <v>1.9751648496414778</v>
      </c>
      <c r="G371" s="657"/>
      <c r="H371" s="290" t="str">
        <f>IF(ROUND(F371,1)&lt;I371,"&lt;","&gt;")</f>
        <v>&gt;</v>
      </c>
      <c r="I371" s="291">
        <v>1.5</v>
      </c>
      <c r="J371" s="292" t="str">
        <f>IF(H371="&gt;","O.K.","not O.K.")</f>
        <v>O.K.</v>
      </c>
      <c r="K371" s="299"/>
      <c r="L371" s="671"/>
      <c r="M371" s="671"/>
      <c r="N371" s="234"/>
      <c r="O371" s="234"/>
      <c r="P371" s="234"/>
      <c r="Q371" s="224"/>
      <c r="R371" s="9"/>
    </row>
    <row r="372" spans="1:27" s="2" customFormat="1" ht="14.25" customHeight="1" x14ac:dyDescent="0.2">
      <c r="A372" s="193"/>
      <c r="B372" s="193"/>
      <c r="C372" s="193"/>
      <c r="D372" s="193"/>
      <c r="E372" s="193"/>
      <c r="F372" s="193"/>
      <c r="G372" s="193"/>
      <c r="H372" s="193"/>
      <c r="I372" s="193"/>
      <c r="J372" s="193"/>
      <c r="K372" s="193"/>
      <c r="L372" s="671"/>
      <c r="M372" s="671"/>
      <c r="N372" s="234"/>
      <c r="O372" s="234"/>
      <c r="P372" s="234"/>
      <c r="Q372" s="47"/>
      <c r="R372" s="9"/>
    </row>
    <row r="373" spans="1:27" s="2" customFormat="1" ht="12.75" x14ac:dyDescent="0.2">
      <c r="A373" s="193"/>
      <c r="B373" s="193"/>
      <c r="C373" s="193"/>
      <c r="D373" s="193"/>
      <c r="E373" s="193"/>
      <c r="F373" s="193"/>
      <c r="G373" s="193"/>
      <c r="H373" s="193"/>
      <c r="I373" s="193"/>
      <c r="J373" s="193"/>
      <c r="K373" s="193"/>
      <c r="L373" s="168"/>
      <c r="M373" s="168"/>
      <c r="N373" s="237"/>
      <c r="O373" s="237"/>
      <c r="P373" s="237"/>
      <c r="Q373" s="9"/>
      <c r="R373" s="9"/>
    </row>
    <row r="374" spans="1:27" s="2" customFormat="1" ht="12.75" x14ac:dyDescent="0.2">
      <c r="A374" s="311" t="s">
        <v>180</v>
      </c>
      <c r="B374" s="193"/>
      <c r="C374" s="193"/>
      <c r="D374" s="193"/>
      <c r="E374" s="193"/>
      <c r="F374" s="193"/>
      <c r="G374" s="193"/>
      <c r="H374" s="193"/>
      <c r="I374" s="193"/>
      <c r="J374" s="193"/>
      <c r="K374" s="193"/>
      <c r="L374" s="168"/>
      <c r="M374" s="168"/>
      <c r="N374" s="237"/>
      <c r="O374" s="237"/>
      <c r="P374" s="237"/>
      <c r="Q374" s="9"/>
      <c r="R374" s="9"/>
    </row>
    <row r="375" spans="1:27" s="2" customFormat="1" ht="12.75" x14ac:dyDescent="0.2">
      <c r="A375" s="193"/>
      <c r="B375" s="193"/>
      <c r="C375" s="193"/>
      <c r="D375" s="193"/>
      <c r="E375" s="193"/>
      <c r="F375" s="193"/>
      <c r="G375" s="193"/>
      <c r="H375" s="193"/>
      <c r="I375" s="193"/>
      <c r="J375" s="193"/>
      <c r="K375" s="193"/>
      <c r="L375" s="193"/>
      <c r="M375" s="193"/>
      <c r="N375" s="193"/>
      <c r="O375" s="193"/>
      <c r="P375" s="236"/>
    </row>
    <row r="376" spans="1:27" s="2" customFormat="1" ht="12.75" x14ac:dyDescent="0.2">
      <c r="A376" s="312" t="s">
        <v>199</v>
      </c>
      <c r="B376" s="193"/>
      <c r="C376" s="193"/>
      <c r="D376" s="193"/>
      <c r="E376" s="193"/>
      <c r="F376" s="193"/>
      <c r="G376" s="193"/>
      <c r="H376" s="193"/>
      <c r="I376" s="193"/>
      <c r="J376" s="193"/>
      <c r="K376" s="193"/>
      <c r="L376" s="193"/>
      <c r="M376" s="193"/>
      <c r="N376" s="193"/>
      <c r="O376" s="193"/>
    </row>
    <row r="377" spans="1:27" s="2" customFormat="1" x14ac:dyDescent="0.2">
      <c r="E377" s="193"/>
      <c r="L377" s="1"/>
      <c r="M377" s="1"/>
      <c r="N377" s="1"/>
      <c r="O377" s="1"/>
      <c r="P377" s="1"/>
      <c r="Q377" s="1"/>
      <c r="R377" s="1"/>
      <c r="S377" s="1"/>
      <c r="T377" s="1"/>
      <c r="U377" s="1"/>
    </row>
    <row r="378" spans="1:27" s="2" customFormat="1" x14ac:dyDescent="0.2">
      <c r="E378" s="193"/>
      <c r="L378" s="1"/>
      <c r="M378" s="1"/>
      <c r="N378" s="1"/>
      <c r="O378" s="1"/>
      <c r="P378" s="1"/>
      <c r="Q378" s="1"/>
      <c r="R378" s="1"/>
      <c r="S378" s="1"/>
      <c r="T378" s="1"/>
      <c r="U378" s="1"/>
    </row>
    <row r="379" spans="1:27" s="2" customFormat="1" x14ac:dyDescent="0.2">
      <c r="E379" s="193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</row>
    <row r="380" spans="1:27" s="2" customFormat="1" x14ac:dyDescent="0.2">
      <c r="E380" s="193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</row>
    <row r="381" spans="1:27" s="2" customFormat="1" x14ac:dyDescent="0.2">
      <c r="E381" s="193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</row>
    <row r="382" spans="1:27" s="2" customFormat="1" x14ac:dyDescent="0.2">
      <c r="E382" s="193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</row>
    <row r="383" spans="1:27" s="2" customFormat="1" x14ac:dyDescent="0.2">
      <c r="E383" s="193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</row>
    <row r="384" spans="1:27" s="2" customFormat="1" x14ac:dyDescent="0.2">
      <c r="E384" s="193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</row>
    <row r="385" spans="1:27" s="2" customFormat="1" x14ac:dyDescent="0.2">
      <c r="E385" s="193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</row>
    <row r="386" spans="1:27" s="2" customFormat="1" x14ac:dyDescent="0.2">
      <c r="E386" s="193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</row>
    <row r="390" spans="1:27" x14ac:dyDescent="0.2">
      <c r="A390" s="261"/>
    </row>
    <row r="391" spans="1:27" x14ac:dyDescent="0.2">
      <c r="A391" s="261"/>
    </row>
    <row r="392" spans="1:27" x14ac:dyDescent="0.2">
      <c r="A392" s="261"/>
    </row>
    <row r="393" spans="1:27" x14ac:dyDescent="0.2">
      <c r="A393" s="261"/>
      <c r="Q393" s="12"/>
      <c r="R393" s="12"/>
      <c r="S393" s="12"/>
      <c r="T393" s="12"/>
      <c r="U393" s="12"/>
      <c r="V393" s="12"/>
      <c r="W393" s="12"/>
      <c r="X393" s="12"/>
      <c r="Y393" s="12"/>
      <c r="Z393" s="12"/>
      <c r="AA393" s="12"/>
    </row>
    <row r="394" spans="1:27" x14ac:dyDescent="0.2">
      <c r="Q394" s="12"/>
      <c r="R394" s="12"/>
      <c r="S394" s="12"/>
      <c r="T394" s="12"/>
      <c r="U394" s="12"/>
      <c r="V394" s="12"/>
      <c r="W394" s="12"/>
      <c r="X394" s="12"/>
      <c r="Y394" s="12"/>
      <c r="Z394" s="12"/>
      <c r="AA394" s="12"/>
    </row>
    <row r="395" spans="1:27" ht="31.5" customHeight="1" thickBot="1" x14ac:dyDescent="0.25">
      <c r="B395" s="160"/>
      <c r="C395" s="160"/>
      <c r="D395" s="160"/>
      <c r="E395" s="666" t="s">
        <v>174</v>
      </c>
      <c r="F395" s="667"/>
      <c r="G395" s="666" t="s">
        <v>54</v>
      </c>
      <c r="H395" s="667"/>
      <c r="I395" s="628" t="s">
        <v>55</v>
      </c>
      <c r="J395" s="628"/>
      <c r="K395" s="628"/>
      <c r="Q395" s="12"/>
      <c r="R395" s="12"/>
      <c r="S395" s="12"/>
      <c r="T395" s="12"/>
      <c r="U395" s="12"/>
      <c r="V395" s="12"/>
      <c r="W395" s="12"/>
      <c r="X395" s="12"/>
      <c r="Y395" s="12"/>
      <c r="Z395" s="12"/>
      <c r="AA395" s="12"/>
    </row>
    <row r="396" spans="1:27" ht="15.75" thickTop="1" x14ac:dyDescent="0.25">
      <c r="A396" s="159" t="s">
        <v>173</v>
      </c>
      <c r="Q396" s="47"/>
      <c r="R396" s="653"/>
      <c r="S396" s="653"/>
      <c r="T396" s="41"/>
      <c r="U396" s="653"/>
      <c r="V396" s="653"/>
      <c r="W396" s="231"/>
      <c r="X396" s="12"/>
      <c r="Y396" s="12"/>
      <c r="Z396" s="12"/>
      <c r="AA396" s="12"/>
    </row>
    <row r="397" spans="1:27" x14ac:dyDescent="0.2">
      <c r="A397" s="697" t="str">
        <f>"1.6 x PS= 1.6x"&amp;ROUND(kas,3)&amp;"x"&amp;(hw-0.5)&amp;"x"&amp;q</f>
        <v>1.6 x PS= 1.6x0.75x6.6x1.14</v>
      </c>
      <c r="B397" s="697"/>
      <c r="C397" s="697"/>
      <c r="D397" s="697"/>
      <c r="E397" s="665">
        <f>1.6*kas*(hw-0.5)*q</f>
        <v>9.023317683778016</v>
      </c>
      <c r="F397" s="665"/>
      <c r="G397" s="665">
        <f>(hw-0.5)/2</f>
        <v>3.3</v>
      </c>
      <c r="H397" s="665"/>
      <c r="J397" s="60">
        <f>+G397*E397</f>
        <v>29.77694835646745</v>
      </c>
      <c r="L397" s="48"/>
      <c r="M397" s="647"/>
      <c r="N397" s="647"/>
      <c r="O397" s="647"/>
      <c r="P397" s="647"/>
      <c r="Q397" s="47"/>
      <c r="R397" s="653"/>
      <c r="S397" s="653"/>
      <c r="T397" s="41"/>
      <c r="U397" s="653"/>
      <c r="V397" s="653"/>
      <c r="W397" s="231"/>
      <c r="X397" s="12"/>
      <c r="Y397" s="12"/>
      <c r="Z397" s="12"/>
      <c r="AA397" s="12"/>
    </row>
    <row r="398" spans="1:27" x14ac:dyDescent="0.2">
      <c r="A398" s="697" t="str">
        <f>"1.6 x PA= 1.6x"&amp;ROUND(kas,3)&amp;"x"&amp;(hw-0.5)&amp;"x"&amp;(hw-0.5)&amp;"x"&amp;ROUND(gnor,2)&amp;"/2="</f>
        <v>1.6 x PA= 1.6x0.75x6.6x6.6x1.8/2=</v>
      </c>
      <c r="B398" s="697"/>
      <c r="C398" s="697"/>
      <c r="D398" s="697"/>
      <c r="E398" s="665">
        <f>1.6*kas*(hw-0.5)^2*gnor/2</f>
        <v>47.016234247053873</v>
      </c>
      <c r="F398" s="665"/>
      <c r="G398" s="665">
        <f>(hw-0.5)/3</f>
        <v>2.1999999999999997</v>
      </c>
      <c r="H398" s="665"/>
      <c r="J398" s="60">
        <f>+G398*E398</f>
        <v>103.43571534351851</v>
      </c>
      <c r="L398" s="48"/>
      <c r="M398" s="239"/>
      <c r="N398" s="239"/>
      <c r="O398" s="239"/>
      <c r="P398" s="239"/>
      <c r="Q398" s="47"/>
      <c r="R398" s="240"/>
      <c r="S398" s="240"/>
      <c r="T398" s="41"/>
      <c r="U398" s="240"/>
      <c r="V398" s="240"/>
      <c r="W398" s="239"/>
      <c r="X398" s="12"/>
      <c r="Y398" s="12"/>
      <c r="Z398" s="12"/>
      <c r="AA398" s="12"/>
    </row>
    <row r="399" spans="1:27" ht="5.0999999999999996" customHeight="1" thickBot="1" x14ac:dyDescent="0.25">
      <c r="A399" s="697"/>
      <c r="B399" s="697"/>
      <c r="C399" s="697"/>
      <c r="D399" s="697"/>
      <c r="E399" s="709"/>
      <c r="F399" s="709"/>
      <c r="G399" s="696"/>
      <c r="H399" s="696"/>
      <c r="I399" s="163"/>
      <c r="J399" s="164"/>
      <c r="K399" s="163"/>
      <c r="L399" s="48"/>
      <c r="M399" s="647"/>
      <c r="N399" s="647"/>
      <c r="O399" s="647"/>
      <c r="P399" s="647"/>
      <c r="Q399" s="47"/>
      <c r="R399" s="669"/>
      <c r="S399" s="669"/>
      <c r="T399" s="41"/>
      <c r="U399" s="653"/>
      <c r="V399" s="653"/>
      <c r="W399" s="231"/>
      <c r="X399" s="12"/>
      <c r="Y399" s="12"/>
      <c r="Z399" s="12"/>
      <c r="AA399" s="12"/>
    </row>
    <row r="400" spans="1:27" ht="5.0999999999999996" customHeight="1" thickTop="1" x14ac:dyDescent="0.2">
      <c r="A400" s="242"/>
      <c r="B400" s="242"/>
      <c r="C400" s="242"/>
      <c r="D400" s="242"/>
      <c r="E400" s="430"/>
      <c r="F400" s="243"/>
      <c r="G400" s="241"/>
      <c r="H400" s="241"/>
      <c r="I400" s="12"/>
      <c r="J400" s="165"/>
      <c r="K400" s="12"/>
      <c r="L400" s="48"/>
      <c r="M400" s="239"/>
      <c r="N400" s="239"/>
      <c r="O400" s="239"/>
      <c r="P400" s="239"/>
      <c r="Q400" s="47"/>
      <c r="R400" s="243"/>
      <c r="S400" s="243"/>
      <c r="T400" s="41"/>
      <c r="U400" s="240"/>
      <c r="V400" s="240"/>
      <c r="W400" s="239"/>
      <c r="X400" s="12"/>
      <c r="Y400" s="12"/>
      <c r="Z400" s="12"/>
      <c r="AA400" s="12"/>
    </row>
    <row r="401" spans="1:27" ht="15" x14ac:dyDescent="0.25">
      <c r="B401" s="12"/>
      <c r="C401" s="12"/>
      <c r="D401" s="94" t="s">
        <v>175</v>
      </c>
      <c r="E401" s="707">
        <f>+E397+E398</f>
        <v>56.039551930831891</v>
      </c>
      <c r="F401" s="707"/>
      <c r="H401" s="94"/>
      <c r="I401" s="94"/>
      <c r="J401" s="162">
        <f>+J398+J397</f>
        <v>133.21266369998597</v>
      </c>
      <c r="K401" s="12"/>
      <c r="L401" s="48"/>
      <c r="M401" s="647"/>
      <c r="N401" s="647"/>
      <c r="O401" s="647"/>
      <c r="P401" s="647"/>
      <c r="Q401" s="47"/>
      <c r="R401" s="653"/>
      <c r="S401" s="653"/>
      <c r="T401" s="41"/>
      <c r="U401" s="653"/>
      <c r="V401" s="653"/>
      <c r="W401" s="231"/>
      <c r="X401" s="12"/>
      <c r="Y401" s="12"/>
      <c r="Z401" s="12"/>
      <c r="AA401" s="12"/>
    </row>
    <row r="402" spans="1:27" ht="17.25" customHeight="1" x14ac:dyDescent="0.2">
      <c r="L402" s="48"/>
      <c r="M402" s="647"/>
      <c r="N402" s="647"/>
      <c r="O402" s="647"/>
      <c r="P402" s="647"/>
      <c r="Q402" s="47"/>
      <c r="R402" s="12"/>
      <c r="S402" s="12"/>
      <c r="T402" s="41"/>
      <c r="U402" s="653"/>
      <c r="V402" s="653"/>
      <c r="W402" s="231"/>
      <c r="X402" s="12"/>
      <c r="Y402" s="12"/>
      <c r="Z402" s="12"/>
      <c r="AA402" s="12"/>
    </row>
    <row r="403" spans="1:27" ht="15" customHeight="1" x14ac:dyDescent="0.25">
      <c r="A403" s="159" t="s">
        <v>176</v>
      </c>
      <c r="L403" s="12"/>
      <c r="M403" s="12"/>
      <c r="N403" s="12"/>
      <c r="O403" s="12"/>
      <c r="P403" s="12"/>
      <c r="Q403" s="47"/>
      <c r="R403" s="653"/>
      <c r="S403" s="653"/>
      <c r="T403" s="41"/>
      <c r="U403" s="653"/>
      <c r="V403" s="653"/>
      <c r="W403" s="231"/>
      <c r="X403" s="12"/>
      <c r="Y403" s="12"/>
      <c r="Z403" s="12"/>
      <c r="AA403" s="12"/>
    </row>
    <row r="404" spans="1:27" ht="15" customHeight="1" x14ac:dyDescent="0.2">
      <c r="A404" s="697" t="str">
        <f>"PA = "&amp;ROUND(kas,3)&amp;"x"&amp;(hw-0.5)&amp;"²x"&amp;ROUND(gnor,2)&amp;"/2= "</f>
        <v xml:space="preserve">PA = 0.75x6.6²x1.8/2= </v>
      </c>
      <c r="B404" s="697"/>
      <c r="C404" s="697"/>
      <c r="D404" s="697"/>
      <c r="E404" s="633">
        <f>ROUND(kas*(hw-0.5)*(hw-0.5)*gnor/2,2)</f>
        <v>29.39</v>
      </c>
      <c r="F404" s="633"/>
      <c r="G404" s="665">
        <f>+(hw-0.5)/3</f>
        <v>2.1999999999999997</v>
      </c>
      <c r="H404" s="665"/>
      <c r="J404" s="60">
        <f>+G404*E404</f>
        <v>64.657999999999987</v>
      </c>
      <c r="L404" s="12"/>
      <c r="M404" s="12"/>
      <c r="N404" s="12"/>
      <c r="O404" s="12"/>
      <c r="P404" s="12"/>
      <c r="Q404" s="47"/>
      <c r="R404" s="232"/>
      <c r="S404" s="232"/>
      <c r="T404" s="41"/>
      <c r="U404" s="232"/>
      <c r="V404" s="232"/>
      <c r="W404" s="231"/>
      <c r="X404" s="12"/>
      <c r="Y404" s="12"/>
      <c r="Z404" s="12"/>
      <c r="AA404" s="12"/>
    </row>
    <row r="405" spans="1:27" ht="15" customHeight="1" x14ac:dyDescent="0.2">
      <c r="A405" s="697" t="str">
        <f>"PAD = "&amp;ROUND(MAX(J82:K83),3)&amp;"x"&amp;(hw-0.5)&amp;"²x"&amp;ROUND(gnor,2)&amp;"/2="</f>
        <v>PAD = 2.807x6.6²x1.8/2=</v>
      </c>
      <c r="B405" s="697"/>
      <c r="C405" s="697"/>
      <c r="D405" s="697"/>
      <c r="E405" s="665">
        <f>(MAX(J82:K83))*(hw-0.5)^2*(gnor)/2</f>
        <v>110.06302063280468</v>
      </c>
      <c r="F405" s="665"/>
      <c r="G405" s="665">
        <f>2*(hw-0.5)/3</f>
        <v>4.3999999999999995</v>
      </c>
      <c r="H405" s="665"/>
      <c r="J405" s="60">
        <f>+G405*E405</f>
        <v>484.27729078434055</v>
      </c>
      <c r="L405" s="12"/>
      <c r="M405" s="12"/>
      <c r="N405" s="12"/>
      <c r="O405" s="12"/>
      <c r="P405" s="12"/>
      <c r="Q405" s="47"/>
      <c r="R405" s="240"/>
      <c r="S405" s="240"/>
      <c r="T405" s="41"/>
      <c r="U405" s="240"/>
      <c r="V405" s="240"/>
      <c r="W405" s="239"/>
      <c r="X405" s="12"/>
      <c r="Y405" s="12"/>
      <c r="Z405" s="12"/>
      <c r="AA405" s="12"/>
    </row>
    <row r="406" spans="1:27" ht="15" customHeight="1" x14ac:dyDescent="0.2">
      <c r="A406" s="697" t="str">
        <f>"WB1D = "&amp;ROUND((bw-bt),2)&amp;"x"&amp;hw&amp;"x"&amp;ROUND(gc,2)&amp;"x"&amp;ROUND(I38,3)&amp;"/2="</f>
        <v>WB1D = 5.25x7.1x2.4x0.369/2=</v>
      </c>
      <c r="B406" s="697"/>
      <c r="C406" s="697"/>
      <c r="D406" s="697"/>
      <c r="E406" s="665">
        <f>((bw-bt))*hw*gc*I38/2</f>
        <v>16.490459999999999</v>
      </c>
      <c r="F406" s="665"/>
      <c r="G406" s="665">
        <f>hw/3</f>
        <v>2.3666666666666667</v>
      </c>
      <c r="H406" s="665"/>
      <c r="J406" s="60">
        <f>+G406*E406</f>
        <v>39.027421999999994</v>
      </c>
      <c r="L406" s="12"/>
      <c r="M406" s="12"/>
      <c r="N406" s="12"/>
      <c r="O406" s="12"/>
      <c r="P406" s="12"/>
      <c r="Q406" s="47"/>
      <c r="R406" s="240"/>
      <c r="S406" s="240"/>
      <c r="T406" s="41"/>
      <c r="U406" s="240"/>
      <c r="V406" s="240"/>
      <c r="W406" s="239"/>
      <c r="X406" s="12"/>
      <c r="Y406" s="12"/>
      <c r="Z406" s="12"/>
      <c r="AA406" s="12"/>
    </row>
    <row r="407" spans="1:27" ht="15" customHeight="1" thickBot="1" x14ac:dyDescent="0.25">
      <c r="A407" s="697" t="str">
        <f>"WB2D ="&amp;hw&amp;"x"&amp;bt&amp;"x"&amp;gc&amp;"x"&amp;ROUND(I38,3)&amp;"="</f>
        <v>WB2D =7.1x1x2.4x0.369=</v>
      </c>
      <c r="B407" s="697"/>
      <c r="C407" s="697"/>
      <c r="D407" s="697"/>
      <c r="E407" s="708">
        <f>hw*bt*gc*I38</f>
        <v>6.2820800000000006</v>
      </c>
      <c r="F407" s="708"/>
      <c r="G407" s="665">
        <f>hw/2</f>
        <v>3.55</v>
      </c>
      <c r="H407" s="665"/>
      <c r="I407" s="163"/>
      <c r="J407" s="164">
        <f>+G407*E407</f>
        <v>22.301384000000002</v>
      </c>
      <c r="K407" s="163"/>
      <c r="L407" s="12"/>
      <c r="Q407" s="47"/>
      <c r="R407" s="232"/>
      <c r="S407" s="232"/>
      <c r="T407" s="41"/>
      <c r="U407" s="232"/>
      <c r="V407" s="232"/>
      <c r="W407" s="231"/>
      <c r="X407" s="12"/>
      <c r="Y407" s="12"/>
      <c r="Z407" s="12"/>
      <c r="AA407" s="12"/>
    </row>
    <row r="408" spans="1:27" ht="15" customHeight="1" thickTop="1" x14ac:dyDescent="0.25">
      <c r="B408" s="12"/>
      <c r="C408" s="12"/>
      <c r="D408" s="94" t="s">
        <v>175</v>
      </c>
      <c r="E408" s="707">
        <f>SUM(E404:F407)</f>
        <v>162.22556063280467</v>
      </c>
      <c r="F408" s="707"/>
      <c r="H408" s="94"/>
      <c r="I408" s="94"/>
      <c r="J408" s="162">
        <f>+SUM(J404:J407)</f>
        <v>610.2640967843405</v>
      </c>
      <c r="K408" s="94"/>
      <c r="L408" s="12"/>
      <c r="Q408" s="47"/>
      <c r="R408" s="232"/>
      <c r="S408" s="232"/>
      <c r="T408" s="41"/>
      <c r="U408" s="232"/>
      <c r="V408" s="232"/>
      <c r="W408" s="231"/>
      <c r="X408" s="12"/>
      <c r="Y408" s="12"/>
      <c r="Z408" s="12"/>
      <c r="AA408" s="12"/>
    </row>
    <row r="409" spans="1:27" ht="15" customHeight="1" x14ac:dyDescent="0.25">
      <c r="B409" s="12"/>
      <c r="C409" s="12"/>
      <c r="D409" s="94"/>
      <c r="E409" s="468"/>
      <c r="F409" s="161"/>
      <c r="H409" s="94"/>
      <c r="I409" s="94"/>
      <c r="J409" s="162"/>
      <c r="K409" s="12"/>
      <c r="L409" s="12"/>
      <c r="N409" s="1" t="s">
        <v>200</v>
      </c>
      <c r="Q409" s="47"/>
      <c r="R409" s="87"/>
      <c r="S409" s="87"/>
      <c r="T409" s="41"/>
      <c r="U409" s="87"/>
      <c r="V409" s="87"/>
      <c r="W409" s="40"/>
    </row>
    <row r="410" spans="1:27" ht="15" customHeight="1" x14ac:dyDescent="0.25">
      <c r="A410" s="159" t="s">
        <v>201</v>
      </c>
      <c r="L410" s="12"/>
      <c r="Q410" s="47"/>
      <c r="R410" s="87"/>
      <c r="S410" s="87"/>
      <c r="T410" s="41"/>
      <c r="U410" s="87"/>
      <c r="V410" s="87"/>
      <c r="W410" s="40"/>
    </row>
    <row r="411" spans="1:27" ht="15" customHeight="1" x14ac:dyDescent="0.2">
      <c r="A411" s="697" t="str">
        <f>"1.6xPA1 = 1.6x"&amp;ROUND(kas,3)&amp;"x"&amp;(hw-0.5-L54)&amp;"²x"&amp;ROUND(gnor,2)&amp;"/2= "</f>
        <v xml:space="preserve">1.6xPA1 = 1.6x0.75x1.48²x1.8/2= </v>
      </c>
      <c r="B411" s="697"/>
      <c r="C411" s="697"/>
      <c r="D411" s="697"/>
      <c r="E411" s="665">
        <f>1.6*kas*(hw-0.5-L54)^2*gnor/2</f>
        <v>2.3641955806874826</v>
      </c>
      <c r="F411" s="665"/>
      <c r="G411" s="665">
        <f>(hw-0.5-L54)/3+L54</f>
        <v>5.6133333333333333</v>
      </c>
      <c r="H411" s="665"/>
      <c r="J411" s="60">
        <f>+G411*E411</f>
        <v>13.271017859592401</v>
      </c>
      <c r="L411" s="12"/>
      <c r="Q411" s="47"/>
      <c r="R411" s="87"/>
      <c r="S411" s="87"/>
      <c r="T411" s="41"/>
      <c r="U411" s="87"/>
      <c r="V411" s="87"/>
      <c r="W411" s="40"/>
    </row>
    <row r="412" spans="1:27" ht="15" customHeight="1" thickBot="1" x14ac:dyDescent="0.25">
      <c r="A412" s="697" t="str">
        <f>"1.6xPA2= 1.6x"&amp;ROUND(kas,3)&amp;"x("&amp;ROUND(gnor*(h-0.5-hsuf),2)&amp;"+"&amp;ROUND((gdoy*(L54)+gnor*((h-0.5-hsuf))),2)&amp;")x"&amp;L54&amp;"/2="</f>
        <v>1.6xPA2= 1.6x0.75x(2.66+12.9)x5.12/2=</v>
      </c>
      <c r="B412" s="697"/>
      <c r="C412" s="697"/>
      <c r="D412" s="697"/>
      <c r="E412" s="708">
        <f>1.6*kas*(gnor*(hw-0.5-L54)+gnor*(hw-0.5-L54)+gdoy*L54)/2*L54</f>
        <v>47.795856570268974</v>
      </c>
      <c r="F412" s="708"/>
      <c r="G412" s="665">
        <f>(gnor*(hw-0.5-L54)*L54*L54/2+gdoy*L54*L54*L54/3/2)/(gnor*(hw-0.5-L54)*L54+gdoy*L54*L54/2)</f>
        <v>1.9987118876327512</v>
      </c>
      <c r="H412" s="665"/>
      <c r="I412" s="164"/>
      <c r="J412" s="164">
        <f>G412*E412</f>
        <v>95.530146706586535</v>
      </c>
      <c r="K412" s="164"/>
      <c r="L412" s="12"/>
      <c r="Q412" s="47"/>
      <c r="R412" s="245"/>
      <c r="S412" s="245"/>
      <c r="T412" s="41"/>
      <c r="U412" s="245"/>
      <c r="V412" s="245"/>
      <c r="W412" s="244"/>
    </row>
    <row r="413" spans="1:27" ht="15" customHeight="1" thickTop="1" x14ac:dyDescent="0.25">
      <c r="B413" s="12"/>
      <c r="C413" s="12"/>
      <c r="D413" s="94" t="s">
        <v>175</v>
      </c>
      <c r="E413" s="707">
        <f>SUM(E411:F412)</f>
        <v>50.16005215095646</v>
      </c>
      <c r="F413" s="707"/>
      <c r="H413" s="94"/>
      <c r="I413" s="94"/>
      <c r="J413" s="249">
        <f>SUM(J411:J412)</f>
        <v>108.80116456617894</v>
      </c>
      <c r="K413" s="249"/>
      <c r="L413" s="12"/>
      <c r="Q413" s="47"/>
      <c r="R413" s="87"/>
      <c r="S413" s="87"/>
      <c r="T413" s="41"/>
      <c r="U413" s="87"/>
      <c r="V413" s="87"/>
      <c r="W413" s="40"/>
    </row>
    <row r="414" spans="1:27" ht="15" customHeight="1" x14ac:dyDescent="0.25">
      <c r="B414" s="12"/>
      <c r="C414" s="12"/>
      <c r="D414" s="94"/>
      <c r="E414" s="468"/>
      <c r="F414" s="161"/>
      <c r="H414" s="94"/>
      <c r="Q414" s="47"/>
      <c r="R414" s="87"/>
      <c r="S414" s="87"/>
      <c r="T414" s="41"/>
      <c r="U414" s="87"/>
      <c r="V414" s="87"/>
      <c r="W414" s="40"/>
    </row>
    <row r="415" spans="1:27" ht="15" customHeight="1" x14ac:dyDescent="0.25">
      <c r="A415" s="159" t="s">
        <v>202</v>
      </c>
      <c r="Q415" s="47"/>
      <c r="R415" s="87"/>
      <c r="S415" s="87"/>
      <c r="T415" s="41"/>
      <c r="U415" s="87"/>
      <c r="V415" s="87"/>
      <c r="W415" s="40"/>
    </row>
    <row r="416" spans="1:27" ht="15" customHeight="1" x14ac:dyDescent="0.2">
      <c r="A416" s="697" t="str">
        <f>"1.6xPA1 = 1.6x"&amp;ROUND(kas,3)&amp;"x"&amp;(hw-0.5-L54)&amp;"²x"&amp;ROUND(gnor,2)&amp;"/2= "</f>
        <v xml:space="preserve">1.6xPA1 = 1.6x0.75x1.48²x1.8/2= </v>
      </c>
      <c r="B416" s="697"/>
      <c r="C416" s="697"/>
      <c r="D416" s="697"/>
      <c r="E416" s="665">
        <f>1.6*kas*(hw-0.5-L54)^2*gnor/2</f>
        <v>2.3641955806874826</v>
      </c>
      <c r="F416" s="665"/>
      <c r="G416" s="665">
        <f>(hw-0.5-L54)/3+L54</f>
        <v>5.6133333333333333</v>
      </c>
      <c r="H416" s="665"/>
      <c r="J416" s="60">
        <f>+G416*E416</f>
        <v>13.271017859592401</v>
      </c>
      <c r="Q416" s="47"/>
      <c r="R416" s="87"/>
      <c r="S416" s="87"/>
      <c r="T416" s="41"/>
      <c r="U416" s="87"/>
      <c r="V416" s="87"/>
      <c r="W416" s="40"/>
    </row>
    <row r="417" spans="1:23" ht="15" customHeight="1" x14ac:dyDescent="0.2">
      <c r="A417" s="697" t="str">
        <f>"1.6xPA2= 1.6x"&amp;ROUND(kas,3)&amp;"x("&amp;ROUND(gnor*(h-0.5-hsuf),2)&amp;"+"&amp;ROUND((gdoy*(hsuf-hsus)+gnor*(h-0.5-hsuf)),2)&amp;")x"&amp;(hsuf-hsus)&amp;"/2="</f>
        <v>1.6xPA2= 1.6x0.75x(2.66+9.48)x3.41/2=</v>
      </c>
      <c r="B417" s="697"/>
      <c r="C417" s="697"/>
      <c r="D417" s="697"/>
      <c r="E417" s="665">
        <f>1.6*kas*((gnor*(h-0.5-hsuf))+(gdoy*(hsuf-hsus)+gnor*(h-0.5-hsuf)))*(hsuf-hsus)/2</f>
        <v>24.839716081130085</v>
      </c>
      <c r="F417" s="665"/>
      <c r="G417" s="665">
        <f>((gnor*(h-0.5-hsuf))*(hsuf-hsus)^2/2+(gdoy*(hsuf-hsus)*(hsuf-hsus)^2/6))/((gnor*(h-0.5-hsuf))*(hsuf-hsus)+(gdoy*(hsuf-hsus)*(hsuf-hsus)/2))</f>
        <v>1.3859323894193833</v>
      </c>
      <c r="H417" s="665"/>
      <c r="J417" s="60">
        <f>+G417*E417</f>
        <v>34.426167060819701</v>
      </c>
      <c r="Q417" s="47"/>
      <c r="R417" s="240"/>
      <c r="S417" s="240"/>
      <c r="T417" s="41"/>
      <c r="U417" s="240"/>
      <c r="V417" s="240"/>
      <c r="W417" s="239"/>
    </row>
    <row r="418" spans="1:23" s="261" customFormat="1" ht="15" customHeight="1" x14ac:dyDescent="0.2">
      <c r="A418" s="697" t="str">
        <f>"1.6xPA3=1.6X"&amp;ROUND(kas,3)&amp;"x("&amp;ROUND((gdoy*(hsuf-hsus)+gnor*(h-0.5-hsuf)),2)&amp;"+"&amp;ROUND((gdoy*(hsuf-hsus)+gnor*(h-0.5-hsuf))+p*(gdoy-gw),2)&amp;")/2"&amp;"x"&amp;p&amp;"="</f>
        <v>1.6xPA3=1.6X0.75x(9.48+10.58)/2x1.1=</v>
      </c>
      <c r="B418" s="697"/>
      <c r="C418" s="697"/>
      <c r="D418" s="697"/>
      <c r="E418" s="665">
        <f>1.6*kas*(gdoy*(hsuf-hsus)+gnor*(h-0.5-hsuf)+gdoy*(hsuf-hsus)+gnor*(h-0.5-hsuf)+p*(gdoy-gw))/2*p</f>
        <v>13.236837666524654</v>
      </c>
      <c r="F418" s="665"/>
      <c r="G418" s="665">
        <f>((gdoy*(hsuf-hsus)+gnor*(h-0.5-hsuf)+gdoy*(hsuf-hsus)+gnor*(h-0.5-hsuf))*p*p/2+(p*(gdoy-gw))*p/2*p/3)/((gdoy*(hsuf-hsus)+gnor*(h-0.5-hsuf)+gdoy*(hsuf-hsus)+gnor*(h-0.5-hsuf))*p+(p*(gdoy-gw))*p/2)</f>
        <v>0.54483382860265739</v>
      </c>
      <c r="H418" s="665"/>
      <c r="J418" s="441">
        <f>+G418*E418</f>
        <v>7.2118769444444926</v>
      </c>
      <c r="Q418" s="181"/>
      <c r="R418" s="427"/>
      <c r="S418" s="427"/>
      <c r="T418" s="432"/>
      <c r="U418" s="427"/>
      <c r="V418" s="427"/>
      <c r="W418" s="425"/>
    </row>
    <row r="419" spans="1:23" ht="15" customHeight="1" x14ac:dyDescent="0.2">
      <c r="A419" s="697" t="str">
        <f>"1.6xPW = 1.6x"&amp;ROUND(L54,2)&amp;"²x"&amp;gw&amp;"x/2="</f>
        <v>1.6xPW = 1.6x5.12²x1x/2=</v>
      </c>
      <c r="B419" s="697"/>
      <c r="C419" s="697"/>
      <c r="D419" s="697"/>
      <c r="E419" s="653">
        <f>1.6*(L54)^2*gw/2</f>
        <v>20.971520000000002</v>
      </c>
      <c r="F419" s="653"/>
      <c r="G419" s="706">
        <f>L54/3</f>
        <v>1.7066666666666668</v>
      </c>
      <c r="H419" s="706"/>
      <c r="I419" s="12"/>
      <c r="J419" s="165">
        <f>+G419*E419</f>
        <v>35.791394133333341</v>
      </c>
      <c r="K419" s="12"/>
      <c r="Q419" s="47"/>
      <c r="R419" s="87"/>
      <c r="S419" s="87"/>
      <c r="T419" s="41"/>
      <c r="U419" s="87"/>
      <c r="V419" s="87"/>
      <c r="W419" s="40"/>
    </row>
    <row r="420" spans="1:23" ht="15" customHeight="1" thickBot="1" x14ac:dyDescent="0.25">
      <c r="A420" s="697" t="str">
        <f>"1.6xPWP = 1.6x"&amp;ROUND(p,2)&amp;"²x"&amp;gw&amp;"x/2="</f>
        <v>1.6xPWP = 1.6x1.1²x1x/2=</v>
      </c>
      <c r="B420" s="697"/>
      <c r="C420" s="697"/>
      <c r="D420" s="697"/>
      <c r="E420" s="708">
        <f>1.6*(hsus-hs)^2*gw/2</f>
        <v>2.33928</v>
      </c>
      <c r="F420" s="708"/>
      <c r="G420" s="665">
        <f>p/3</f>
        <v>0.3666666666666667</v>
      </c>
      <c r="H420" s="665"/>
      <c r="I420" s="164"/>
      <c r="J420" s="164">
        <f>+G420*E420</f>
        <v>0.85773600000000005</v>
      </c>
      <c r="K420" s="164"/>
      <c r="Q420" s="47"/>
      <c r="R420" s="87"/>
      <c r="S420" s="87"/>
      <c r="T420" s="41"/>
      <c r="U420" s="87"/>
      <c r="V420" s="87"/>
      <c r="W420" s="40"/>
    </row>
    <row r="421" spans="1:23" ht="15" customHeight="1" thickTop="1" x14ac:dyDescent="0.25">
      <c r="B421" s="12"/>
      <c r="C421" s="12"/>
      <c r="D421" s="94" t="s">
        <v>175</v>
      </c>
      <c r="E421" s="707">
        <f>SUM(E416:F419)-E420</f>
        <v>59.072989328342217</v>
      </c>
      <c r="F421" s="707"/>
      <c r="H421" s="94"/>
      <c r="I421" s="94"/>
      <c r="J421" s="162">
        <f>SUM(J416:J419)-J420</f>
        <v>89.842719998189935</v>
      </c>
      <c r="K421" s="12"/>
      <c r="L421" s="12"/>
      <c r="Q421" s="47"/>
      <c r="R421" s="87"/>
      <c r="S421" s="87"/>
      <c r="T421" s="41"/>
      <c r="U421" s="87"/>
      <c r="V421" s="87"/>
      <c r="W421" s="40"/>
    </row>
    <row r="422" spans="1:23" ht="15" customHeight="1" x14ac:dyDescent="0.2">
      <c r="Q422" s="47"/>
      <c r="R422" s="87"/>
      <c r="S422" s="87"/>
      <c r="T422" s="41"/>
      <c r="U422" s="87"/>
      <c r="V422" s="87"/>
      <c r="W422" s="40"/>
    </row>
    <row r="423" spans="1:23" ht="11.25" customHeight="1" x14ac:dyDescent="0.2">
      <c r="D423" s="29" t="s">
        <v>110</v>
      </c>
      <c r="E423" s="469">
        <f>MAX(E401,E408,E413,E421)</f>
        <v>162.22556063280467</v>
      </c>
      <c r="F423" s="1" t="s">
        <v>113</v>
      </c>
      <c r="I423" s="29"/>
      <c r="J423" s="30"/>
    </row>
    <row r="424" spans="1:23" x14ac:dyDescent="0.2">
      <c r="A424" s="680" t="s">
        <v>145</v>
      </c>
      <c r="B424" s="680"/>
      <c r="C424" s="680" t="s">
        <v>146</v>
      </c>
      <c r="D424" s="680"/>
      <c r="I424" s="1" t="s">
        <v>179</v>
      </c>
      <c r="J424" s="60">
        <f>MAX(J401,J408,J413,J421,)</f>
        <v>610.2640967843405</v>
      </c>
    </row>
    <row r="425" spans="1:23" x14ac:dyDescent="0.2">
      <c r="A425" s="705">
        <v>100</v>
      </c>
      <c r="B425" s="705"/>
      <c r="C425" s="705">
        <f>(bw-pp)*100</f>
        <v>620</v>
      </c>
      <c r="D425" s="705"/>
    </row>
    <row r="426" spans="1:23" ht="6.75" customHeight="1" x14ac:dyDescent="0.2"/>
    <row r="427" spans="1:23" ht="15" customHeight="1" x14ac:dyDescent="0.2">
      <c r="A427" s="88" t="s">
        <v>142</v>
      </c>
      <c r="B427" s="12"/>
      <c r="C427" s="12"/>
      <c r="D427" s="12"/>
      <c r="E427" s="170"/>
      <c r="F427" s="12"/>
      <c r="G427" s="12"/>
      <c r="H427" s="12"/>
      <c r="I427" s="12"/>
      <c r="J427" s="12"/>
      <c r="K427" s="12"/>
    </row>
    <row r="428" spans="1:23" ht="18" x14ac:dyDescent="0.35">
      <c r="A428" s="86" t="s">
        <v>144</v>
      </c>
      <c r="B428" s="12"/>
      <c r="C428" s="12"/>
      <c r="D428" s="87">
        <f>0.65*fctd*A425*C425</f>
        <v>463.45</v>
      </c>
      <c r="E428" s="170" t="s">
        <v>113</v>
      </c>
      <c r="F428" s="93" t="str">
        <f>" "&amp;IF(D428&lt;H428,"&lt;","&gt;")&amp;"      Vd ="</f>
        <v xml:space="preserve"> &gt;      Vd =</v>
      </c>
      <c r="G428" s="12"/>
      <c r="H428" s="92">
        <f>E423</f>
        <v>162.22556063280467</v>
      </c>
      <c r="I428" s="12" t="str">
        <f>F423</f>
        <v>t/m</v>
      </c>
      <c r="J428" s="94" t="str">
        <f>IF(D428&lt;H428,"not O.K.","O.K.")</f>
        <v>O.K.</v>
      </c>
      <c r="K428" s="12"/>
    </row>
    <row r="429" spans="1:23" ht="15" customHeight="1" x14ac:dyDescent="0.35">
      <c r="A429" s="89" t="s">
        <v>143</v>
      </c>
      <c r="B429" s="12"/>
      <c r="C429" s="12"/>
      <c r="D429" s="87">
        <f>0.9*0.22*fcd*A425*C425</f>
        <v>2086.92</v>
      </c>
      <c r="E429" s="170" t="s">
        <v>113</v>
      </c>
      <c r="F429" s="93" t="str">
        <f>" "&amp;IF(D429&lt;H429,"&lt;","&gt;")&amp;"      Vd ="</f>
        <v xml:space="preserve"> &gt;      Vd =</v>
      </c>
      <c r="G429" s="12"/>
      <c r="H429" s="92">
        <f>H428</f>
        <v>162.22556063280467</v>
      </c>
      <c r="I429" s="12" t="str">
        <f>I428</f>
        <v>t/m</v>
      </c>
      <c r="J429" s="94" t="str">
        <f>IF(D429&lt;H429,"not O.K.","O.K.")</f>
        <v>O.K.</v>
      </c>
      <c r="K429" s="165">
        <f>J424</f>
        <v>610.2640967843405</v>
      </c>
    </row>
    <row r="430" spans="1:23" ht="15" customHeight="1" x14ac:dyDescent="0.2">
      <c r="A430" s="12"/>
      <c r="B430" s="12"/>
      <c r="C430" s="12"/>
      <c r="D430" s="12"/>
      <c r="E430" s="170"/>
      <c r="F430" s="12"/>
      <c r="G430" s="12"/>
      <c r="H430" s="12"/>
      <c r="I430" s="12"/>
      <c r="J430" s="12"/>
      <c r="K430" s="12"/>
    </row>
    <row r="431" spans="1:23" ht="15" customHeight="1" x14ac:dyDescent="0.2">
      <c r="A431" s="12"/>
      <c r="B431" s="12"/>
      <c r="C431" s="12"/>
      <c r="D431" s="12"/>
      <c r="E431" s="170"/>
      <c r="F431" s="12"/>
      <c r="G431" s="12"/>
      <c r="H431" s="12"/>
      <c r="I431" s="12"/>
      <c r="J431" s="12"/>
      <c r="K431" s="12"/>
    </row>
    <row r="432" spans="1:23" ht="15" customHeight="1" x14ac:dyDescent="0.25">
      <c r="A432" s="88" t="s">
        <v>203</v>
      </c>
      <c r="B432" s="12"/>
      <c r="C432" s="12"/>
      <c r="D432" s="12"/>
      <c r="E432" s="428"/>
      <c r="F432" s="257"/>
      <c r="G432" s="93"/>
      <c r="H432" s="257"/>
      <c r="I432" s="156"/>
      <c r="J432" s="91"/>
      <c r="K432" s="258"/>
      <c r="L432" s="259"/>
      <c r="M432" s="259"/>
      <c r="N432" s="259"/>
    </row>
    <row r="433" spans="1:14" s="2" customFormat="1" x14ac:dyDescent="0.2">
      <c r="A433" s="648" t="str">
        <f>"A= "&amp;ROUND(bw,2)&amp;"x1.00="</f>
        <v>A= 6.25x1.00=</v>
      </c>
      <c r="B433" s="648"/>
      <c r="C433" s="648"/>
      <c r="D433" s="256">
        <f>bw</f>
        <v>6.25</v>
      </c>
      <c r="E433" s="425" t="s">
        <v>205</v>
      </c>
      <c r="F433" s="256"/>
      <c r="G433" s="256"/>
      <c r="H433" s="256"/>
      <c r="I433" s="247"/>
      <c r="J433" s="247"/>
      <c r="K433" s="253"/>
      <c r="L433" s="260"/>
      <c r="M433" s="260"/>
      <c r="N433" s="260"/>
    </row>
    <row r="434" spans="1:14" s="2" customFormat="1" ht="16.5" customHeight="1" x14ac:dyDescent="0.2">
      <c r="A434" s="648" t="str">
        <f>"W= ("&amp;ROUND(bw,2)&amp;"x"&amp;ROUND(bw,2)&amp;"x1.00)/6="</f>
        <v>W= (6.25x6.25x1.00)/6=</v>
      </c>
      <c r="B434" s="648"/>
      <c r="C434" s="648"/>
      <c r="D434" s="247">
        <f>bw^2/6</f>
        <v>6.510416666666667</v>
      </c>
      <c r="E434" s="464" t="s">
        <v>204</v>
      </c>
      <c r="F434" s="247"/>
      <c r="G434" s="247"/>
      <c r="H434" s="247"/>
      <c r="I434" s="247"/>
      <c r="J434" s="247"/>
      <c r="K434" s="253"/>
      <c r="L434" s="260"/>
      <c r="M434" s="260"/>
      <c r="N434" s="260"/>
    </row>
    <row r="435" spans="1:14" s="2" customFormat="1" ht="16.5" customHeight="1" x14ac:dyDescent="0.25">
      <c r="A435"/>
      <c r="B435" s="272"/>
      <c r="C435" s="262"/>
      <c r="D435" s="262"/>
      <c r="E435" s="262"/>
      <c r="F435" s="262"/>
      <c r="G435" s="262"/>
      <c r="H435" s="262"/>
      <c r="I435" s="262"/>
      <c r="J435" s="253"/>
      <c r="K435" s="253"/>
      <c r="L435" s="260"/>
      <c r="M435" s="260"/>
      <c r="N435" s="260"/>
    </row>
    <row r="436" spans="1:14" s="2" customFormat="1" ht="16.5" customHeight="1" x14ac:dyDescent="0.25">
      <c r="A436" s="144"/>
      <c r="B436" s="278"/>
      <c r="C436" s="263" t="s">
        <v>206</v>
      </c>
      <c r="D436" s="264">
        <f>E336+E337</f>
        <v>61.769999999999996</v>
      </c>
      <c r="E436" s="265" t="s">
        <v>207</v>
      </c>
      <c r="F436" s="264">
        <f>+J424</f>
        <v>610.2640967843405</v>
      </c>
      <c r="G436" s="265" t="s">
        <v>206</v>
      </c>
      <c r="H436" s="273">
        <f>ABS(D436/D437-F436/F437)</f>
        <v>83.85336526607469</v>
      </c>
      <c r="I436" s="275" t="s">
        <v>209</v>
      </c>
      <c r="J436" s="276" t="str">
        <f>IF(H436&lt;fctd*10000," &lt; fctd (100 t/m2)  OK"," NOT OK")</f>
        <v xml:space="preserve"> &lt; fctd (100 t/m2)  OK</v>
      </c>
      <c r="K436" s="277"/>
      <c r="L436" s="260"/>
      <c r="M436" s="260"/>
      <c r="N436" s="260"/>
    </row>
    <row r="437" spans="1:14" s="2" customFormat="1" ht="15" x14ac:dyDescent="0.25">
      <c r="A437" s="144"/>
      <c r="B437" s="278"/>
      <c r="C437" s="265"/>
      <c r="D437" s="266">
        <f>D433</f>
        <v>6.25</v>
      </c>
      <c r="E437" s="265"/>
      <c r="F437" s="266">
        <f>D434</f>
        <v>6.510416666666667</v>
      </c>
      <c r="G437" s="265"/>
      <c r="H437" s="265"/>
      <c r="I437" s="265"/>
      <c r="J437" s="276" t="str">
        <f>IF(H436&lt;fctd*10000,"Donatı Gerekmez","Donatı Gerekir")</f>
        <v>Donatı Gerekmez</v>
      </c>
      <c r="K437"/>
      <c r="L437" s="260"/>
      <c r="M437" s="260"/>
      <c r="N437" s="260"/>
    </row>
    <row r="438" spans="1:14" s="2" customFormat="1" ht="12.75" x14ac:dyDescent="0.2">
      <c r="A438" s="144"/>
      <c r="B438" s="278"/>
      <c r="C438" s="265"/>
      <c r="D438" s="265"/>
      <c r="E438" s="265"/>
      <c r="F438" s="265"/>
      <c r="G438" s="265"/>
      <c r="H438" s="265"/>
      <c r="I438" s="265"/>
      <c r="J438" s="252"/>
      <c r="K438" s="254"/>
    </row>
    <row r="439" spans="1:14" s="2" customFormat="1" ht="12.75" x14ac:dyDescent="0.2">
      <c r="A439" s="144"/>
      <c r="B439" s="278"/>
      <c r="C439" s="265"/>
      <c r="D439" s="265"/>
      <c r="E439" s="265"/>
      <c r="F439" s="265"/>
      <c r="G439" s="265"/>
      <c r="H439" s="265"/>
      <c r="I439" s="265"/>
      <c r="J439" s="252"/>
      <c r="K439" s="254"/>
    </row>
    <row r="440" spans="1:14" s="2" customFormat="1" ht="12.75" x14ac:dyDescent="0.2">
      <c r="A440" s="144"/>
      <c r="B440" s="278"/>
      <c r="C440" s="265"/>
      <c r="D440" s="265"/>
      <c r="E440" s="265"/>
      <c r="F440" s="265"/>
      <c r="G440" s="265"/>
      <c r="H440" s="265"/>
      <c r="I440" s="265"/>
      <c r="J440" s="252"/>
      <c r="K440" s="254"/>
    </row>
    <row r="441" spans="1:14" s="2" customFormat="1" ht="12.75" x14ac:dyDescent="0.2">
      <c r="A441" s="144"/>
      <c r="B441" s="278"/>
      <c r="C441" s="265"/>
      <c r="D441" s="265"/>
      <c r="E441" s="265"/>
      <c r="F441" s="265"/>
      <c r="G441" s="265"/>
      <c r="H441" s="265"/>
      <c r="I441" s="265"/>
      <c r="J441" s="252"/>
      <c r="K441" s="254"/>
    </row>
    <row r="442" spans="1:14" s="2" customFormat="1" ht="12.75" x14ac:dyDescent="0.2">
      <c r="A442" s="144"/>
      <c r="B442" s="278"/>
      <c r="C442" s="265"/>
      <c r="D442" s="265"/>
      <c r="E442" s="265"/>
      <c r="F442" s="265"/>
      <c r="G442" s="265"/>
      <c r="H442" s="265"/>
      <c r="I442" s="265"/>
      <c r="J442" s="252"/>
      <c r="K442" s="254"/>
    </row>
    <row r="443" spans="1:14" s="2" customFormat="1" ht="15" x14ac:dyDescent="0.25">
      <c r="A443" s="168"/>
      <c r="B443" s="168"/>
      <c r="D443" s="476">
        <f>(J424*100)/(fyd*0.86*A425)</f>
        <v>194.41353831931843</v>
      </c>
      <c r="E443" s="168" t="s">
        <v>342</v>
      </c>
      <c r="F443" s="168"/>
      <c r="G443" s="477" t="str">
        <f>IF(D443&gt;G448,"not O.K.","O.K.")</f>
        <v>not O.K.</v>
      </c>
      <c r="H443" s="1"/>
      <c r="I443" s="252"/>
      <c r="J443" s="252"/>
      <c r="K443" s="254"/>
    </row>
    <row r="444" spans="1:14" s="2" customFormat="1" ht="15" x14ac:dyDescent="0.25">
      <c r="A444" s="168"/>
      <c r="B444" s="168"/>
      <c r="D444" s="476"/>
      <c r="E444" s="168"/>
      <c r="F444" s="168"/>
      <c r="G444" s="477"/>
      <c r="H444" s="1"/>
      <c r="I444" s="252"/>
      <c r="J444" s="252"/>
      <c r="K444" s="254"/>
    </row>
    <row r="445" spans="1:14" s="2" customFormat="1" x14ac:dyDescent="0.2">
      <c r="A445" s="168"/>
      <c r="B445" s="168"/>
      <c r="D445" s="170">
        <f>0.002*A425*(C425+5)</f>
        <v>125</v>
      </c>
      <c r="E445" s="168" t="s">
        <v>342</v>
      </c>
      <c r="F445" s="168"/>
      <c r="G445" s="168"/>
      <c r="H445" s="1"/>
      <c r="I445" s="252"/>
      <c r="J445" s="252"/>
      <c r="K445" s="254"/>
    </row>
    <row r="446" spans="1:14" s="2" customFormat="1" x14ac:dyDescent="0.2">
      <c r="A446" s="1"/>
      <c r="B446" s="1"/>
      <c r="C446" s="1"/>
      <c r="D446" s="1"/>
      <c r="E446" s="1"/>
      <c r="F446" s="1"/>
      <c r="G446" s="1"/>
      <c r="H446" s="1"/>
      <c r="I446" s="252"/>
      <c r="J446" s="252"/>
      <c r="K446" s="254"/>
    </row>
    <row r="447" spans="1:14" s="2" customFormat="1" ht="12.75" x14ac:dyDescent="0.2">
      <c r="A447" s="478" t="s">
        <v>147</v>
      </c>
      <c r="B447" s="9"/>
      <c r="C447" s="9"/>
      <c r="D447" s="9"/>
      <c r="E447" s="9"/>
      <c r="F447" s="9"/>
      <c r="G447" s="9"/>
      <c r="H447" s="9"/>
      <c r="I447" s="252"/>
      <c r="J447" s="252"/>
      <c r="K447" s="254"/>
    </row>
    <row r="448" spans="1:14" s="2" customFormat="1" x14ac:dyDescent="0.2">
      <c r="A448" s="168" t="s">
        <v>335</v>
      </c>
      <c r="B448" s="168"/>
      <c r="C448" s="479">
        <v>32</v>
      </c>
      <c r="D448" s="479">
        <v>15</v>
      </c>
      <c r="E448" s="480" t="s">
        <v>336</v>
      </c>
      <c r="F448" s="475" t="s">
        <v>337</v>
      </c>
      <c r="G448" s="481">
        <f>((PI()*C449^2/4)*(A425/D449))/100+((PI()*C448^2/4)*(A425/D448))/100</f>
        <v>83.775804095727821</v>
      </c>
      <c r="H448" s="168" t="s">
        <v>248</v>
      </c>
      <c r="I448" s="252"/>
      <c r="J448" s="252"/>
      <c r="K448" s="254"/>
    </row>
    <row r="449" spans="1:29" s="2" customFormat="1" ht="12.75" x14ac:dyDescent="0.2">
      <c r="A449" s="144"/>
      <c r="B449" s="144"/>
      <c r="C449" s="252">
        <v>24</v>
      </c>
      <c r="D449" s="482">
        <v>15</v>
      </c>
      <c r="E449" s="252"/>
      <c r="F449" s="255"/>
      <c r="G449" s="252"/>
      <c r="H449" s="252"/>
      <c r="I449" s="252"/>
      <c r="J449" s="252"/>
      <c r="K449" s="254"/>
    </row>
    <row r="450" spans="1:29" s="2" customFormat="1" ht="12.75" x14ac:dyDescent="0.2">
      <c r="A450" s="144"/>
      <c r="B450" s="278"/>
      <c r="C450" s="265"/>
      <c r="D450" s="265"/>
      <c r="E450" s="265"/>
      <c r="F450" s="265"/>
      <c r="G450" s="265"/>
      <c r="H450" s="265"/>
      <c r="I450" s="265"/>
      <c r="J450" s="252"/>
      <c r="K450" s="254"/>
    </row>
    <row r="451" spans="1:29" ht="29.25" customHeight="1" x14ac:dyDescent="0.2">
      <c r="A451" s="695" t="s">
        <v>123</v>
      </c>
      <c r="B451" s="695"/>
      <c r="C451" s="695"/>
      <c r="D451" s="695"/>
      <c r="E451" s="695"/>
      <c r="F451" s="695"/>
      <c r="G451" s="695"/>
      <c r="H451" s="695"/>
      <c r="I451" s="695"/>
      <c r="J451" s="695"/>
      <c r="K451" s="695"/>
    </row>
    <row r="461" spans="1:29" ht="15" x14ac:dyDescent="0.25">
      <c r="L461" s="13"/>
      <c r="M461" s="13"/>
      <c r="N461" s="13"/>
      <c r="O461" s="13"/>
      <c r="P461" s="13"/>
      <c r="Q461" s="13"/>
      <c r="R461" s="13"/>
      <c r="S461" s="13"/>
      <c r="T461" s="13"/>
      <c r="U461" s="13"/>
    </row>
    <row r="463" spans="1:29" ht="15" x14ac:dyDescent="0.25">
      <c r="V463" s="13"/>
      <c r="W463" s="13"/>
      <c r="X463" s="13"/>
      <c r="Y463" s="13"/>
      <c r="Z463" s="13"/>
      <c r="AA463" s="13"/>
    </row>
    <row r="464" spans="1:29" x14ac:dyDescent="0.2"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  <c r="AA464" s="12"/>
      <c r="AB464" s="12"/>
      <c r="AC464" s="12"/>
    </row>
    <row r="465" spans="1:29" x14ac:dyDescent="0.2"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  <c r="AA465" s="12"/>
      <c r="AB465" s="12"/>
      <c r="AC465" s="12"/>
    </row>
    <row r="466" spans="1:29" x14ac:dyDescent="0.2"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  <c r="AA466" s="12"/>
      <c r="AB466" s="12"/>
      <c r="AC466" s="12"/>
    </row>
    <row r="467" spans="1:29" x14ac:dyDescent="0.2"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  <c r="AA467" s="12"/>
      <c r="AB467" s="12"/>
      <c r="AC467" s="12"/>
    </row>
    <row r="468" spans="1:29" x14ac:dyDescent="0.2">
      <c r="M468" s="670"/>
      <c r="N468" s="670"/>
      <c r="O468" s="670"/>
      <c r="P468" s="670"/>
      <c r="Q468" s="670"/>
      <c r="R468" s="670"/>
      <c r="S468" s="670"/>
      <c r="T468" s="670"/>
      <c r="U468" s="670"/>
      <c r="V468" s="668"/>
      <c r="W468" s="668"/>
      <c r="X468" s="668"/>
      <c r="Y468" s="12"/>
      <c r="Z468" s="12"/>
      <c r="AA468" s="12"/>
      <c r="AB468" s="12"/>
      <c r="AC468" s="12"/>
    </row>
    <row r="469" spans="1:29" x14ac:dyDescent="0.2">
      <c r="M469" s="48"/>
      <c r="N469" s="647"/>
      <c r="O469" s="647"/>
      <c r="P469" s="647"/>
      <c r="Q469" s="647"/>
      <c r="R469" s="47"/>
      <c r="S469" s="653"/>
      <c r="T469" s="653"/>
      <c r="U469" s="41"/>
      <c r="V469" s="653"/>
      <c r="W469" s="653"/>
      <c r="X469" s="246"/>
      <c r="Y469" s="12"/>
      <c r="Z469" s="12"/>
      <c r="AA469" s="12"/>
      <c r="AB469" s="12"/>
      <c r="AC469" s="12"/>
    </row>
    <row r="470" spans="1:29" x14ac:dyDescent="0.2">
      <c r="M470" s="48"/>
      <c r="N470" s="647"/>
      <c r="O470" s="647"/>
      <c r="P470" s="647"/>
      <c r="Q470" s="647"/>
      <c r="R470" s="47"/>
      <c r="S470" s="669"/>
      <c r="T470" s="669"/>
      <c r="U470" s="41"/>
      <c r="V470" s="653"/>
      <c r="W470" s="653"/>
      <c r="X470" s="246"/>
      <c r="Y470" s="12"/>
      <c r="Z470" s="12"/>
      <c r="AA470" s="12"/>
      <c r="AB470" s="12"/>
      <c r="AC470" s="12"/>
    </row>
    <row r="471" spans="1:29" s="13" customFormat="1" ht="35.25" customHeight="1" x14ac:dyDescent="0.25">
      <c r="C471" s="61" t="s">
        <v>118</v>
      </c>
      <c r="D471" s="61" t="s">
        <v>119</v>
      </c>
      <c r="E471" s="470" t="s">
        <v>120</v>
      </c>
      <c r="F471" s="693" t="s">
        <v>136</v>
      </c>
      <c r="G471" s="694"/>
      <c r="H471" s="693" t="s">
        <v>121</v>
      </c>
      <c r="I471" s="694"/>
      <c r="J471" s="693" t="s">
        <v>135</v>
      </c>
      <c r="K471" s="694"/>
      <c r="L471" s="1"/>
      <c r="M471" s="48"/>
      <c r="N471" s="647"/>
      <c r="O471" s="647"/>
      <c r="P471" s="647"/>
      <c r="Q471" s="647"/>
      <c r="R471" s="48"/>
      <c r="S471" s="653"/>
      <c r="T471" s="653"/>
      <c r="U471" s="41"/>
      <c r="V471" s="653"/>
      <c r="W471" s="653"/>
      <c r="X471" s="246"/>
      <c r="Y471" s="12"/>
      <c r="Z471" s="12"/>
      <c r="AA471" s="12"/>
      <c r="AB471" s="94"/>
      <c r="AC471" s="94"/>
    </row>
    <row r="472" spans="1:29" x14ac:dyDescent="0.2">
      <c r="A472" s="680" t="s">
        <v>114</v>
      </c>
      <c r="B472" s="736"/>
      <c r="C472" s="62">
        <f>E138</f>
        <v>1.9392417365014747</v>
      </c>
      <c r="D472" s="62">
        <f>E137</f>
        <v>30.817925363040725</v>
      </c>
      <c r="E472" s="424">
        <f>(D472-C472)*(br+bw)/b+C472</f>
        <v>28.826292009486291</v>
      </c>
      <c r="F472" s="644">
        <f>(E472+D472)*bf/2</f>
        <v>14.911054343131754</v>
      </c>
      <c r="G472" s="674"/>
      <c r="H472" s="730">
        <f>((E472*bf^2/2)+(D472-E472)*bf^2/3)/F472</f>
        <v>0.25278265779049325</v>
      </c>
      <c r="I472" s="731"/>
      <c r="J472" s="644">
        <f>F472*H472</f>
        <v>3.7692559473153224</v>
      </c>
      <c r="K472" s="674"/>
      <c r="M472" s="48"/>
      <c r="N472" s="647"/>
      <c r="O472" s="647"/>
      <c r="P472" s="647"/>
      <c r="Q472" s="647"/>
      <c r="R472" s="47"/>
      <c r="S472" s="653"/>
      <c r="T472" s="653"/>
      <c r="U472" s="41"/>
      <c r="V472" s="653"/>
      <c r="W472" s="653"/>
      <c r="X472" s="246"/>
      <c r="Y472" s="12"/>
      <c r="Z472" s="12"/>
      <c r="AA472" s="12"/>
      <c r="AB472" s="12"/>
      <c r="AC472" s="12"/>
    </row>
    <row r="473" spans="1:29" x14ac:dyDescent="0.2">
      <c r="A473" s="680" t="s">
        <v>115</v>
      </c>
      <c r="B473" s="736"/>
      <c r="C473" s="62">
        <f>E194</f>
        <v>0</v>
      </c>
      <c r="D473" s="63">
        <f>E193</f>
        <v>2097.490772463761</v>
      </c>
      <c r="E473" s="424">
        <f>(D473-C473)*(br+bw)/b+C473</f>
        <v>1952.8362364317775</v>
      </c>
      <c r="F473" s="644">
        <f>(E473+D473)*bf/2</f>
        <v>1012.5817522238847</v>
      </c>
      <c r="G473" s="674"/>
      <c r="H473" s="730">
        <f>((E473*bf^2/2)+(D473-E473)*bf^2/3)/F473</f>
        <v>0.25297619047619047</v>
      </c>
      <c r="I473" s="731"/>
      <c r="J473" s="644">
        <f>F473*H473</f>
        <v>256.15907422330417</v>
      </c>
      <c r="K473" s="674"/>
      <c r="M473" s="48"/>
      <c r="N473" s="647"/>
      <c r="O473" s="647"/>
      <c r="P473" s="647"/>
      <c r="Q473" s="647"/>
      <c r="R473" s="47"/>
      <c r="S473" s="653"/>
      <c r="T473" s="653"/>
      <c r="U473" s="41"/>
      <c r="V473" s="653"/>
      <c r="W473" s="653"/>
      <c r="X473" s="246"/>
      <c r="Y473" s="12"/>
      <c r="Z473" s="12"/>
      <c r="AA473" s="12"/>
      <c r="AB473" s="12"/>
      <c r="AC473" s="12"/>
    </row>
    <row r="474" spans="1:29" x14ac:dyDescent="0.2">
      <c r="A474" s="680" t="s">
        <v>116</v>
      </c>
      <c r="B474" s="736"/>
      <c r="C474" s="62">
        <f>E311</f>
        <v>3.2913504984278679</v>
      </c>
      <c r="D474" s="62">
        <f>E310</f>
        <v>19.717302661851022</v>
      </c>
      <c r="E474" s="424">
        <f>(D474-C474)*(br+bw)/b+C474</f>
        <v>18.58447837471839</v>
      </c>
      <c r="F474" s="644">
        <f>(E474+D474)*bf/2</f>
        <v>9.5754452591423522</v>
      </c>
      <c r="G474" s="674"/>
      <c r="H474" s="730">
        <f>((E474*bf^2/2)+(D474-E474)*bf^2/3)/F474</f>
        <v>0.25246469018862566</v>
      </c>
      <c r="I474" s="731"/>
      <c r="J474" s="644">
        <f>F474*H474</f>
        <v>2.4174618207675183</v>
      </c>
      <c r="K474" s="674"/>
      <c r="M474" s="48"/>
      <c r="N474" s="647"/>
      <c r="O474" s="647"/>
      <c r="P474" s="647"/>
      <c r="Q474" s="647"/>
      <c r="R474" s="47"/>
      <c r="S474" s="653"/>
      <c r="T474" s="653"/>
      <c r="U474" s="41"/>
      <c r="V474" s="653"/>
      <c r="W474" s="653"/>
      <c r="X474" s="246"/>
      <c r="Y474" s="12"/>
      <c r="Z474" s="12"/>
      <c r="AA474" s="12"/>
      <c r="AB474" s="12"/>
      <c r="AC474" s="12"/>
    </row>
    <row r="475" spans="1:29" ht="15" thickBot="1" x14ac:dyDescent="0.25">
      <c r="A475" s="737" t="s">
        <v>117</v>
      </c>
      <c r="B475" s="738"/>
      <c r="C475" s="64">
        <f>E363</f>
        <v>5.9205075577584951</v>
      </c>
      <c r="D475" s="64">
        <f>E362</f>
        <v>24.529652413645533</v>
      </c>
      <c r="E475" s="64">
        <f>(D475-C475)*(br+bw)/b+C475</f>
        <v>23.246263113239529</v>
      </c>
      <c r="F475" s="685">
        <f>(E475+D475)*bf/2</f>
        <v>11.943978881721264</v>
      </c>
      <c r="G475" s="686"/>
      <c r="H475" s="739">
        <f>((E475*bf^2/2)+(D475-E475)*bf^2/3)/F475</f>
        <v>0.25223855696301589</v>
      </c>
      <c r="I475" s="740"/>
      <c r="J475" s="685">
        <f>F475*H475</f>
        <v>3.0127319975221081</v>
      </c>
      <c r="K475" s="686"/>
      <c r="M475" s="48"/>
      <c r="N475" s="647"/>
      <c r="O475" s="647"/>
      <c r="P475" s="647"/>
      <c r="Q475" s="647"/>
      <c r="R475" s="47"/>
      <c r="S475" s="653"/>
      <c r="T475" s="653"/>
      <c r="U475" s="41"/>
      <c r="V475" s="653"/>
      <c r="W475" s="653"/>
      <c r="X475" s="246"/>
      <c r="Y475" s="12"/>
      <c r="Z475" s="12"/>
      <c r="AA475" s="12"/>
      <c r="AB475" s="12"/>
      <c r="AC475" s="12"/>
    </row>
    <row r="476" spans="1:29" ht="15" thickTop="1" x14ac:dyDescent="0.2">
      <c r="A476" s="1" t="s">
        <v>122</v>
      </c>
      <c r="B476" s="1" t="str">
        <f>"=(-"&amp;hs&amp;"x"&amp;bf&amp;")x"&amp;gc</f>
        <v>=(-1.5x0.5)x2.4</v>
      </c>
      <c r="E476" s="471"/>
      <c r="F476" s="618">
        <f>(-hs*bf)*gc</f>
        <v>-1.7999999999999998</v>
      </c>
      <c r="G476" s="688"/>
      <c r="H476" s="732">
        <f>bf/2</f>
        <v>0.25</v>
      </c>
      <c r="I476" s="733"/>
      <c r="J476" s="734">
        <f>F476*H476</f>
        <v>-0.44999999999999996</v>
      </c>
      <c r="K476" s="735"/>
      <c r="M476" s="48"/>
      <c r="N476" s="647"/>
      <c r="O476" s="647"/>
      <c r="P476" s="647"/>
      <c r="Q476" s="647"/>
      <c r="R476" s="47"/>
      <c r="S476" s="653"/>
      <c r="T476" s="653"/>
      <c r="U476" s="41"/>
      <c r="V476" s="653"/>
      <c r="W476" s="653"/>
      <c r="X476" s="246"/>
      <c r="Y476" s="12"/>
      <c r="Z476" s="12"/>
      <c r="AA476" s="12"/>
      <c r="AB476" s="12"/>
      <c r="AC476" s="12"/>
    </row>
    <row r="477" spans="1:29" x14ac:dyDescent="0.2">
      <c r="M477" s="250"/>
      <c r="N477" s="250"/>
      <c r="O477" s="250"/>
      <c r="P477" s="250"/>
      <c r="Q477" s="250"/>
      <c r="R477" s="250"/>
      <c r="S477" s="664"/>
      <c r="T477" s="664"/>
      <c r="U477" s="90"/>
      <c r="V477" s="92"/>
      <c r="W477" s="250"/>
      <c r="X477" s="250"/>
      <c r="Y477" s="12"/>
      <c r="Z477" s="12"/>
      <c r="AA477" s="12"/>
      <c r="AB477" s="12"/>
      <c r="AC477" s="12"/>
    </row>
    <row r="478" spans="1:29" x14ac:dyDescent="0.2">
      <c r="E478" s="471" t="s">
        <v>110</v>
      </c>
      <c r="F478" s="30">
        <f>MAX(F472:G475)+F476</f>
        <v>1010.7817522238847</v>
      </c>
      <c r="G478" s="1" t="s">
        <v>113</v>
      </c>
      <c r="I478" s="29" t="s">
        <v>111</v>
      </c>
      <c r="J478" s="60">
        <f>MAX(J472:K475)+J476</f>
        <v>255.70907422330419</v>
      </c>
      <c r="K478" s="1" t="s">
        <v>112</v>
      </c>
      <c r="M478" s="246"/>
      <c r="N478" s="246"/>
      <c r="O478" s="246"/>
      <c r="P478" s="246"/>
      <c r="Q478" s="44"/>
      <c r="R478" s="38"/>
      <c r="S478" s="246"/>
      <c r="T478" s="246"/>
      <c r="U478" s="41"/>
      <c r="V478" s="9"/>
      <c r="W478" s="9"/>
      <c r="X478" s="246"/>
      <c r="Y478" s="12"/>
      <c r="Z478" s="12"/>
      <c r="AA478" s="12"/>
      <c r="AB478" s="12"/>
      <c r="AC478" s="12"/>
    </row>
    <row r="479" spans="1:29" x14ac:dyDescent="0.2">
      <c r="M479" s="251"/>
      <c r="N479" s="246"/>
      <c r="O479" s="246"/>
      <c r="P479" s="246"/>
      <c r="Q479" s="44"/>
      <c r="R479" s="38"/>
      <c r="S479" s="246"/>
      <c r="T479" s="246"/>
      <c r="U479" s="41"/>
      <c r="V479" s="9"/>
      <c r="W479" s="9"/>
      <c r="X479" s="246"/>
      <c r="Y479" s="12"/>
      <c r="Z479" s="12"/>
      <c r="AA479" s="12"/>
      <c r="AB479" s="12"/>
      <c r="AC479" s="12"/>
    </row>
    <row r="480" spans="1:29" ht="15" x14ac:dyDescent="0.25">
      <c r="A480" s="680" t="s">
        <v>145</v>
      </c>
      <c r="B480" s="680"/>
      <c r="C480" s="680" t="s">
        <v>146</v>
      </c>
      <c r="D480" s="680"/>
      <c r="M480" s="632"/>
      <c r="N480" s="632"/>
      <c r="O480" s="248"/>
      <c r="P480" s="633"/>
      <c r="Q480" s="633"/>
      <c r="R480" s="38"/>
      <c r="S480" s="89"/>
      <c r="T480" s="246"/>
      <c r="U480" s="41"/>
      <c r="V480" s="9"/>
      <c r="W480" s="9"/>
      <c r="X480" s="246"/>
      <c r="Y480" s="12"/>
      <c r="Z480" s="12"/>
      <c r="AA480" s="12"/>
      <c r="AB480" s="12"/>
      <c r="AC480" s="12"/>
    </row>
    <row r="481" spans="1:29" x14ac:dyDescent="0.2">
      <c r="A481" s="705">
        <f>100</f>
        <v>100</v>
      </c>
      <c r="B481" s="705"/>
      <c r="C481" s="680">
        <f>(hs-pp)*100</f>
        <v>145</v>
      </c>
      <c r="D481" s="680"/>
      <c r="H481" s="60"/>
      <c r="M481" s="9"/>
      <c r="N481" s="42"/>
      <c r="O481" s="42"/>
      <c r="P481" s="9"/>
      <c r="Q481" s="43"/>
      <c r="R481" s="38"/>
      <c r="S481" s="246"/>
      <c r="T481" s="246"/>
      <c r="U481" s="41"/>
      <c r="V481" s="9"/>
      <c r="W481" s="9"/>
      <c r="X481" s="246"/>
      <c r="Y481" s="12"/>
      <c r="Z481" s="12"/>
      <c r="AA481" s="12"/>
      <c r="AB481" s="12"/>
      <c r="AC481" s="12"/>
    </row>
    <row r="482" spans="1:29" ht="13.5" customHeight="1" x14ac:dyDescent="0.2">
      <c r="M482" s="246"/>
      <c r="N482" s="246"/>
      <c r="O482" s="246"/>
      <c r="P482" s="246"/>
      <c r="Q482" s="44"/>
      <c r="R482" s="38"/>
      <c r="S482" s="246"/>
      <c r="T482" s="246"/>
      <c r="U482" s="41"/>
      <c r="V482" s="9"/>
      <c r="W482" s="9"/>
      <c r="X482" s="246"/>
      <c r="Y482" s="12"/>
      <c r="Z482" s="12"/>
      <c r="AA482" s="12"/>
      <c r="AB482" s="12"/>
      <c r="AC482" s="12"/>
    </row>
    <row r="483" spans="1:29" ht="15" x14ac:dyDescent="0.25">
      <c r="A483" s="88" t="s">
        <v>142</v>
      </c>
      <c r="B483" s="12"/>
      <c r="C483" s="12"/>
      <c r="D483" s="12"/>
      <c r="E483" s="170"/>
      <c r="F483" s="12"/>
      <c r="G483" s="12"/>
      <c r="H483" s="12"/>
      <c r="I483" s="12"/>
      <c r="J483" s="12"/>
      <c r="K483" s="12"/>
      <c r="M483" s="246"/>
      <c r="N483" s="246"/>
      <c r="O483" s="246"/>
      <c r="P483" s="89"/>
      <c r="Q483" s="44"/>
      <c r="R483" s="38"/>
      <c r="S483" s="246"/>
      <c r="T483" s="246"/>
      <c r="U483" s="41"/>
      <c r="V483" s="9"/>
      <c r="W483" s="9"/>
      <c r="X483" s="246"/>
      <c r="Y483" s="12"/>
      <c r="Z483" s="12"/>
      <c r="AA483" s="12"/>
      <c r="AB483" s="12"/>
      <c r="AC483" s="12"/>
    </row>
    <row r="484" spans="1:29" ht="18" x14ac:dyDescent="0.35">
      <c r="A484" s="86" t="s">
        <v>144</v>
      </c>
      <c r="B484" s="12"/>
      <c r="C484" s="12"/>
      <c r="D484" s="87">
        <f>0.65*fctd*A481*C481</f>
        <v>108.38749999999999</v>
      </c>
      <c r="E484" s="170" t="s">
        <v>113</v>
      </c>
      <c r="F484" s="93" t="str">
        <f>" "&amp;IF(D484&lt;H484,"&lt;","&gt;")&amp;"     Vd ="</f>
        <v xml:space="preserve"> &lt;     Vd =</v>
      </c>
      <c r="G484" s="12"/>
      <c r="H484" s="92">
        <f>F478</f>
        <v>1010.7817522238847</v>
      </c>
      <c r="I484" s="12" t="str">
        <f>E484</f>
        <v>t/m</v>
      </c>
      <c r="J484" s="94" t="str">
        <f>IF(D484&lt;H484,"not O.K.","O.K.")</f>
        <v>not O.K.</v>
      </c>
      <c r="K484" s="12"/>
      <c r="M484" s="246"/>
      <c r="N484" s="669"/>
      <c r="O484" s="669"/>
      <c r="P484" s="669"/>
      <c r="Q484" s="46"/>
      <c r="R484" s="47"/>
      <c r="S484" s="48"/>
      <c r="T484" s="48"/>
      <c r="U484" s="46"/>
      <c r="V484" s="49"/>
      <c r="W484" s="48"/>
      <c r="X484" s="50"/>
      <c r="Y484" s="12"/>
      <c r="Z484" s="12"/>
      <c r="AA484" s="12"/>
      <c r="AB484" s="12"/>
      <c r="AC484" s="12"/>
    </row>
    <row r="485" spans="1:29" ht="18" x14ac:dyDescent="0.35">
      <c r="A485" s="89" t="s">
        <v>143</v>
      </c>
      <c r="B485" s="12"/>
      <c r="C485" s="12"/>
      <c r="D485" s="87">
        <f>0.9*0.22*fcd*A481*C481</f>
        <v>488.07</v>
      </c>
      <c r="E485" s="170" t="s">
        <v>113</v>
      </c>
      <c r="F485" s="93" t="str">
        <f>" "&amp;IF(D485&lt;H485,"&lt;","&gt;")&amp;"     Vd ="</f>
        <v xml:space="preserve"> &lt;     Vd =</v>
      </c>
      <c r="G485" s="12"/>
      <c r="H485" s="92">
        <f>H484</f>
        <v>1010.7817522238847</v>
      </c>
      <c r="I485" s="12" t="str">
        <f>E485</f>
        <v>t/m</v>
      </c>
      <c r="J485" s="94" t="str">
        <f>IF(D485&lt;H485,"not O.K.","O.K.")</f>
        <v>not O.K.</v>
      </c>
      <c r="K485" s="12"/>
      <c r="M485" s="43"/>
      <c r="N485" s="653"/>
      <c r="O485" s="653"/>
      <c r="P485" s="653"/>
      <c r="Q485" s="46"/>
      <c r="R485" s="47"/>
      <c r="S485" s="48"/>
      <c r="T485" s="48"/>
      <c r="U485" s="46"/>
      <c r="V485" s="49"/>
      <c r="W485" s="48"/>
      <c r="X485" s="50"/>
      <c r="Y485" s="12"/>
      <c r="Z485" s="12"/>
      <c r="AA485" s="12"/>
      <c r="AB485" s="12"/>
      <c r="AC485" s="12"/>
    </row>
    <row r="486" spans="1:29" x14ac:dyDescent="0.2">
      <c r="A486" s="12"/>
      <c r="B486" s="12"/>
      <c r="C486" s="12"/>
      <c r="D486" s="12"/>
      <c r="E486" s="170"/>
      <c r="F486" s="12"/>
      <c r="G486" s="12"/>
      <c r="H486" s="12"/>
      <c r="I486" s="12"/>
      <c r="J486" s="12"/>
      <c r="K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  <c r="AA486" s="12"/>
      <c r="AB486" s="12"/>
      <c r="AC486" s="12"/>
    </row>
    <row r="487" spans="1:29" x14ac:dyDescent="0.2">
      <c r="A487" s="88" t="s">
        <v>147</v>
      </c>
      <c r="B487" s="12"/>
      <c r="C487" s="12"/>
      <c r="D487" s="12"/>
      <c r="E487" s="170"/>
      <c r="F487" s="12"/>
      <c r="G487" s="12"/>
      <c r="H487" s="12"/>
      <c r="I487" s="12"/>
      <c r="J487" s="12"/>
      <c r="K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  <c r="AA487" s="12"/>
      <c r="AB487" s="12"/>
      <c r="AC487" s="12"/>
    </row>
    <row r="488" spans="1:29" s="261" customFormat="1" ht="15" x14ac:dyDescent="0.25">
      <c r="A488" s="88" t="s">
        <v>203</v>
      </c>
      <c r="B488" s="12"/>
      <c r="C488" s="12"/>
      <c r="D488" s="12"/>
      <c r="E488" s="428"/>
      <c r="F488" s="257"/>
      <c r="G488" s="93"/>
      <c r="H488" s="257"/>
      <c r="I488" s="156"/>
      <c r="J488" s="257"/>
      <c r="K488" s="258"/>
      <c r="L488" s="259"/>
      <c r="M488" s="259"/>
      <c r="N488" s="259"/>
      <c r="O488" s="170"/>
      <c r="P488" s="170"/>
      <c r="Q488" s="170"/>
      <c r="R488" s="170"/>
      <c r="S488" s="170"/>
      <c r="T488" s="170"/>
      <c r="U488" s="170"/>
      <c r="V488" s="170"/>
      <c r="W488" s="170"/>
      <c r="X488" s="170"/>
      <c r="Y488" s="170"/>
      <c r="Z488" s="170"/>
      <c r="AA488" s="170"/>
      <c r="AB488" s="170"/>
      <c r="AC488" s="170"/>
    </row>
    <row r="489" spans="1:29" s="261" customFormat="1" x14ac:dyDescent="0.2">
      <c r="A489" s="648" t="str">
        <f>"A= "&amp;ROUND(bw,2)&amp;"x1.00="</f>
        <v>A= 6.25x1.00=</v>
      </c>
      <c r="B489" s="648"/>
      <c r="C489" s="648"/>
      <c r="D489" s="256">
        <f>bw</f>
        <v>6.25</v>
      </c>
      <c r="E489" s="425" t="s">
        <v>205</v>
      </c>
      <c r="F489" s="256"/>
      <c r="G489" s="256"/>
      <c r="H489" s="256"/>
      <c r="I489" s="256"/>
      <c r="J489" s="256"/>
      <c r="K489" s="253"/>
      <c r="L489" s="260"/>
      <c r="M489" s="260"/>
      <c r="N489" s="260"/>
      <c r="O489" s="170"/>
      <c r="P489" s="170"/>
      <c r="Q489" s="170"/>
      <c r="R489" s="170"/>
      <c r="S489" s="170"/>
      <c r="T489" s="170"/>
      <c r="U489" s="170"/>
      <c r="V489" s="170"/>
      <c r="W489" s="170"/>
      <c r="X489" s="170"/>
      <c r="Y489" s="170"/>
      <c r="Z489" s="170"/>
      <c r="AA489" s="170"/>
      <c r="AB489" s="170"/>
      <c r="AC489" s="170"/>
    </row>
    <row r="490" spans="1:29" s="261" customFormat="1" x14ac:dyDescent="0.2">
      <c r="A490" s="648" t="str">
        <f>"W= ("&amp;ROUND(bw,2)&amp;"x"&amp;ROUND(bw,2)&amp;"x1.00)/6="</f>
        <v>W= (6.25x6.25x1.00)/6=</v>
      </c>
      <c r="B490" s="648"/>
      <c r="C490" s="648"/>
      <c r="D490" s="256">
        <f>bw^2/6</f>
        <v>6.510416666666667</v>
      </c>
      <c r="E490" s="464" t="s">
        <v>204</v>
      </c>
      <c r="F490" s="256"/>
      <c r="G490" s="256"/>
      <c r="H490" s="256"/>
      <c r="I490" s="256"/>
      <c r="J490" s="256"/>
      <c r="K490" s="253"/>
      <c r="L490" s="260"/>
      <c r="M490" s="260"/>
      <c r="N490" s="260"/>
      <c r="O490" s="170"/>
      <c r="P490" s="170"/>
      <c r="Q490" s="170"/>
      <c r="R490" s="170"/>
      <c r="S490" s="170"/>
      <c r="T490" s="170"/>
      <c r="U490" s="170"/>
      <c r="V490" s="170"/>
      <c r="W490" s="170"/>
      <c r="X490" s="170"/>
      <c r="Y490" s="170"/>
      <c r="Z490" s="170"/>
      <c r="AA490" s="170"/>
      <c r="AB490" s="170"/>
      <c r="AC490" s="170"/>
    </row>
    <row r="491" spans="1:29" s="261" customFormat="1" ht="15" x14ac:dyDescent="0.25">
      <c r="A491"/>
      <c r="B491" s="256"/>
      <c r="C491" s="262"/>
      <c r="D491" s="262"/>
      <c r="E491" s="262"/>
      <c r="F491" s="262"/>
      <c r="G491" s="262"/>
      <c r="H491" s="262"/>
      <c r="I491" s="262"/>
      <c r="J491" s="262"/>
      <c r="K491" s="262"/>
      <c r="L491" s="260"/>
      <c r="M491" s="260"/>
      <c r="N491" s="260"/>
      <c r="O491" s="170"/>
      <c r="P491" s="170"/>
      <c r="Q491" s="170"/>
      <c r="R491" s="170"/>
      <c r="S491" s="170"/>
      <c r="T491" s="170"/>
      <c r="U491" s="170"/>
      <c r="V491" s="170"/>
      <c r="W491" s="170"/>
      <c r="X491" s="170"/>
      <c r="Y491" s="170"/>
      <c r="Z491" s="170"/>
      <c r="AA491" s="170"/>
      <c r="AB491" s="170"/>
      <c r="AC491" s="170"/>
    </row>
    <row r="492" spans="1:29" s="261" customFormat="1" ht="15" x14ac:dyDescent="0.25">
      <c r="A492" s="144"/>
      <c r="B492" s="144"/>
      <c r="C492" s="263" t="s">
        <v>206</v>
      </c>
      <c r="D492" s="264">
        <f>J478</f>
        <v>255.70907422330419</v>
      </c>
      <c r="E492" s="265" t="s">
        <v>206</v>
      </c>
      <c r="F492" s="273">
        <f>D492/D493</f>
        <v>39.276913800699518</v>
      </c>
      <c r="G492" s="274" t="s">
        <v>208</v>
      </c>
      <c r="H492" s="313" t="str">
        <f>IF(fctd*10000&gt;F492," &lt; fctd   OK (Donatı Gerekmez)"," NOT OK (Donatı Gerekir)")</f>
        <v xml:space="preserve"> &lt; fctd   OK (Donatı Gerekmez)</v>
      </c>
      <c r="I492" s="275"/>
      <c r="J492" s="265"/>
      <c r="K492" s="267"/>
      <c r="L492" s="260"/>
      <c r="M492" s="260"/>
      <c r="N492" s="260"/>
      <c r="O492" s="170"/>
      <c r="P492" s="170"/>
      <c r="Q492" s="170"/>
      <c r="R492" s="170"/>
      <c r="S492" s="170"/>
      <c r="T492" s="170"/>
      <c r="U492" s="170"/>
      <c r="V492" s="170"/>
      <c r="W492" s="170"/>
      <c r="X492" s="170"/>
      <c r="Y492" s="170"/>
      <c r="Z492" s="170"/>
      <c r="AA492" s="170"/>
      <c r="AB492" s="170"/>
      <c r="AC492" s="170"/>
    </row>
    <row r="493" spans="1:29" s="261" customFormat="1" ht="15" x14ac:dyDescent="0.25">
      <c r="A493" s="144"/>
      <c r="B493" s="144"/>
      <c r="C493" s="252"/>
      <c r="D493" s="255">
        <f>D490</f>
        <v>6.510416666666667</v>
      </c>
      <c r="E493" s="265"/>
      <c r="F493" s="255"/>
      <c r="G493" s="252"/>
      <c r="H493" s="252"/>
      <c r="I493" s="252"/>
      <c r="J493" s="252"/>
      <c r="K493"/>
      <c r="L493" s="260"/>
      <c r="M493" s="260"/>
      <c r="N493" s="260"/>
      <c r="O493" s="170"/>
      <c r="P493" s="170"/>
      <c r="Q493" s="170"/>
      <c r="R493" s="170"/>
      <c r="S493" s="170"/>
      <c r="T493" s="170"/>
      <c r="U493" s="170"/>
      <c r="V493" s="170"/>
      <c r="W493" s="170"/>
      <c r="X493" s="170"/>
      <c r="Y493" s="170"/>
      <c r="Z493" s="170"/>
      <c r="AA493" s="170"/>
      <c r="AB493" s="170"/>
      <c r="AC493" s="170"/>
    </row>
    <row r="494" spans="1:29" s="261" customFormat="1" x14ac:dyDescent="0.2">
      <c r="A494" s="144"/>
      <c r="B494" s="144"/>
      <c r="C494" s="252"/>
      <c r="D494" s="252"/>
      <c r="E494" s="265"/>
      <c r="F494" s="252"/>
      <c r="G494" s="252"/>
      <c r="H494" s="252"/>
      <c r="I494" s="252"/>
      <c r="J494" s="252"/>
      <c r="K494" s="254"/>
      <c r="L494" s="2"/>
      <c r="M494" s="2"/>
      <c r="N494" s="2"/>
      <c r="O494" s="170"/>
      <c r="P494" s="170"/>
      <c r="Q494" s="170"/>
      <c r="R494" s="170"/>
      <c r="S494" s="170"/>
      <c r="T494" s="170"/>
      <c r="U494" s="170"/>
      <c r="V494" s="170"/>
      <c r="W494" s="170"/>
      <c r="X494" s="170"/>
      <c r="Y494" s="170"/>
      <c r="Z494" s="170"/>
      <c r="AA494" s="170"/>
      <c r="AB494" s="170"/>
      <c r="AC494" s="170"/>
    </row>
    <row r="495" spans="1:29" s="261" customFormat="1" x14ac:dyDescent="0.2">
      <c r="A495" s="452" t="s">
        <v>147</v>
      </c>
      <c r="B495" s="144"/>
      <c r="C495" s="252"/>
      <c r="D495" s="252"/>
      <c r="E495" s="265"/>
      <c r="F495" s="252"/>
      <c r="G495" s="252"/>
      <c r="H495" s="252"/>
      <c r="I495" s="252"/>
      <c r="J495" s="252"/>
      <c r="K495" s="254"/>
      <c r="L495" s="2"/>
      <c r="M495" s="2"/>
      <c r="N495" s="2"/>
      <c r="O495" s="170"/>
      <c r="P495" s="170"/>
      <c r="Q495" s="170"/>
      <c r="R495" s="170"/>
      <c r="S495" s="170"/>
      <c r="T495" s="170"/>
      <c r="U495" s="170"/>
      <c r="V495" s="170"/>
      <c r="W495" s="170"/>
      <c r="X495" s="170"/>
      <c r="Y495" s="170"/>
      <c r="Z495" s="170"/>
      <c r="AA495" s="170"/>
      <c r="AB495" s="170"/>
      <c r="AC495" s="170"/>
    </row>
    <row r="496" spans="1:29" s="261" customFormat="1" ht="15" x14ac:dyDescent="0.25">
      <c r="A496" s="267" t="s">
        <v>335</v>
      </c>
      <c r="B496" s="443"/>
      <c r="C496" s="444">
        <v>14</v>
      </c>
      <c r="D496" s="445">
        <v>15</v>
      </c>
      <c r="E496" s="446" t="s">
        <v>336</v>
      </c>
      <c r="F496" s="447" t="s">
        <v>337</v>
      </c>
      <c r="G496" s="448">
        <f>((PI()*C496^2/4)*(A481/D496))/100</f>
        <v>10.262536001726657</v>
      </c>
      <c r="H496" s="443" t="s">
        <v>338</v>
      </c>
      <c r="I496" s="449"/>
      <c r="J496" s="449"/>
      <c r="K496" s="449"/>
      <c r="L496" s="2"/>
      <c r="M496" s="2"/>
      <c r="N496" s="2"/>
      <c r="O496" s="170"/>
      <c r="P496" s="170"/>
      <c r="Q496" s="170"/>
      <c r="R496" s="170"/>
      <c r="S496" s="170"/>
      <c r="T496" s="170"/>
      <c r="U496" s="170"/>
      <c r="V496" s="170"/>
      <c r="W496" s="170"/>
      <c r="X496" s="170"/>
      <c r="Y496" s="170"/>
      <c r="Z496" s="170"/>
      <c r="AA496" s="170"/>
      <c r="AB496" s="170"/>
      <c r="AC496" s="170"/>
    </row>
    <row r="497" spans="1:29" s="261" customFormat="1" x14ac:dyDescent="0.2">
      <c r="A497" s="443"/>
      <c r="B497" s="443"/>
      <c r="C497" s="443"/>
      <c r="D497" s="443"/>
      <c r="E497" s="443"/>
      <c r="F497" s="443"/>
      <c r="G497" s="443"/>
      <c r="H497" s="443"/>
      <c r="I497" s="449"/>
      <c r="J497" s="449"/>
      <c r="K497" s="449"/>
      <c r="L497" s="2"/>
      <c r="M497" s="2"/>
      <c r="N497" s="2"/>
      <c r="O497" s="170"/>
      <c r="P497" s="170"/>
      <c r="Q497" s="170"/>
      <c r="R497" s="170"/>
      <c r="S497" s="170"/>
      <c r="T497" s="170"/>
      <c r="U497" s="170"/>
      <c r="V497" s="170"/>
      <c r="W497" s="170"/>
      <c r="X497" s="170"/>
      <c r="Y497" s="170"/>
      <c r="Z497" s="170"/>
      <c r="AA497" s="170"/>
      <c r="AB497" s="170"/>
      <c r="AC497" s="170"/>
    </row>
    <row r="498" spans="1:29" s="261" customFormat="1" x14ac:dyDescent="0.2">
      <c r="A498" s="443" t="s">
        <v>339</v>
      </c>
      <c r="B498" s="443"/>
      <c r="C498" s="451">
        <f>(J478*100)/(fyd*0.86*C481)</f>
        <v>56.180658066659539</v>
      </c>
      <c r="D498" s="443"/>
      <c r="E498" s="443"/>
      <c r="F498" s="443"/>
      <c r="G498" s="443"/>
      <c r="H498" s="443"/>
      <c r="I498" s="449"/>
      <c r="J498" s="449"/>
      <c r="K498" s="449"/>
      <c r="L498" s="2"/>
      <c r="M498" s="2"/>
      <c r="N498" s="2"/>
      <c r="O498" s="170"/>
      <c r="P498" s="170"/>
      <c r="Q498" s="170"/>
      <c r="R498" s="170"/>
      <c r="S498" s="170"/>
      <c r="T498" s="170"/>
      <c r="U498" s="170"/>
      <c r="V498" s="170"/>
      <c r="W498" s="170"/>
      <c r="X498" s="170"/>
      <c r="Y498" s="170"/>
      <c r="Z498" s="170"/>
      <c r="AA498" s="170"/>
      <c r="AB498" s="170"/>
      <c r="AC498" s="170"/>
    </row>
    <row r="499" spans="1:29" s="261" customFormat="1" ht="15" x14ac:dyDescent="0.25">
      <c r="A499" s="443" t="s">
        <v>340</v>
      </c>
      <c r="B499" s="443"/>
      <c r="C499" s="443">
        <f>0.002*A481*(C481+5)</f>
        <v>30</v>
      </c>
      <c r="D499" s="443"/>
      <c r="E499" s="443"/>
      <c r="F499" s="443"/>
      <c r="G499" s="443"/>
      <c r="H499" s="450" t="str">
        <f>IF(G496&lt;C498,"not O.K.","O.K.")</f>
        <v>not O.K.</v>
      </c>
      <c r="I499" s="449"/>
      <c r="J499" s="449"/>
      <c r="K499" s="449"/>
      <c r="L499" s="2"/>
      <c r="M499" s="2"/>
      <c r="N499" s="2"/>
      <c r="O499" s="170"/>
      <c r="P499" s="170"/>
      <c r="Q499" s="170"/>
      <c r="R499" s="170"/>
      <c r="S499" s="170"/>
      <c r="T499" s="170"/>
      <c r="U499" s="170"/>
      <c r="V499" s="170"/>
      <c r="W499" s="170"/>
      <c r="X499" s="170"/>
      <c r="Y499" s="170"/>
      <c r="Z499" s="170"/>
      <c r="AA499" s="170"/>
      <c r="AB499" s="170"/>
      <c r="AC499" s="170"/>
    </row>
    <row r="500" spans="1:29" s="261" customFormat="1" x14ac:dyDescent="0.2">
      <c r="A500" s="144"/>
      <c r="B500" s="144"/>
      <c r="C500" s="252"/>
      <c r="D500" s="252"/>
      <c r="E500" s="265"/>
      <c r="F500" s="252"/>
      <c r="G500" s="252"/>
      <c r="H500" s="252"/>
      <c r="I500" s="252"/>
      <c r="J500" s="252"/>
      <c r="K500" s="254"/>
      <c r="L500" s="2"/>
      <c r="M500" s="2"/>
      <c r="N500" s="2"/>
      <c r="O500" s="170"/>
      <c r="P500" s="170"/>
      <c r="Q500" s="170"/>
      <c r="R500" s="170"/>
      <c r="S500" s="170"/>
      <c r="T500" s="170"/>
      <c r="U500" s="170"/>
      <c r="V500" s="170"/>
      <c r="W500" s="170"/>
      <c r="X500" s="170"/>
      <c r="Y500" s="170"/>
      <c r="Z500" s="170"/>
      <c r="AA500" s="170"/>
      <c r="AB500" s="170"/>
      <c r="AC500" s="170"/>
    </row>
    <row r="501" spans="1:29" s="261" customFormat="1" x14ac:dyDescent="0.2">
      <c r="A501" s="144"/>
      <c r="B501" s="144"/>
      <c r="C501" s="252"/>
      <c r="D501" s="252"/>
      <c r="E501" s="265"/>
      <c r="F501" s="252"/>
      <c r="G501" s="252"/>
      <c r="H501" s="252"/>
      <c r="I501" s="252"/>
      <c r="J501" s="252"/>
      <c r="K501" s="254"/>
      <c r="L501" s="2"/>
      <c r="M501" s="2"/>
      <c r="N501" s="2"/>
      <c r="O501" s="170"/>
      <c r="P501" s="170"/>
      <c r="Q501" s="170"/>
      <c r="R501" s="170"/>
      <c r="S501" s="170"/>
      <c r="T501" s="170"/>
      <c r="U501" s="170"/>
      <c r="V501" s="170"/>
      <c r="W501" s="170"/>
      <c r="X501" s="170"/>
      <c r="Y501" s="170"/>
      <c r="Z501" s="170"/>
      <c r="AA501" s="170"/>
      <c r="AB501" s="170"/>
      <c r="AC501" s="170"/>
    </row>
    <row r="502" spans="1:29" ht="31.5" customHeight="1" x14ac:dyDescent="0.2">
      <c r="A502" s="695" t="s">
        <v>124</v>
      </c>
      <c r="B502" s="695"/>
      <c r="C502" s="695"/>
      <c r="D502" s="695"/>
      <c r="E502" s="695"/>
      <c r="F502" s="695"/>
      <c r="G502" s="695"/>
      <c r="H502" s="695"/>
      <c r="I502" s="695"/>
      <c r="J502" s="695"/>
      <c r="K502" s="695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  <c r="AA502" s="12"/>
      <c r="AB502" s="12"/>
      <c r="AC502" s="12"/>
    </row>
    <row r="503" spans="1:29" x14ac:dyDescent="0.2"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  <c r="AA503" s="12"/>
      <c r="AB503" s="12"/>
      <c r="AC503" s="12"/>
    </row>
    <row r="504" spans="1:29" x14ac:dyDescent="0.2"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  <c r="AA504" s="12"/>
      <c r="AB504" s="12"/>
      <c r="AC504" s="12"/>
    </row>
    <row r="505" spans="1:29" x14ac:dyDescent="0.2"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  <c r="AA505" s="12"/>
      <c r="AB505" s="12"/>
      <c r="AC505" s="12"/>
    </row>
    <row r="506" spans="1:29" x14ac:dyDescent="0.2"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  <c r="AA506" s="12"/>
      <c r="AB506" s="12"/>
      <c r="AC506" s="12"/>
    </row>
    <row r="507" spans="1:29" x14ac:dyDescent="0.2"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  <c r="AA507" s="12"/>
      <c r="AB507" s="12"/>
      <c r="AC507" s="12"/>
    </row>
    <row r="508" spans="1:29" x14ac:dyDescent="0.2"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  <c r="AA508" s="12"/>
      <c r="AB508" s="12"/>
      <c r="AC508" s="12"/>
    </row>
    <row r="509" spans="1:29" x14ac:dyDescent="0.2"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  <c r="AA509" s="12"/>
      <c r="AB509" s="12"/>
      <c r="AC509" s="12"/>
    </row>
    <row r="510" spans="1:29" x14ac:dyDescent="0.2"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  <c r="AA510" s="12"/>
      <c r="AB510" s="12"/>
      <c r="AC510" s="12"/>
    </row>
    <row r="511" spans="1:29" x14ac:dyDescent="0.2">
      <c r="L511" s="2"/>
      <c r="M511" s="9"/>
      <c r="N511" s="9"/>
      <c r="O511" s="9"/>
      <c r="P511" s="9"/>
      <c r="Q511" s="9"/>
      <c r="R511" s="9"/>
      <c r="S511" s="9"/>
      <c r="T511" s="9"/>
      <c r="U511" s="9"/>
      <c r="V511" s="12"/>
      <c r="W511" s="12"/>
      <c r="X511" s="12"/>
      <c r="Y511" s="12"/>
      <c r="Z511" s="12"/>
      <c r="AA511" s="12"/>
      <c r="AB511" s="12"/>
      <c r="AC511" s="12"/>
    </row>
    <row r="512" spans="1:29" x14ac:dyDescent="0.2">
      <c r="L512" s="2"/>
      <c r="M512" s="2"/>
      <c r="N512" s="2"/>
      <c r="O512" s="2"/>
      <c r="P512" s="2"/>
      <c r="Q512" s="2"/>
      <c r="R512" s="2"/>
      <c r="S512" s="2"/>
      <c r="T512" s="2"/>
      <c r="U512" s="2"/>
    </row>
    <row r="513" spans="1:27" x14ac:dyDescent="0.2"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</row>
    <row r="514" spans="1:27" x14ac:dyDescent="0.2"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</row>
    <row r="515" spans="1:27" x14ac:dyDescent="0.2"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</row>
    <row r="516" spans="1:27" x14ac:dyDescent="0.2"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</row>
    <row r="517" spans="1:27" x14ac:dyDescent="0.2"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</row>
    <row r="518" spans="1:27" x14ac:dyDescent="0.2"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</row>
    <row r="519" spans="1:27" x14ac:dyDescent="0.2"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</row>
    <row r="520" spans="1:27" ht="31.5" customHeight="1" x14ac:dyDescent="0.25">
      <c r="A520" s="13"/>
      <c r="B520" s="13"/>
      <c r="C520" s="61" t="s">
        <v>118</v>
      </c>
      <c r="D520" s="61" t="s">
        <v>119</v>
      </c>
      <c r="E520" s="470" t="s">
        <v>125</v>
      </c>
      <c r="F520" s="693" t="s">
        <v>162</v>
      </c>
      <c r="G520" s="694"/>
      <c r="H520" s="693" t="s">
        <v>121</v>
      </c>
      <c r="I520" s="694"/>
      <c r="J520" s="693" t="s">
        <v>329</v>
      </c>
      <c r="K520" s="694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</row>
    <row r="521" spans="1:27" s="2" customFormat="1" ht="12.75" x14ac:dyDescent="0.2">
      <c r="A521" s="649" t="s">
        <v>114</v>
      </c>
      <c r="B521" s="687"/>
      <c r="C521" s="65">
        <f>C472</f>
        <v>1.9392417365014747</v>
      </c>
      <c r="D521" s="65">
        <f>D472</f>
        <v>30.817925363040725</v>
      </c>
      <c r="E521" s="431">
        <f>C521+(D521-C521)/b*br</f>
        <v>3.9308750900559057</v>
      </c>
      <c r="F521" s="644">
        <f>(E521+C521)/2*br</f>
        <v>1.4675292066393451</v>
      </c>
      <c r="G521" s="674"/>
      <c r="H521" s="683">
        <f>(C521*br*br/2+(E521-C521)*br/2*2*br/3)/(C521*br+(E521-C521)*br/2)</f>
        <v>0.27827361891311309</v>
      </c>
      <c r="I521" s="684"/>
      <c r="J521" s="644">
        <f t="shared" ref="J521:J529" si="18">F521*H521</f>
        <v>0.40837466319222027</v>
      </c>
      <c r="K521" s="674"/>
    </row>
    <row r="522" spans="1:27" s="2" customFormat="1" ht="12.75" x14ac:dyDescent="0.2">
      <c r="A522" s="649" t="s">
        <v>115</v>
      </c>
      <c r="B522" s="687"/>
      <c r="C522" s="65">
        <f>E194</f>
        <v>0</v>
      </c>
      <c r="D522" s="66">
        <f>E193</f>
        <v>2097.490772463761</v>
      </c>
      <c r="E522" s="431">
        <f>C522+(D522-C522)/b*br</f>
        <v>144.65453603198353</v>
      </c>
      <c r="F522" s="644">
        <f>(E522+C522)/2*br</f>
        <v>36.163634007995881</v>
      </c>
      <c r="G522" s="674"/>
      <c r="H522" s="683">
        <f>(C522*br*br/2+(E522-C522)*br/2*2*br/3)/(C522*br+(E522-C522)*br/2)</f>
        <v>0.33333333333333331</v>
      </c>
      <c r="I522" s="684"/>
      <c r="J522" s="644">
        <f t="shared" si="18"/>
        <v>12.05454466933196</v>
      </c>
      <c r="K522" s="674"/>
    </row>
    <row r="523" spans="1:27" s="2" customFormat="1" ht="12.75" x14ac:dyDescent="0.2">
      <c r="A523" s="649" t="s">
        <v>116</v>
      </c>
      <c r="B523" s="687"/>
      <c r="C523" s="65">
        <f>E311</f>
        <v>3.2913504984278679</v>
      </c>
      <c r="D523" s="65">
        <f>E310</f>
        <v>19.717302661851022</v>
      </c>
      <c r="E523" s="431">
        <f>C523+(D523-C523)/b*br</f>
        <v>4.4241747855604991</v>
      </c>
      <c r="F523" s="644">
        <f>(E523+C523)/2*br</f>
        <v>1.9288813209970916</v>
      </c>
      <c r="G523" s="674"/>
      <c r="H523" s="683">
        <f>(C523*br*br/2+(E523-C523)*br/2*2*br/3)/(C523*br+(E523-C523)*br/2)</f>
        <v>0.2622353333639677</v>
      </c>
      <c r="I523" s="684"/>
      <c r="J523" s="644">
        <f t="shared" si="18"/>
        <v>0.50582083623120278</v>
      </c>
      <c r="K523" s="674"/>
    </row>
    <row r="524" spans="1:27" s="2" customFormat="1" ht="13.5" thickBot="1" x14ac:dyDescent="0.25">
      <c r="A524" s="681" t="s">
        <v>117</v>
      </c>
      <c r="B524" s="682"/>
      <c r="C524" s="67">
        <f>C475</f>
        <v>5.9205075577584951</v>
      </c>
      <c r="D524" s="67">
        <f>E362</f>
        <v>24.529652413645533</v>
      </c>
      <c r="E524" s="431">
        <f>C524+(D524-C524)/b*br</f>
        <v>7.203896858164498</v>
      </c>
      <c r="F524" s="644">
        <f>(E524+C524)/2*br</f>
        <v>3.2811011039807481</v>
      </c>
      <c r="G524" s="674"/>
      <c r="H524" s="683">
        <f>(C524*br*br/2+(E524-C524)*br/2*2*br/3)/(C524*br+(E524-C524)*br/2)</f>
        <v>0.25814887327286351</v>
      </c>
      <c r="I524" s="684"/>
      <c r="J524" s="685">
        <f t="shared" si="18"/>
        <v>0.84701255308697865</v>
      </c>
      <c r="K524" s="686"/>
    </row>
    <row r="525" spans="1:27" s="2" customFormat="1" ht="15" thickTop="1" x14ac:dyDescent="0.2">
      <c r="A525" s="69" t="s">
        <v>122</v>
      </c>
      <c r="B525" s="11" t="str">
        <f>"("&amp;hs&amp;"x"&amp;br&amp;")x"&amp;gc</f>
        <v>(1.5x0.5)x2.4</v>
      </c>
      <c r="C525" s="11"/>
      <c r="D525" s="11"/>
      <c r="E525" s="472"/>
      <c r="F525" s="691">
        <f>(hs*br)*gc</f>
        <v>1.7999999999999998</v>
      </c>
      <c r="G525" s="692"/>
      <c r="H525" s="689">
        <f>br/2</f>
        <v>0.25</v>
      </c>
      <c r="I525" s="690"/>
      <c r="J525" s="618">
        <f t="shared" si="18"/>
        <v>0.44999999999999996</v>
      </c>
      <c r="K525" s="688"/>
      <c r="L525" s="1"/>
      <c r="M525" s="1"/>
      <c r="N525" s="1"/>
      <c r="O525" s="1"/>
      <c r="P525" s="1"/>
      <c r="Q525" s="1"/>
      <c r="R525" s="1"/>
      <c r="S525" s="1"/>
      <c r="T525" s="1"/>
      <c r="U525" s="1"/>
    </row>
    <row r="526" spans="1:27" s="2" customFormat="1" ht="15.75" x14ac:dyDescent="0.2">
      <c r="A526" s="34" t="s">
        <v>60</v>
      </c>
      <c r="B526" s="6" t="str">
        <f>" "&amp;br&amp;"x"&amp;ROUND(h-hs-0.5-(hsuf-hs),3)&amp;"x"&amp;ROUND(gnor,2)&amp;"="</f>
        <v xml:space="preserve"> 0.5x1.48x1.8=</v>
      </c>
      <c r="C526" s="6"/>
      <c r="D526" s="6"/>
      <c r="E526" s="473"/>
      <c r="F526" s="643">
        <f>br*(h-hs-0.5-(hsuf-hs))*(gnor)</f>
        <v>1.3319999999999996</v>
      </c>
      <c r="G526" s="643"/>
      <c r="H526" s="644">
        <f>br/2</f>
        <v>0.25</v>
      </c>
      <c r="I526" s="674"/>
      <c r="J526" s="643">
        <f t="shared" si="18"/>
        <v>0.33299999999999991</v>
      </c>
      <c r="K526" s="643"/>
      <c r="N526" s="70"/>
    </row>
    <row r="527" spans="1:27" s="2" customFormat="1" ht="15.75" x14ac:dyDescent="0.2">
      <c r="A527" s="34" t="s">
        <v>83</v>
      </c>
      <c r="B527" s="6" t="str">
        <f>" "&amp;br&amp;"x"&amp;(hsuf-hs)&amp;"x"&amp;ROUND(gdoy,2)&amp;"="</f>
        <v xml:space="preserve"> 0.5x5.12x2=</v>
      </c>
      <c r="C527" s="6"/>
      <c r="D527" s="6"/>
      <c r="E527" s="473"/>
      <c r="F527" s="643">
        <f>br*(hsuf-hs)*gdoy</f>
        <v>5.12</v>
      </c>
      <c r="G527" s="643"/>
      <c r="H527" s="644">
        <f>br/2</f>
        <v>0.25</v>
      </c>
      <c r="I527" s="674"/>
      <c r="J527" s="643">
        <f t="shared" si="18"/>
        <v>1.28</v>
      </c>
      <c r="K527" s="643"/>
      <c r="N527" s="70"/>
    </row>
    <row r="528" spans="1:27" s="2" customFormat="1" ht="15.75" x14ac:dyDescent="0.2">
      <c r="A528" s="34" t="s">
        <v>126</v>
      </c>
      <c r="B528" s="6" t="str">
        <f>" "&amp;br&amp;"x"&amp;(h-hs)&amp;"x"&amp;ROUND(gnor,2)&amp;"="</f>
        <v xml:space="preserve"> 0.5x7.1x1.8=</v>
      </c>
      <c r="C528" s="6"/>
      <c r="D528" s="6"/>
      <c r="E528" s="473"/>
      <c r="F528" s="643">
        <f>br*(h-hs)*gnor</f>
        <v>6.39</v>
      </c>
      <c r="G528" s="643"/>
      <c r="H528" s="644">
        <f>br/2</f>
        <v>0.25</v>
      </c>
      <c r="I528" s="674"/>
      <c r="J528" s="643">
        <f t="shared" si="18"/>
        <v>1.5974999999999999</v>
      </c>
      <c r="K528" s="643"/>
    </row>
    <row r="529" spans="1:27" s="2" customFormat="1" ht="12.75" x14ac:dyDescent="0.2">
      <c r="A529" s="34" t="s">
        <v>81</v>
      </c>
      <c r="B529" s="6" t="str">
        <f>" "&amp;q&amp;"x"&amp;br&amp;"="</f>
        <v xml:space="preserve"> 1.14x0.5=</v>
      </c>
      <c r="C529" s="6"/>
      <c r="D529" s="6"/>
      <c r="E529" s="473"/>
      <c r="F529" s="643">
        <f>q*br</f>
        <v>0.56999999999999995</v>
      </c>
      <c r="G529" s="643"/>
      <c r="H529" s="644">
        <f>br/2</f>
        <v>0.25</v>
      </c>
      <c r="I529" s="674"/>
      <c r="J529" s="643">
        <f t="shared" si="18"/>
        <v>0.14249999999999999</v>
      </c>
      <c r="K529" s="643"/>
    </row>
    <row r="530" spans="1:27" s="2" customFormat="1" ht="25.5" customHeight="1" x14ac:dyDescent="0.2">
      <c r="E530" s="193"/>
      <c r="F530" s="675" t="s">
        <v>155</v>
      </c>
      <c r="G530" s="676"/>
      <c r="H530" s="675" t="s">
        <v>156</v>
      </c>
      <c r="I530" s="676"/>
    </row>
    <row r="531" spans="1:27" s="2" customFormat="1" ht="15" customHeight="1" x14ac:dyDescent="0.3">
      <c r="A531" s="68" t="s">
        <v>127</v>
      </c>
      <c r="B531" s="68"/>
      <c r="C531" s="677" t="s">
        <v>134</v>
      </c>
      <c r="D531" s="678"/>
      <c r="E531" s="679"/>
      <c r="F531" s="643">
        <f>1.5*F521+1.4*(F525+F528)</f>
        <v>13.667293809959016</v>
      </c>
      <c r="G531" s="649"/>
      <c r="H531" s="644">
        <f>1.5*J521+1.6*(J525+J528)</f>
        <v>3.8885619947883301</v>
      </c>
      <c r="I531" s="674"/>
    </row>
    <row r="532" spans="1:27" s="2" customFormat="1" ht="15" customHeight="1" x14ac:dyDescent="0.3">
      <c r="A532" s="68" t="s">
        <v>128</v>
      </c>
      <c r="B532" s="68"/>
      <c r="C532" s="677" t="s">
        <v>133</v>
      </c>
      <c r="D532" s="678"/>
      <c r="E532" s="679"/>
      <c r="F532" s="643">
        <f>(F522+F525+F528+F529)/1.5</f>
        <v>29.949089338663921</v>
      </c>
      <c r="G532" s="649"/>
      <c r="H532" s="644">
        <f>(J522+J525+J528+J529)</f>
        <v>14.24454466933196</v>
      </c>
      <c r="I532" s="674"/>
    </row>
    <row r="533" spans="1:27" s="2" customFormat="1" ht="15" customHeight="1" x14ac:dyDescent="0.3">
      <c r="A533" s="68" t="s">
        <v>129</v>
      </c>
      <c r="B533" s="68"/>
      <c r="C533" s="677" t="s">
        <v>131</v>
      </c>
      <c r="D533" s="678"/>
      <c r="E533" s="679"/>
      <c r="F533" s="643">
        <f>1.5*F523+1.4*(F525+F526+F527)</f>
        <v>14.446121981495635</v>
      </c>
      <c r="G533" s="649"/>
      <c r="H533" s="644">
        <f>1.5*J523+1.6*(J526+J527+J525)</f>
        <v>4.0595312543468038</v>
      </c>
      <c r="I533" s="674"/>
    </row>
    <row r="534" spans="1:27" s="2" customFormat="1" ht="15" customHeight="1" x14ac:dyDescent="0.3">
      <c r="A534" s="68" t="s">
        <v>130</v>
      </c>
      <c r="B534" s="68"/>
      <c r="C534" s="677" t="s">
        <v>132</v>
      </c>
      <c r="D534" s="678"/>
      <c r="E534" s="679"/>
      <c r="F534" s="643">
        <f>1.5*F524+1.4*(F525+F526+F527)</f>
        <v>16.474451655971119</v>
      </c>
      <c r="G534" s="649"/>
      <c r="H534" s="644">
        <f>1.5*J524+1.6*(J525+J526+J527)</f>
        <v>4.5713188296304672</v>
      </c>
      <c r="I534" s="674"/>
    </row>
    <row r="535" spans="1:27" s="2" customFormat="1" ht="12.75" x14ac:dyDescent="0.2">
      <c r="E535" s="196" t="s">
        <v>110</v>
      </c>
      <c r="F535" s="70">
        <f>MAX(F531:G534)</f>
        <v>29.949089338663921</v>
      </c>
      <c r="G535" s="2" t="s">
        <v>113</v>
      </c>
      <c r="H535" s="16" t="s">
        <v>111</v>
      </c>
      <c r="I535" s="70">
        <f>MAX(H531:I534)</f>
        <v>14.24454466933196</v>
      </c>
      <c r="J535" s="2" t="s">
        <v>112</v>
      </c>
      <c r="L535" s="2" t="s">
        <v>168</v>
      </c>
    </row>
    <row r="536" spans="1:27" s="2" customFormat="1" ht="9" customHeight="1" x14ac:dyDescent="0.2">
      <c r="E536" s="193"/>
    </row>
    <row r="537" spans="1:27" s="2" customFormat="1" ht="12.75" x14ac:dyDescent="0.2">
      <c r="A537" s="649" t="s">
        <v>145</v>
      </c>
      <c r="B537" s="649"/>
      <c r="C537" s="649" t="s">
        <v>146</v>
      </c>
      <c r="D537" s="649"/>
      <c r="E537" s="193"/>
    </row>
    <row r="538" spans="1:27" s="2" customFormat="1" x14ac:dyDescent="0.2">
      <c r="A538" s="649">
        <v>100</v>
      </c>
      <c r="B538" s="649"/>
      <c r="C538" s="680">
        <f>(hs-pp)*100</f>
        <v>145</v>
      </c>
      <c r="D538" s="680"/>
      <c r="E538" s="672"/>
      <c r="F538" s="673"/>
      <c r="G538" s="673"/>
      <c r="H538" s="60"/>
    </row>
    <row r="539" spans="1:27" s="2" customFormat="1" ht="9" customHeight="1" x14ac:dyDescent="0.2">
      <c r="E539" s="193"/>
    </row>
    <row r="540" spans="1:27" s="2" customFormat="1" ht="12.75" x14ac:dyDescent="0.2">
      <c r="A540" s="71" t="s">
        <v>142</v>
      </c>
      <c r="E540" s="193"/>
    </row>
    <row r="541" spans="1:27" s="2" customFormat="1" ht="18" x14ac:dyDescent="0.35">
      <c r="A541" s="86" t="s">
        <v>144</v>
      </c>
      <c r="B541" s="9"/>
      <c r="C541" s="9"/>
      <c r="D541" s="87">
        <f>0.65*fctd*A538*C538</f>
        <v>108.38749999999999</v>
      </c>
      <c r="E541" s="168" t="s">
        <v>113</v>
      </c>
      <c r="F541" s="93" t="str">
        <f>" "&amp;IF(D541&lt;H541,"&lt;","&gt;")&amp;"     Vd ="</f>
        <v xml:space="preserve"> &gt;     Vd =</v>
      </c>
      <c r="G541" s="9"/>
      <c r="H541" s="87">
        <f>F535</f>
        <v>29.949089338663921</v>
      </c>
      <c r="I541" s="9" t="str">
        <f>E541</f>
        <v>t/m</v>
      </c>
      <c r="J541" s="94" t="str">
        <f>IF(D541&lt;H541,"not O.K.","O.K.")</f>
        <v>O.K.</v>
      </c>
      <c r="K541" s="9"/>
    </row>
    <row r="542" spans="1:27" s="2" customFormat="1" ht="18" x14ac:dyDescent="0.35">
      <c r="A542" s="86" t="s">
        <v>143</v>
      </c>
      <c r="B542" s="9"/>
      <c r="C542" s="9"/>
      <c r="D542" s="87">
        <f>0.9*0.22*fcd*A538*C538</f>
        <v>488.07</v>
      </c>
      <c r="E542" s="168" t="s">
        <v>113</v>
      </c>
      <c r="F542" s="93" t="str">
        <f>" "&amp;IF(D542&lt;H542,"&lt;","&gt;")&amp;"     Vd ="</f>
        <v xml:space="preserve"> &gt;     Vd =</v>
      </c>
      <c r="G542" s="9"/>
      <c r="H542" s="87">
        <f>H541</f>
        <v>29.949089338663921</v>
      </c>
      <c r="I542" s="9" t="str">
        <f>E542</f>
        <v>t/m</v>
      </c>
      <c r="J542" s="94" t="str">
        <f>IF(D542&lt;H542,"not O.K.","O.K.")</f>
        <v>O.K.</v>
      </c>
      <c r="K542" s="9"/>
    </row>
    <row r="543" spans="1:27" s="2" customFormat="1" ht="9.75" customHeight="1" x14ac:dyDescent="0.2">
      <c r="A543" s="9"/>
      <c r="B543" s="9"/>
      <c r="C543" s="9"/>
      <c r="D543" s="9"/>
      <c r="E543" s="168"/>
      <c r="F543" s="9"/>
      <c r="G543" s="9"/>
      <c r="H543" s="9"/>
      <c r="I543" s="9"/>
      <c r="J543" s="9"/>
      <c r="K543" s="9"/>
    </row>
    <row r="544" spans="1:27" s="2" customFormat="1" x14ac:dyDescent="0.2">
      <c r="A544" s="88" t="s">
        <v>203</v>
      </c>
      <c r="B544" s="12"/>
      <c r="C544" s="12"/>
      <c r="D544" s="12"/>
      <c r="E544" s="428"/>
      <c r="F544" s="257"/>
      <c r="G544" s="93"/>
      <c r="H544" s="257"/>
      <c r="I544" s="156"/>
      <c r="J544" s="9"/>
      <c r="K544" s="9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</row>
    <row r="545" spans="1:27" s="2" customFormat="1" ht="17.25" customHeight="1" x14ac:dyDescent="0.2">
      <c r="A545" s="648" t="str">
        <f>"A= "&amp;ROUND(A538/100,2)&amp;"x"&amp;C538/100&amp;"="</f>
        <v>A= 1x1.45=</v>
      </c>
      <c r="B545" s="648"/>
      <c r="C545" s="648"/>
      <c r="D545" s="256">
        <f>A538/100*C538/100</f>
        <v>1.45</v>
      </c>
      <c r="E545" s="425" t="s">
        <v>205</v>
      </c>
      <c r="F545" s="256"/>
      <c r="G545" s="256"/>
      <c r="H545" s="256"/>
      <c r="I545" s="256"/>
      <c r="J545" s="166"/>
      <c r="K545" s="166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</row>
    <row r="546" spans="1:27" s="2" customFormat="1" x14ac:dyDescent="0.2">
      <c r="A546" s="648" t="str">
        <f>"W= ("&amp;ROUND(A538/100,2)&amp;"x"&amp;ROUND(A538/100,2)&amp;"x"&amp;C538/100&amp;")/6="</f>
        <v>W= (1x1x1.45)/6=</v>
      </c>
      <c r="B546" s="648"/>
      <c r="C546" s="648"/>
      <c r="D546" s="59">
        <f>(A538/100)^2*hs/6</f>
        <v>0.25</v>
      </c>
      <c r="E546" s="464" t="s">
        <v>204</v>
      </c>
      <c r="F546" s="256"/>
      <c r="G546" s="256"/>
      <c r="H546" s="256"/>
      <c r="I546" s="256"/>
      <c r="J546" s="9"/>
      <c r="K546" s="9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</row>
    <row r="547" spans="1:27" s="2" customFormat="1" ht="15" x14ac:dyDescent="0.25">
      <c r="A547"/>
      <c r="B547" s="256"/>
      <c r="C547" s="262"/>
      <c r="D547" s="262"/>
      <c r="E547" s="262"/>
      <c r="F547" s="262"/>
      <c r="G547" s="262"/>
      <c r="H547" s="262"/>
      <c r="I547" s="262"/>
      <c r="J547" s="9"/>
      <c r="K547" s="9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</row>
    <row r="548" spans="1:27" s="218" customFormat="1" x14ac:dyDescent="0.2">
      <c r="A548" s="278"/>
      <c r="B548" s="278"/>
      <c r="C548" s="263" t="s">
        <v>206</v>
      </c>
      <c r="D548" s="264">
        <f>I535</f>
        <v>14.24454466933196</v>
      </c>
      <c r="E548" s="265" t="s">
        <v>206</v>
      </c>
      <c r="F548" s="273">
        <f>D548/D549</f>
        <v>56.97817867732784</v>
      </c>
      <c r="G548" s="274" t="s">
        <v>208</v>
      </c>
      <c r="H548" s="313" t="str">
        <f>IF(fctd*10000&gt;F548," &lt; fctd   OK~Donatı Gerekmez"," &gt; fctd NOT OK~Donatı gerekir")</f>
        <v xml:space="preserve"> &lt; fctd   OK~Donatı Gerekmez</v>
      </c>
      <c r="I548" s="170"/>
      <c r="J548" s="168"/>
      <c r="K548" s="168"/>
      <c r="L548" s="261"/>
      <c r="M548" s="261"/>
      <c r="N548" s="261"/>
      <c r="O548" s="270"/>
      <c r="P548" s="270"/>
      <c r="Q548" s="270"/>
      <c r="R548" s="270"/>
      <c r="S548" s="270"/>
      <c r="T548" s="270"/>
      <c r="U548" s="270"/>
      <c r="V548" s="270"/>
      <c r="W548" s="270"/>
      <c r="X548" s="270"/>
      <c r="Y548" s="270"/>
      <c r="Z548" s="270"/>
      <c r="AA548" s="270"/>
    </row>
    <row r="549" spans="1:27" s="2" customFormat="1" x14ac:dyDescent="0.2">
      <c r="A549" s="144"/>
      <c r="B549" s="144"/>
      <c r="C549" s="252"/>
      <c r="D549" s="268">
        <f>D546</f>
        <v>0.25</v>
      </c>
      <c r="E549" s="265"/>
      <c r="F549" s="255"/>
      <c r="G549" s="252"/>
      <c r="H549" s="252"/>
      <c r="I549" s="252"/>
      <c r="J549" s="9"/>
      <c r="K549" s="9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</row>
    <row r="550" spans="1:27" x14ac:dyDescent="0.2">
      <c r="A550" s="144"/>
      <c r="B550" s="144"/>
      <c r="C550" s="252"/>
      <c r="D550" s="252"/>
      <c r="E550" s="265"/>
      <c r="F550" s="252"/>
      <c r="G550" s="252"/>
      <c r="H550" s="252"/>
      <c r="I550" s="252"/>
    </row>
    <row r="551" spans="1:27" x14ac:dyDescent="0.2">
      <c r="A551" s="452" t="s">
        <v>147</v>
      </c>
      <c r="B551" s="267"/>
      <c r="C551" s="267"/>
      <c r="D551" s="267"/>
      <c r="E551" s="267"/>
      <c r="F551" s="267"/>
      <c r="G551" s="267"/>
      <c r="H551" s="267"/>
    </row>
    <row r="552" spans="1:27" x14ac:dyDescent="0.2">
      <c r="A552" s="267" t="s">
        <v>335</v>
      </c>
      <c r="B552" s="267"/>
      <c r="C552" s="453">
        <v>22</v>
      </c>
      <c r="D552" s="454">
        <v>15</v>
      </c>
      <c r="E552" s="474" t="s">
        <v>336</v>
      </c>
      <c r="F552" s="455" t="s">
        <v>337</v>
      </c>
      <c r="G552" s="448">
        <f>((PI()*C552^2/4)*(A538/D552))/100</f>
        <v>25.342180738957669</v>
      </c>
      <c r="H552" s="267" t="s">
        <v>338</v>
      </c>
    </row>
    <row r="553" spans="1:27" x14ac:dyDescent="0.2">
      <c r="A553" s="267"/>
      <c r="B553" s="267"/>
      <c r="C553" s="267"/>
      <c r="D553" s="267"/>
      <c r="E553" s="267"/>
      <c r="F553" s="267"/>
      <c r="G553" s="267"/>
      <c r="H553" s="267"/>
    </row>
    <row r="554" spans="1:27" ht="15" x14ac:dyDescent="0.25">
      <c r="A554" s="267" t="s">
        <v>339</v>
      </c>
      <c r="B554" s="267"/>
      <c r="C554" s="456">
        <f>(I535*100)/(fyd*0.86*C538)</f>
        <v>3.129603029590351</v>
      </c>
      <c r="D554" s="267"/>
      <c r="E554" s="267"/>
      <c r="F554" s="450" t="str">
        <f>IF(C554&gt;G552,"not O.K.","O.K.")</f>
        <v>O.K.</v>
      </c>
      <c r="G554" s="267"/>
      <c r="H554" s="521">
        <f>+G552*2</f>
        <v>50.684361477915338</v>
      </c>
    </row>
    <row r="555" spans="1:27" x14ac:dyDescent="0.2">
      <c r="A555" s="267" t="s">
        <v>341</v>
      </c>
      <c r="B555" s="267"/>
      <c r="C555" s="449">
        <f>0.002*A538*(C538+5)</f>
        <v>30</v>
      </c>
      <c r="D555" s="267"/>
      <c r="E555" s="267"/>
      <c r="F555" s="267"/>
      <c r="G555" s="267"/>
      <c r="H555" s="267"/>
    </row>
  </sheetData>
  <customSheetViews>
    <customSheetView guid="{2F942A2D-0AFC-43B9-BC9A-2AEC2BA7FF1F}" scale="70" showPageBreaks="1" printArea="1" view="pageBreakPreview" showRuler="0">
      <selection activeCell="T12" sqref="T12"/>
      <rowBreaks count="8" manualBreakCount="8">
        <brk id="56" max="16383" man="1"/>
        <brk id="107" max="16383" man="1"/>
        <brk id="154" max="16383" man="1"/>
        <brk id="204" max="16383" man="1"/>
        <brk id="249" max="16383" man="1"/>
        <brk id="298" max="16383" man="1"/>
        <brk id="351" max="10" man="1"/>
        <brk id="402" max="10" man="1"/>
      </rowBreaks>
      <colBreaks count="1" manualBreakCount="1">
        <brk id="11" max="297" man="1"/>
      </colBreaks>
      <pageMargins left="0.7" right="0.45" top="0.75" bottom="0.75" header="0.3" footer="0.3"/>
      <pageSetup paperSize="9" scale="90" orientation="portrait" horizontalDpi="1200" verticalDpi="1200" r:id="rId1"/>
      <headerFooter alignWithMargins="0"/>
    </customSheetView>
    <customSheetView guid="{292239AB-1A95-418F-9252-DEADE41101FA}" scale="70" showPageBreaks="1" printArea="1" view="pageBreakPreview" showRuler="0">
      <selection activeCell="T12" sqref="T12"/>
      <rowBreaks count="8" manualBreakCount="8">
        <brk id="56" max="16383" man="1"/>
        <brk id="107" max="16383" man="1"/>
        <brk id="154" max="16383" man="1"/>
        <brk id="204" max="16383" man="1"/>
        <brk id="249" max="16383" man="1"/>
        <brk id="298" max="16383" man="1"/>
        <brk id="351" max="10" man="1"/>
        <brk id="402" max="10" man="1"/>
      </rowBreaks>
      <colBreaks count="1" manualBreakCount="1">
        <brk id="11" max="297" man="1"/>
      </colBreaks>
      <pageMargins left="0.7" right="0.45" top="0.75" bottom="0.75" header="0.3" footer="0.3"/>
      <pageSetup paperSize="9" scale="90" orientation="portrait" horizontalDpi="1200" verticalDpi="1200" r:id="rId2"/>
      <headerFooter alignWithMargins="0"/>
    </customSheetView>
  </customSheetViews>
  <mergeCells count="595">
    <mergeCell ref="U182:V182"/>
    <mergeCell ref="X182:Y182"/>
    <mergeCell ref="F119:G119"/>
    <mergeCell ref="I119:J119"/>
    <mergeCell ref="B175:D175"/>
    <mergeCell ref="F175:G175"/>
    <mergeCell ref="I175:J175"/>
    <mergeCell ref="B182:D182"/>
    <mergeCell ref="F182:G182"/>
    <mergeCell ref="I182:J182"/>
    <mergeCell ref="Q182:S182"/>
    <mergeCell ref="Q181:S181"/>
    <mergeCell ref="U181:V181"/>
    <mergeCell ref="X181:Y181"/>
    <mergeCell ref="F146:G146"/>
    <mergeCell ref="B169:D169"/>
    <mergeCell ref="F169:G169"/>
    <mergeCell ref="F172:G172"/>
    <mergeCell ref="I172:J172"/>
    <mergeCell ref="B172:D172"/>
    <mergeCell ref="B173:D173"/>
    <mergeCell ref="B174:D174"/>
    <mergeCell ref="B138:C138"/>
    <mergeCell ref="B137:C137"/>
    <mergeCell ref="C315:D315"/>
    <mergeCell ref="B303:D303"/>
    <mergeCell ref="F303:G303"/>
    <mergeCell ref="F302:G302"/>
    <mergeCell ref="I302:J302"/>
    <mergeCell ref="F299:G299"/>
    <mergeCell ref="I299:J299"/>
    <mergeCell ref="B300:D300"/>
    <mergeCell ref="F300:G300"/>
    <mergeCell ref="I300:J300"/>
    <mergeCell ref="E314:F314"/>
    <mergeCell ref="E315:F315"/>
    <mergeCell ref="A142:B142"/>
    <mergeCell ref="C142:D142"/>
    <mergeCell ref="C141:D141"/>
    <mergeCell ref="A149:K149"/>
    <mergeCell ref="E142:F142"/>
    <mergeCell ref="A145:B145"/>
    <mergeCell ref="C145:D145"/>
    <mergeCell ref="F145:G145"/>
    <mergeCell ref="A168:E168"/>
    <mergeCell ref="F168:H168"/>
    <mergeCell ref="I168:K168"/>
    <mergeCell ref="A146:B146"/>
    <mergeCell ref="C146:D146"/>
    <mergeCell ref="B298:D298"/>
    <mergeCell ref="F298:G298"/>
    <mergeCell ref="B194:C194"/>
    <mergeCell ref="E197:F197"/>
    <mergeCell ref="B177:D177"/>
    <mergeCell ref="F178:G178"/>
    <mergeCell ref="B179:D179"/>
    <mergeCell ref="F179:G179"/>
    <mergeCell ref="B183:D183"/>
    <mergeCell ref="F183:G183"/>
    <mergeCell ref="F186:G186"/>
    <mergeCell ref="F177:G177"/>
    <mergeCell ref="B178:D178"/>
    <mergeCell ref="F181:G181"/>
    <mergeCell ref="F261:G261"/>
    <mergeCell ref="A204:B204"/>
    <mergeCell ref="C204:D204"/>
    <mergeCell ref="B231:D231"/>
    <mergeCell ref="F231:G231"/>
    <mergeCell ref="B235:D235"/>
    <mergeCell ref="F235:G235"/>
    <mergeCell ref="B238:D238"/>
    <mergeCell ref="F238:G238"/>
    <mergeCell ref="B242:D242"/>
    <mergeCell ref="F174:G174"/>
    <mergeCell ref="I169:J169"/>
    <mergeCell ref="J476:K476"/>
    <mergeCell ref="A474:B474"/>
    <mergeCell ref="A475:B475"/>
    <mergeCell ref="H475:I475"/>
    <mergeCell ref="A472:B472"/>
    <mergeCell ref="A473:B473"/>
    <mergeCell ref="F472:G472"/>
    <mergeCell ref="A451:K451"/>
    <mergeCell ref="H473:I473"/>
    <mergeCell ref="I290:J290"/>
    <mergeCell ref="A202:B202"/>
    <mergeCell ref="C202:D202"/>
    <mergeCell ref="F202:G202"/>
    <mergeCell ref="A199:B199"/>
    <mergeCell ref="C199:D199"/>
    <mergeCell ref="E199:F199"/>
    <mergeCell ref="F176:G176"/>
    <mergeCell ref="I179:J179"/>
    <mergeCell ref="B180:D180"/>
    <mergeCell ref="F180:G180"/>
    <mergeCell ref="I180:J180"/>
    <mergeCell ref="F290:G290"/>
    <mergeCell ref="L370:M370"/>
    <mergeCell ref="L371:M371"/>
    <mergeCell ref="L372:M372"/>
    <mergeCell ref="N367:O367"/>
    <mergeCell ref="F476:G476"/>
    <mergeCell ref="F474:G474"/>
    <mergeCell ref="F475:G475"/>
    <mergeCell ref="H471:I471"/>
    <mergeCell ref="H472:I472"/>
    <mergeCell ref="J474:K474"/>
    <mergeCell ref="J475:K475"/>
    <mergeCell ref="H474:I474"/>
    <mergeCell ref="M402:P402"/>
    <mergeCell ref="E421:F421"/>
    <mergeCell ref="N474:Q474"/>
    <mergeCell ref="G412:H412"/>
    <mergeCell ref="E408:F408"/>
    <mergeCell ref="E417:F417"/>
    <mergeCell ref="H476:I476"/>
    <mergeCell ref="F471:G471"/>
    <mergeCell ref="J471:K471"/>
    <mergeCell ref="J472:K472"/>
    <mergeCell ref="J473:K473"/>
    <mergeCell ref="E405:F405"/>
    <mergeCell ref="L4:P4"/>
    <mergeCell ref="A322:K322"/>
    <mergeCell ref="A319:B319"/>
    <mergeCell ref="C319:D319"/>
    <mergeCell ref="I113:J113"/>
    <mergeCell ref="I114:J114"/>
    <mergeCell ref="I115:J115"/>
    <mergeCell ref="B113:D113"/>
    <mergeCell ref="B114:D114"/>
    <mergeCell ref="B115:D115"/>
    <mergeCell ref="F113:G113"/>
    <mergeCell ref="F114:G114"/>
    <mergeCell ref="F115:G115"/>
    <mergeCell ref="E141:F141"/>
    <mergeCell ref="A141:B141"/>
    <mergeCell ref="B116:D116"/>
    <mergeCell ref="I116:J116"/>
    <mergeCell ref="B118:D118"/>
    <mergeCell ref="I118:J118"/>
    <mergeCell ref="I301:J301"/>
    <mergeCell ref="B302:D302"/>
    <mergeCell ref="F173:G173"/>
    <mergeCell ref="I173:J173"/>
    <mergeCell ref="F116:G116"/>
    <mergeCell ref="A1:K1"/>
    <mergeCell ref="A92:K92"/>
    <mergeCell ref="F112:H112"/>
    <mergeCell ref="I112:K112"/>
    <mergeCell ref="A112:E112"/>
    <mergeCell ref="A58:B58"/>
    <mergeCell ref="A59:B59"/>
    <mergeCell ref="C58:D58"/>
    <mergeCell ref="C59:D59"/>
    <mergeCell ref="F118:G118"/>
    <mergeCell ref="F122:G122"/>
    <mergeCell ref="A133:B133"/>
    <mergeCell ref="C133:D133"/>
    <mergeCell ref="B120:D120"/>
    <mergeCell ref="F120:G120"/>
    <mergeCell ref="I120:J120"/>
    <mergeCell ref="B121:D121"/>
    <mergeCell ref="F121:G121"/>
    <mergeCell ref="I121:J121"/>
    <mergeCell ref="B122:D122"/>
    <mergeCell ref="I122:J122"/>
    <mergeCell ref="B117:D117"/>
    <mergeCell ref="F117:G117"/>
    <mergeCell ref="I117:J117"/>
    <mergeCell ref="B119:D119"/>
    <mergeCell ref="B170:D170"/>
    <mergeCell ref="F170:G170"/>
    <mergeCell ref="I170:J170"/>
    <mergeCell ref="E198:F198"/>
    <mergeCell ref="A197:B197"/>
    <mergeCell ref="C197:D197"/>
    <mergeCell ref="C198:D198"/>
    <mergeCell ref="A189:B189"/>
    <mergeCell ref="A198:B198"/>
    <mergeCell ref="B193:C193"/>
    <mergeCell ref="C189:D189"/>
    <mergeCell ref="B171:D171"/>
    <mergeCell ref="F171:G171"/>
    <mergeCell ref="I171:J171"/>
    <mergeCell ref="I174:J174"/>
    <mergeCell ref="I176:J176"/>
    <mergeCell ref="I177:J177"/>
    <mergeCell ref="B181:D181"/>
    <mergeCell ref="I181:J181"/>
    <mergeCell ref="B176:D176"/>
    <mergeCell ref="I289:J289"/>
    <mergeCell ref="A203:B203"/>
    <mergeCell ref="C203:D203"/>
    <mergeCell ref="F203:G203"/>
    <mergeCell ref="A265:K265"/>
    <mergeCell ref="A284:E284"/>
    <mergeCell ref="F284:H284"/>
    <mergeCell ref="I284:K284"/>
    <mergeCell ref="I287:J287"/>
    <mergeCell ref="B289:D289"/>
    <mergeCell ref="F289:G289"/>
    <mergeCell ref="I288:J288"/>
    <mergeCell ref="B285:D285"/>
    <mergeCell ref="F285:G285"/>
    <mergeCell ref="I285:J285"/>
    <mergeCell ref="B245:D245"/>
    <mergeCell ref="F245:G245"/>
    <mergeCell ref="B253:C253"/>
    <mergeCell ref="B228:D228"/>
    <mergeCell ref="F228:G228"/>
    <mergeCell ref="B233:D233"/>
    <mergeCell ref="F232:G232"/>
    <mergeCell ref="C261:D261"/>
    <mergeCell ref="A207:K207"/>
    <mergeCell ref="I344:J344"/>
    <mergeCell ref="B345:D345"/>
    <mergeCell ref="F345:G345"/>
    <mergeCell ref="I345:J345"/>
    <mergeCell ref="B343:D343"/>
    <mergeCell ref="F343:G343"/>
    <mergeCell ref="I343:J343"/>
    <mergeCell ref="B342:D342"/>
    <mergeCell ref="B301:D301"/>
    <mergeCell ref="F301:G301"/>
    <mergeCell ref="I335:K335"/>
    <mergeCell ref="I303:J303"/>
    <mergeCell ref="B337:D337"/>
    <mergeCell ref="F337:G337"/>
    <mergeCell ref="B338:D338"/>
    <mergeCell ref="F338:G338"/>
    <mergeCell ref="I338:J338"/>
    <mergeCell ref="I337:J337"/>
    <mergeCell ref="A306:B306"/>
    <mergeCell ref="A318:B318"/>
    <mergeCell ref="C318:D318"/>
    <mergeCell ref="F318:G318"/>
    <mergeCell ref="C306:D306"/>
    <mergeCell ref="A315:B315"/>
    <mergeCell ref="I286:J286"/>
    <mergeCell ref="E411:F411"/>
    <mergeCell ref="G411:H411"/>
    <mergeCell ref="A420:D420"/>
    <mergeCell ref="E420:F420"/>
    <mergeCell ref="G420:H420"/>
    <mergeCell ref="E418:F418"/>
    <mergeCell ref="G418:H418"/>
    <mergeCell ref="A416:D416"/>
    <mergeCell ref="F342:G342"/>
    <mergeCell ref="B344:D344"/>
    <mergeCell ref="F344:G344"/>
    <mergeCell ref="A406:D406"/>
    <mergeCell ref="G416:H416"/>
    <mergeCell ref="A417:D417"/>
    <mergeCell ref="A412:D412"/>
    <mergeCell ref="E412:F412"/>
    <mergeCell ref="B349:D349"/>
    <mergeCell ref="F352:G352"/>
    <mergeCell ref="B351:D351"/>
    <mergeCell ref="F351:G351"/>
    <mergeCell ref="A366:B366"/>
    <mergeCell ref="C366:D366"/>
    <mergeCell ref="E366:F366"/>
    <mergeCell ref="A433:C433"/>
    <mergeCell ref="A434:C434"/>
    <mergeCell ref="F473:G473"/>
    <mergeCell ref="C424:D424"/>
    <mergeCell ref="A398:D398"/>
    <mergeCell ref="C425:D425"/>
    <mergeCell ref="E419:F419"/>
    <mergeCell ref="G419:H419"/>
    <mergeCell ref="A399:D399"/>
    <mergeCell ref="A405:D405"/>
    <mergeCell ref="G405:H405"/>
    <mergeCell ref="A411:D411"/>
    <mergeCell ref="A419:D419"/>
    <mergeCell ref="A418:D418"/>
    <mergeCell ref="G417:H417"/>
    <mergeCell ref="E413:F413"/>
    <mergeCell ref="E416:F416"/>
    <mergeCell ref="A424:B424"/>
    <mergeCell ref="A425:B425"/>
    <mergeCell ref="E407:F407"/>
    <mergeCell ref="G407:H407"/>
    <mergeCell ref="E401:F401"/>
    <mergeCell ref="E399:F399"/>
    <mergeCell ref="A404:D404"/>
    <mergeCell ref="C480:D480"/>
    <mergeCell ref="A481:B481"/>
    <mergeCell ref="C481:D481"/>
    <mergeCell ref="A522:B522"/>
    <mergeCell ref="F522:G522"/>
    <mergeCell ref="H522:I522"/>
    <mergeCell ref="A489:C489"/>
    <mergeCell ref="A490:C490"/>
    <mergeCell ref="A480:B480"/>
    <mergeCell ref="I353:J353"/>
    <mergeCell ref="B354:D354"/>
    <mergeCell ref="F354:G354"/>
    <mergeCell ref="I354:J354"/>
    <mergeCell ref="G397:H397"/>
    <mergeCell ref="G399:H399"/>
    <mergeCell ref="G398:H398"/>
    <mergeCell ref="A407:D407"/>
    <mergeCell ref="B353:D353"/>
    <mergeCell ref="C371:D371"/>
    <mergeCell ref="E398:F398"/>
    <mergeCell ref="A371:B371"/>
    <mergeCell ref="I355:J355"/>
    <mergeCell ref="A397:D397"/>
    <mergeCell ref="E397:F397"/>
    <mergeCell ref="A370:B370"/>
    <mergeCell ref="C370:D370"/>
    <mergeCell ref="F370:G370"/>
    <mergeCell ref="F371:G371"/>
    <mergeCell ref="C367:D367"/>
    <mergeCell ref="A367:B367"/>
    <mergeCell ref="F353:G353"/>
    <mergeCell ref="B355:D355"/>
    <mergeCell ref="F355:G355"/>
    <mergeCell ref="J522:K522"/>
    <mergeCell ref="J520:K520"/>
    <mergeCell ref="A521:B521"/>
    <mergeCell ref="F521:G521"/>
    <mergeCell ref="H521:I521"/>
    <mergeCell ref="J521:K521"/>
    <mergeCell ref="F520:G520"/>
    <mergeCell ref="H520:I520"/>
    <mergeCell ref="A502:K502"/>
    <mergeCell ref="J523:K523"/>
    <mergeCell ref="A524:B524"/>
    <mergeCell ref="F524:G524"/>
    <mergeCell ref="H524:I524"/>
    <mergeCell ref="J524:K524"/>
    <mergeCell ref="A523:B523"/>
    <mergeCell ref="F523:G523"/>
    <mergeCell ref="H523:I523"/>
    <mergeCell ref="J525:K525"/>
    <mergeCell ref="H525:I525"/>
    <mergeCell ref="F525:G525"/>
    <mergeCell ref="H526:I526"/>
    <mergeCell ref="F526:G526"/>
    <mergeCell ref="J526:K526"/>
    <mergeCell ref="J527:K527"/>
    <mergeCell ref="H530:I530"/>
    <mergeCell ref="F528:G528"/>
    <mergeCell ref="H528:I528"/>
    <mergeCell ref="F529:G529"/>
    <mergeCell ref="H529:I529"/>
    <mergeCell ref="F527:G527"/>
    <mergeCell ref="H527:I527"/>
    <mergeCell ref="J528:K528"/>
    <mergeCell ref="A545:C545"/>
    <mergeCell ref="A546:C546"/>
    <mergeCell ref="E538:G538"/>
    <mergeCell ref="H532:I532"/>
    <mergeCell ref="J529:K529"/>
    <mergeCell ref="H533:I533"/>
    <mergeCell ref="H534:I534"/>
    <mergeCell ref="F530:G530"/>
    <mergeCell ref="H531:I531"/>
    <mergeCell ref="A537:B537"/>
    <mergeCell ref="C537:D537"/>
    <mergeCell ref="C531:E531"/>
    <mergeCell ref="F531:G531"/>
    <mergeCell ref="F533:G533"/>
    <mergeCell ref="A538:B538"/>
    <mergeCell ref="C538:D538"/>
    <mergeCell ref="C534:E534"/>
    <mergeCell ref="C532:E532"/>
    <mergeCell ref="C533:E533"/>
    <mergeCell ref="F532:G532"/>
    <mergeCell ref="F534:G534"/>
    <mergeCell ref="V474:W474"/>
    <mergeCell ref="V475:W475"/>
    <mergeCell ref="S475:T475"/>
    <mergeCell ref="N484:P484"/>
    <mergeCell ref="N485:P485"/>
    <mergeCell ref="N476:Q476"/>
    <mergeCell ref="S476:T476"/>
    <mergeCell ref="V476:W476"/>
    <mergeCell ref="S477:T477"/>
    <mergeCell ref="M480:N480"/>
    <mergeCell ref="P480:Q480"/>
    <mergeCell ref="N475:Q475"/>
    <mergeCell ref="S474:T474"/>
    <mergeCell ref="Q188:S188"/>
    <mergeCell ref="U188:V188"/>
    <mergeCell ref="X188:Y188"/>
    <mergeCell ref="N471:Q471"/>
    <mergeCell ref="S471:T471"/>
    <mergeCell ref="V471:W471"/>
    <mergeCell ref="S468:U468"/>
    <mergeCell ref="M468:R468"/>
    <mergeCell ref="U396:V396"/>
    <mergeCell ref="R396:S396"/>
    <mergeCell ref="M397:P397"/>
    <mergeCell ref="R397:S397"/>
    <mergeCell ref="U397:V397"/>
    <mergeCell ref="U402:V402"/>
    <mergeCell ref="M399:P399"/>
    <mergeCell ref="R399:S399"/>
    <mergeCell ref="U399:V399"/>
    <mergeCell ref="U401:V401"/>
    <mergeCell ref="M401:P401"/>
    <mergeCell ref="R401:S401"/>
    <mergeCell ref="X240:Y240"/>
    <mergeCell ref="X236:Y236"/>
    <mergeCell ref="X239:Y239"/>
    <mergeCell ref="L369:M369"/>
    <mergeCell ref="V473:W473"/>
    <mergeCell ref="V468:X468"/>
    <mergeCell ref="N469:Q469"/>
    <mergeCell ref="S469:T469"/>
    <mergeCell ref="V469:W469"/>
    <mergeCell ref="N470:Q470"/>
    <mergeCell ref="S470:T470"/>
    <mergeCell ref="V470:W470"/>
    <mergeCell ref="N473:Q473"/>
    <mergeCell ref="S473:T473"/>
    <mergeCell ref="N472:Q472"/>
    <mergeCell ref="S472:T472"/>
    <mergeCell ref="V472:W472"/>
    <mergeCell ref="Q178:S178"/>
    <mergeCell ref="U178:V178"/>
    <mergeCell ref="X178:Y178"/>
    <mergeCell ref="I178:J178"/>
    <mergeCell ref="R403:S403"/>
    <mergeCell ref="U403:V403"/>
    <mergeCell ref="E406:F406"/>
    <mergeCell ref="G406:H406"/>
    <mergeCell ref="E404:F404"/>
    <mergeCell ref="G404:H404"/>
    <mergeCell ref="I395:K395"/>
    <mergeCell ref="E395:F395"/>
    <mergeCell ref="G395:H395"/>
    <mergeCell ref="F339:G339"/>
    <mergeCell ref="I339:J339"/>
    <mergeCell ref="A335:E335"/>
    <mergeCell ref="F335:H335"/>
    <mergeCell ref="B310:C310"/>
    <mergeCell ref="B311:C311"/>
    <mergeCell ref="E367:F367"/>
    <mergeCell ref="I183:J183"/>
    <mergeCell ref="B184:D184"/>
    <mergeCell ref="F184:G184"/>
    <mergeCell ref="I184:J184"/>
    <mergeCell ref="B185:D185"/>
    <mergeCell ref="F185:G185"/>
    <mergeCell ref="I185:J185"/>
    <mergeCell ref="B363:C363"/>
    <mergeCell ref="I294:J294"/>
    <mergeCell ref="I351:J351"/>
    <mergeCell ref="I186:J186"/>
    <mergeCell ref="B186:D186"/>
    <mergeCell ref="F304:G304"/>
    <mergeCell ref="B340:D340"/>
    <mergeCell ref="F340:G340"/>
    <mergeCell ref="I340:J340"/>
    <mergeCell ref="B341:D341"/>
    <mergeCell ref="F341:G341"/>
    <mergeCell ref="I341:J341"/>
    <mergeCell ref="B339:D339"/>
    <mergeCell ref="B336:D336"/>
    <mergeCell ref="I352:J352"/>
    <mergeCell ref="B352:D352"/>
    <mergeCell ref="I342:J342"/>
    <mergeCell ref="F356:G356"/>
    <mergeCell ref="A358:B358"/>
    <mergeCell ref="C358:D358"/>
    <mergeCell ref="B362:C362"/>
    <mergeCell ref="B293:D293"/>
    <mergeCell ref="F293:G293"/>
    <mergeCell ref="B291:D291"/>
    <mergeCell ref="F291:G291"/>
    <mergeCell ref="B294:D294"/>
    <mergeCell ref="F319:G319"/>
    <mergeCell ref="B295:D295"/>
    <mergeCell ref="F295:G295"/>
    <mergeCell ref="I295:J295"/>
    <mergeCell ref="B297:D297"/>
    <mergeCell ref="F297:G297"/>
    <mergeCell ref="I297:J297"/>
    <mergeCell ref="I296:J296"/>
    <mergeCell ref="I291:J291"/>
    <mergeCell ref="B296:D296"/>
    <mergeCell ref="F294:G294"/>
    <mergeCell ref="B292:D292"/>
    <mergeCell ref="F292:G292"/>
    <mergeCell ref="I293:J293"/>
    <mergeCell ref="I298:J298"/>
    <mergeCell ref="B299:D299"/>
    <mergeCell ref="I292:J292"/>
    <mergeCell ref="A314:B314"/>
    <mergeCell ref="C314:D314"/>
    <mergeCell ref="A261:B261"/>
    <mergeCell ref="F204:G204"/>
    <mergeCell ref="Q236:S236"/>
    <mergeCell ref="U236:V236"/>
    <mergeCell ref="I238:J238"/>
    <mergeCell ref="B239:D239"/>
    <mergeCell ref="F239:G239"/>
    <mergeCell ref="I239:J239"/>
    <mergeCell ref="F233:G233"/>
    <mergeCell ref="I233:J233"/>
    <mergeCell ref="B234:D234"/>
    <mergeCell ref="F234:G234"/>
    <mergeCell ref="I234:J234"/>
    <mergeCell ref="I235:J235"/>
    <mergeCell ref="B236:D236"/>
    <mergeCell ref="F236:G236"/>
    <mergeCell ref="I236:J236"/>
    <mergeCell ref="Q240:S240"/>
    <mergeCell ref="U240:V240"/>
    <mergeCell ref="Q239:S239"/>
    <mergeCell ref="U239:V239"/>
    <mergeCell ref="C258:D258"/>
    <mergeCell ref="E258:F258"/>
    <mergeCell ref="I245:J245"/>
    <mergeCell ref="Q247:S247"/>
    <mergeCell ref="U247:V247"/>
    <mergeCell ref="B252:C252"/>
    <mergeCell ref="A256:B256"/>
    <mergeCell ref="C256:D256"/>
    <mergeCell ref="A257:B257"/>
    <mergeCell ref="C257:D257"/>
    <mergeCell ref="A258:B258"/>
    <mergeCell ref="X247:Y247"/>
    <mergeCell ref="I242:J242"/>
    <mergeCell ref="B243:D243"/>
    <mergeCell ref="F243:G243"/>
    <mergeCell ref="I243:J243"/>
    <mergeCell ref="B244:D244"/>
    <mergeCell ref="F244:G244"/>
    <mergeCell ref="I244:J244"/>
    <mergeCell ref="I241:J241"/>
    <mergeCell ref="B241:D241"/>
    <mergeCell ref="F241:G241"/>
    <mergeCell ref="F242:G242"/>
    <mergeCell ref="A226:E226"/>
    <mergeCell ref="F226:H226"/>
    <mergeCell ref="I226:K226"/>
    <mergeCell ref="B227:D227"/>
    <mergeCell ref="F227:G227"/>
    <mergeCell ref="I227:J227"/>
    <mergeCell ref="A248:B248"/>
    <mergeCell ref="C248:D248"/>
    <mergeCell ref="B240:D240"/>
    <mergeCell ref="F240:G240"/>
    <mergeCell ref="I240:J240"/>
    <mergeCell ref="B237:D237"/>
    <mergeCell ref="F237:G237"/>
    <mergeCell ref="I237:J237"/>
    <mergeCell ref="I228:J228"/>
    <mergeCell ref="B229:D229"/>
    <mergeCell ref="F229:G229"/>
    <mergeCell ref="I229:J229"/>
    <mergeCell ref="B230:D230"/>
    <mergeCell ref="F230:G230"/>
    <mergeCell ref="I230:J230"/>
    <mergeCell ref="I231:J231"/>
    <mergeCell ref="B232:D232"/>
    <mergeCell ref="I232:J232"/>
    <mergeCell ref="A262:B262"/>
    <mergeCell ref="C262:D262"/>
    <mergeCell ref="F262:G262"/>
    <mergeCell ref="B286:D286"/>
    <mergeCell ref="F286:G286"/>
    <mergeCell ref="B288:D288"/>
    <mergeCell ref="F288:G288"/>
    <mergeCell ref="B287:D287"/>
    <mergeCell ref="F287:G287"/>
    <mergeCell ref="B290:D290"/>
    <mergeCell ref="B350:D350"/>
    <mergeCell ref="F350:G350"/>
    <mergeCell ref="I350:J350"/>
    <mergeCell ref="L345:M345"/>
    <mergeCell ref="L346:M346"/>
    <mergeCell ref="L347:M347"/>
    <mergeCell ref="L348:M348"/>
    <mergeCell ref="L349:M349"/>
    <mergeCell ref="L350:M350"/>
    <mergeCell ref="I349:J349"/>
    <mergeCell ref="B347:D347"/>
    <mergeCell ref="F347:G347"/>
    <mergeCell ref="I347:J347"/>
    <mergeCell ref="F349:G349"/>
    <mergeCell ref="B346:D346"/>
    <mergeCell ref="F346:G346"/>
    <mergeCell ref="I346:J346"/>
    <mergeCell ref="B348:D348"/>
    <mergeCell ref="F348:G348"/>
    <mergeCell ref="I348:J348"/>
    <mergeCell ref="F336:G336"/>
    <mergeCell ref="I336:J336"/>
    <mergeCell ref="F296:G296"/>
  </mergeCells>
  <phoneticPr fontId="20" type="noConversion"/>
  <pageMargins left="0.7" right="0.45" top="0.75" bottom="0.75" header="0.3" footer="0.3"/>
  <pageSetup paperSize="9" scale="90" orientation="portrait" horizontalDpi="1200" verticalDpi="1200" r:id="rId3"/>
  <headerFooter alignWithMargins="0"/>
  <rowBreaks count="8" manualBreakCount="8">
    <brk id="27" max="16383" man="1"/>
    <brk id="80" max="16383" man="1"/>
    <brk id="132" max="16383" man="1"/>
    <brk id="193" max="16383" man="1"/>
    <brk id="310" max="16383" man="1"/>
    <brk id="362" max="16383" man="1"/>
    <brk id="421" max="16383" man="1"/>
    <brk id="477" max="16383" man="1"/>
  </rowBreaks>
  <drawing r:id="rId4"/>
  <legacyDrawing r:id="rId5"/>
  <oleObjects>
    <mc:AlternateContent xmlns:mc="http://schemas.openxmlformats.org/markup-compatibility/2006">
      <mc:Choice Requires="x14">
        <oleObject progId="Equation.3" shapeId="3821" r:id="rId6">
          <objectPr defaultSize="0" autoPict="0" r:id="rId7">
            <anchor moveWithCells="1" sizeWithCells="1">
              <from>
                <xdr:col>0</xdr:col>
                <xdr:colOff>76200</xdr:colOff>
                <xdr:row>61</xdr:row>
                <xdr:rowOff>9525</xdr:rowOff>
              </from>
              <to>
                <xdr:col>6</xdr:col>
                <xdr:colOff>85725</xdr:colOff>
                <xdr:row>65</xdr:row>
                <xdr:rowOff>76200</xdr:rowOff>
              </to>
            </anchor>
          </objectPr>
        </oleObject>
      </mc:Choice>
      <mc:Fallback>
        <oleObject progId="Equation.3" shapeId="3821" r:id="rId6"/>
      </mc:Fallback>
    </mc:AlternateContent>
    <mc:AlternateContent xmlns:mc="http://schemas.openxmlformats.org/markup-compatibility/2006">
      <mc:Choice Requires="x14">
        <oleObject progId="Equation.3" shapeId="3823" r:id="rId8">
          <objectPr defaultSize="0" autoPict="0" r:id="rId9">
            <anchor moveWithCells="1" sizeWithCells="1">
              <from>
                <xdr:col>0</xdr:col>
                <xdr:colOff>95250</xdr:colOff>
                <xdr:row>67</xdr:row>
                <xdr:rowOff>19050</xdr:rowOff>
              </from>
              <to>
                <xdr:col>1</xdr:col>
                <xdr:colOff>209550</xdr:colOff>
                <xdr:row>69</xdr:row>
                <xdr:rowOff>123825</xdr:rowOff>
              </to>
            </anchor>
          </objectPr>
        </oleObject>
      </mc:Choice>
      <mc:Fallback>
        <oleObject progId="Equation.3" shapeId="3823" r:id="rId8"/>
      </mc:Fallback>
    </mc:AlternateContent>
    <mc:AlternateContent xmlns:mc="http://schemas.openxmlformats.org/markup-compatibility/2006">
      <mc:Choice Requires="x14">
        <oleObject progId="Equation.3" shapeId="3824" r:id="rId10">
          <objectPr defaultSize="0" autoPict="0" r:id="rId11">
            <anchor moveWithCells="1" sizeWithCells="1">
              <from>
                <xdr:col>0</xdr:col>
                <xdr:colOff>104775</xdr:colOff>
                <xdr:row>70</xdr:row>
                <xdr:rowOff>38100</xdr:rowOff>
              </from>
              <to>
                <xdr:col>2</xdr:col>
                <xdr:colOff>314325</xdr:colOff>
                <xdr:row>72</xdr:row>
                <xdr:rowOff>161925</xdr:rowOff>
              </to>
            </anchor>
          </objectPr>
        </oleObject>
      </mc:Choice>
      <mc:Fallback>
        <oleObject progId="Equation.3" shapeId="3824" r:id="rId10"/>
      </mc:Fallback>
    </mc:AlternateContent>
    <mc:AlternateContent xmlns:mc="http://schemas.openxmlformats.org/markup-compatibility/2006">
      <mc:Choice Requires="x14">
        <oleObject progId="Equation.3" shapeId="3825" r:id="rId12">
          <objectPr defaultSize="0" autoPict="0" r:id="rId13">
            <anchor moveWithCells="1" sizeWithCells="1">
              <from>
                <xdr:col>0</xdr:col>
                <xdr:colOff>104775</xdr:colOff>
                <xdr:row>73</xdr:row>
                <xdr:rowOff>0</xdr:rowOff>
              </from>
              <to>
                <xdr:col>3</xdr:col>
                <xdr:colOff>409575</xdr:colOff>
                <xdr:row>76</xdr:row>
                <xdr:rowOff>9525</xdr:rowOff>
              </to>
            </anchor>
          </objectPr>
        </oleObject>
      </mc:Choice>
      <mc:Fallback>
        <oleObject progId="Equation.3" shapeId="3825" r:id="rId12"/>
      </mc:Fallback>
    </mc:AlternateContent>
    <mc:AlternateContent xmlns:mc="http://schemas.openxmlformats.org/markup-compatibility/2006">
      <mc:Choice Requires="x14">
        <oleObject progId="Equation.3" shapeId="3826" r:id="rId14">
          <objectPr defaultSize="0" autoPict="0" r:id="rId15">
            <anchor moveWithCells="1" sizeWithCells="1">
              <from>
                <xdr:col>0</xdr:col>
                <xdr:colOff>95250</xdr:colOff>
                <xdr:row>76</xdr:row>
                <xdr:rowOff>57150</xdr:rowOff>
              </from>
              <to>
                <xdr:col>7</xdr:col>
                <xdr:colOff>352425</xdr:colOff>
                <xdr:row>80</xdr:row>
                <xdr:rowOff>85725</xdr:rowOff>
              </to>
            </anchor>
          </objectPr>
        </oleObject>
      </mc:Choice>
      <mc:Fallback>
        <oleObject progId="Equation.3" shapeId="3826" r:id="rId14"/>
      </mc:Fallback>
    </mc:AlternateContent>
    <mc:AlternateContent xmlns:mc="http://schemas.openxmlformats.org/markup-compatibility/2006">
      <mc:Choice Requires="x14">
        <oleObject progId="Equation.3" shapeId="3828" r:id="rId16">
          <objectPr defaultSize="0" autoPict="0" r:id="rId17">
            <anchor moveWithCells="1" sizeWithCells="1">
              <from>
                <xdr:col>3</xdr:col>
                <xdr:colOff>123825</xdr:colOff>
                <xdr:row>132</xdr:row>
                <xdr:rowOff>0</xdr:rowOff>
              </from>
              <to>
                <xdr:col>7</xdr:col>
                <xdr:colOff>314325</xdr:colOff>
                <xdr:row>135</xdr:row>
                <xdr:rowOff>180975</xdr:rowOff>
              </to>
            </anchor>
          </objectPr>
        </oleObject>
      </mc:Choice>
      <mc:Fallback>
        <oleObject progId="Equation.3" shapeId="3828" r:id="rId16"/>
      </mc:Fallback>
    </mc:AlternateContent>
    <mc:AlternateContent xmlns:mc="http://schemas.openxmlformats.org/markup-compatibility/2006">
      <mc:Choice Requires="x14">
        <oleObject progId="Equation.3" shapeId="3829" r:id="rId18">
          <objectPr defaultSize="0" autoPict="0" r:id="rId17">
            <anchor moveWithCells="1" sizeWithCells="1">
              <from>
                <xdr:col>3</xdr:col>
                <xdr:colOff>95250</xdr:colOff>
                <xdr:row>188</xdr:row>
                <xdr:rowOff>38100</xdr:rowOff>
              </from>
              <to>
                <xdr:col>7</xdr:col>
                <xdr:colOff>285750</xdr:colOff>
                <xdr:row>191</xdr:row>
                <xdr:rowOff>142875</xdr:rowOff>
              </to>
            </anchor>
          </objectPr>
        </oleObject>
      </mc:Choice>
      <mc:Fallback>
        <oleObject progId="Equation.3" shapeId="3829" r:id="rId18"/>
      </mc:Fallback>
    </mc:AlternateContent>
    <mc:AlternateContent xmlns:mc="http://schemas.openxmlformats.org/markup-compatibility/2006">
      <mc:Choice Requires="x14">
        <oleObject progId="Equation.3" shapeId="3830" r:id="rId19">
          <objectPr defaultSize="0" autoPict="0" r:id="rId17">
            <anchor moveWithCells="1" sizeWithCells="1">
              <from>
                <xdr:col>3</xdr:col>
                <xdr:colOff>76200</xdr:colOff>
                <xdr:row>305</xdr:row>
                <xdr:rowOff>123825</xdr:rowOff>
              </from>
              <to>
                <xdr:col>7</xdr:col>
                <xdr:colOff>266700</xdr:colOff>
                <xdr:row>309</xdr:row>
                <xdr:rowOff>0</xdr:rowOff>
              </to>
            </anchor>
          </objectPr>
        </oleObject>
      </mc:Choice>
      <mc:Fallback>
        <oleObject progId="Equation.3" shapeId="3830" r:id="rId19"/>
      </mc:Fallback>
    </mc:AlternateContent>
    <mc:AlternateContent xmlns:mc="http://schemas.openxmlformats.org/markup-compatibility/2006">
      <mc:Choice Requires="x14">
        <oleObject progId="Equation.3" shapeId="3831" r:id="rId20">
          <objectPr defaultSize="0" autoPict="0" r:id="rId17">
            <anchor moveWithCells="1" sizeWithCells="1">
              <from>
                <xdr:col>3</xdr:col>
                <xdr:colOff>209550</xdr:colOff>
                <xdr:row>357</xdr:row>
                <xdr:rowOff>133350</xdr:rowOff>
              </from>
              <to>
                <xdr:col>7</xdr:col>
                <xdr:colOff>400050</xdr:colOff>
                <xdr:row>361</xdr:row>
                <xdr:rowOff>85725</xdr:rowOff>
              </to>
            </anchor>
          </objectPr>
        </oleObject>
      </mc:Choice>
      <mc:Fallback>
        <oleObject progId="Equation.3" shapeId="3831" r:id="rId20"/>
      </mc:Fallback>
    </mc:AlternateContent>
    <mc:AlternateContent xmlns:mc="http://schemas.openxmlformats.org/markup-compatibility/2006">
      <mc:Choice Requires="x14">
        <oleObject progId="Equation.3" shapeId="3832" r:id="rId21">
          <objectPr defaultSize="0" autoPict="0" r:id="rId22">
            <anchor moveWithCells="1" sizeWithCells="1">
              <from>
                <xdr:col>0</xdr:col>
                <xdr:colOff>57150</xdr:colOff>
                <xdr:row>136</xdr:row>
                <xdr:rowOff>9525</xdr:rowOff>
              </from>
              <to>
                <xdr:col>0</xdr:col>
                <xdr:colOff>457200</xdr:colOff>
                <xdr:row>137</xdr:row>
                <xdr:rowOff>9525</xdr:rowOff>
              </to>
            </anchor>
          </objectPr>
        </oleObject>
      </mc:Choice>
      <mc:Fallback>
        <oleObject progId="Equation.3" shapeId="3832" r:id="rId21"/>
      </mc:Fallback>
    </mc:AlternateContent>
    <mc:AlternateContent xmlns:mc="http://schemas.openxmlformats.org/markup-compatibility/2006">
      <mc:Choice Requires="x14">
        <oleObject progId="Equation.3" shapeId="3833" r:id="rId23">
          <objectPr defaultSize="0" autoPict="0" r:id="rId24">
            <anchor moveWithCells="1" sizeWithCells="1">
              <from>
                <xdr:col>0</xdr:col>
                <xdr:colOff>38100</xdr:colOff>
                <xdr:row>192</xdr:row>
                <xdr:rowOff>9525</xdr:rowOff>
              </from>
              <to>
                <xdr:col>0</xdr:col>
                <xdr:colOff>438150</xdr:colOff>
                <xdr:row>193</xdr:row>
                <xdr:rowOff>9525</xdr:rowOff>
              </to>
            </anchor>
          </objectPr>
        </oleObject>
      </mc:Choice>
      <mc:Fallback>
        <oleObject progId="Equation.3" shapeId="3833" r:id="rId23"/>
      </mc:Fallback>
    </mc:AlternateContent>
    <mc:AlternateContent xmlns:mc="http://schemas.openxmlformats.org/markup-compatibility/2006">
      <mc:Choice Requires="x14">
        <oleObject progId="Equation.3" shapeId="3834" r:id="rId25">
          <objectPr defaultSize="0" autoPict="0" r:id="rId26">
            <anchor moveWithCells="1" sizeWithCells="1">
              <from>
                <xdr:col>0</xdr:col>
                <xdr:colOff>57150</xdr:colOff>
                <xdr:row>309</xdr:row>
                <xdr:rowOff>9525</xdr:rowOff>
              </from>
              <to>
                <xdr:col>0</xdr:col>
                <xdr:colOff>457200</xdr:colOff>
                <xdr:row>309</xdr:row>
                <xdr:rowOff>371475</xdr:rowOff>
              </to>
            </anchor>
          </objectPr>
        </oleObject>
      </mc:Choice>
      <mc:Fallback>
        <oleObject progId="Equation.3" shapeId="3834" r:id="rId25"/>
      </mc:Fallback>
    </mc:AlternateContent>
    <mc:AlternateContent xmlns:mc="http://schemas.openxmlformats.org/markup-compatibility/2006">
      <mc:Choice Requires="x14">
        <oleObject progId="Equation.3" shapeId="3835" r:id="rId27">
          <objectPr defaultSize="0" autoPict="0" r:id="rId28">
            <anchor moveWithCells="1" sizeWithCells="1">
              <from>
                <xdr:col>0</xdr:col>
                <xdr:colOff>47625</xdr:colOff>
                <xdr:row>361</xdr:row>
                <xdr:rowOff>9525</xdr:rowOff>
              </from>
              <to>
                <xdr:col>0</xdr:col>
                <xdr:colOff>447675</xdr:colOff>
                <xdr:row>362</xdr:row>
                <xdr:rowOff>9525</xdr:rowOff>
              </to>
            </anchor>
          </objectPr>
        </oleObject>
      </mc:Choice>
      <mc:Fallback>
        <oleObject progId="Equation.3" shapeId="3835" r:id="rId27"/>
      </mc:Fallback>
    </mc:AlternateContent>
    <mc:AlternateContent xmlns:mc="http://schemas.openxmlformats.org/markup-compatibility/2006">
      <mc:Choice Requires="x14">
        <oleObject progId="Equation.3" shapeId="3836" r:id="rId29">
          <objectPr defaultSize="0" autoPict="0" r:id="rId30">
            <anchor moveWithCells="1" sizeWithCells="1">
              <from>
                <xdr:col>2</xdr:col>
                <xdr:colOff>76200</xdr:colOff>
                <xdr:row>360</xdr:row>
                <xdr:rowOff>161925</xdr:rowOff>
              </from>
              <to>
                <xdr:col>2</xdr:col>
                <xdr:colOff>581025</xdr:colOff>
                <xdr:row>361</xdr:row>
                <xdr:rowOff>371475</xdr:rowOff>
              </to>
            </anchor>
          </objectPr>
        </oleObject>
      </mc:Choice>
      <mc:Fallback>
        <oleObject progId="Equation.3" shapeId="3836" r:id="rId29"/>
      </mc:Fallback>
    </mc:AlternateContent>
    <mc:AlternateContent xmlns:mc="http://schemas.openxmlformats.org/markup-compatibility/2006">
      <mc:Choice Requires="x14">
        <oleObject progId="Equation.3" shapeId="3837" r:id="rId31">
          <objectPr defaultSize="0" autoPict="0" r:id="rId32">
            <anchor moveWithCells="1" sizeWithCells="1">
              <from>
                <xdr:col>2</xdr:col>
                <xdr:colOff>152400</xdr:colOff>
                <xdr:row>309</xdr:row>
                <xdr:rowOff>38100</xdr:rowOff>
              </from>
              <to>
                <xdr:col>2</xdr:col>
                <xdr:colOff>657225</xdr:colOff>
                <xdr:row>310</xdr:row>
                <xdr:rowOff>0</xdr:rowOff>
              </to>
            </anchor>
          </objectPr>
        </oleObject>
      </mc:Choice>
      <mc:Fallback>
        <oleObject progId="Equation.3" shapeId="3837" r:id="rId31"/>
      </mc:Fallback>
    </mc:AlternateContent>
    <mc:AlternateContent xmlns:mc="http://schemas.openxmlformats.org/markup-compatibility/2006">
      <mc:Choice Requires="x14">
        <oleObject progId="Equation.3" shapeId="3838" r:id="rId33">
          <objectPr defaultSize="0" autoPict="0" r:id="rId34">
            <anchor moveWithCells="1" sizeWithCells="1">
              <from>
                <xdr:col>1</xdr:col>
                <xdr:colOff>333375</xdr:colOff>
                <xdr:row>192</xdr:row>
                <xdr:rowOff>0</xdr:rowOff>
              </from>
              <to>
                <xdr:col>2</xdr:col>
                <xdr:colOff>304800</xdr:colOff>
                <xdr:row>193</xdr:row>
                <xdr:rowOff>0</xdr:rowOff>
              </to>
            </anchor>
          </objectPr>
        </oleObject>
      </mc:Choice>
      <mc:Fallback>
        <oleObject progId="Equation.3" shapeId="3838" r:id="rId33"/>
      </mc:Fallback>
    </mc:AlternateContent>
    <mc:AlternateContent xmlns:mc="http://schemas.openxmlformats.org/markup-compatibility/2006">
      <mc:Choice Requires="x14">
        <oleObject progId="Equation.3" shapeId="3839" r:id="rId35">
          <objectPr defaultSize="0" autoPict="0" r:id="rId36">
            <anchor moveWithCells="1" sizeWithCells="1">
              <from>
                <xdr:col>1</xdr:col>
                <xdr:colOff>342900</xdr:colOff>
                <xdr:row>136</xdr:row>
                <xdr:rowOff>9525</xdr:rowOff>
              </from>
              <to>
                <xdr:col>2</xdr:col>
                <xdr:colOff>304800</xdr:colOff>
                <xdr:row>137</xdr:row>
                <xdr:rowOff>9525</xdr:rowOff>
              </to>
            </anchor>
          </objectPr>
        </oleObject>
      </mc:Choice>
      <mc:Fallback>
        <oleObject progId="Equation.3" shapeId="3839" r:id="rId35"/>
      </mc:Fallback>
    </mc:AlternateContent>
    <mc:AlternateContent xmlns:mc="http://schemas.openxmlformats.org/markup-compatibility/2006">
      <mc:Choice Requires="x14">
        <oleObject progId="Equation.3" shapeId="3841" r:id="rId37">
          <objectPr defaultSize="0" autoPict="0" r:id="rId38">
            <anchor moveWithCells="1" sizeWithCells="1">
              <from>
                <xdr:col>4</xdr:col>
                <xdr:colOff>228600</xdr:colOff>
                <xdr:row>140</xdr:row>
                <xdr:rowOff>19050</xdr:rowOff>
              </from>
              <to>
                <xdr:col>5</xdr:col>
                <xdr:colOff>295275</xdr:colOff>
                <xdr:row>140</xdr:row>
                <xdr:rowOff>419100</xdr:rowOff>
              </to>
            </anchor>
          </objectPr>
        </oleObject>
      </mc:Choice>
      <mc:Fallback>
        <oleObject progId="Equation.3" shapeId="3841" r:id="rId37"/>
      </mc:Fallback>
    </mc:AlternateContent>
    <mc:AlternateContent xmlns:mc="http://schemas.openxmlformats.org/markup-compatibility/2006">
      <mc:Choice Requires="x14">
        <oleObject progId="Equation.3" shapeId="3842" r:id="rId39">
          <objectPr defaultSize="0" autoPict="0" r:id="rId40">
            <anchor moveWithCells="1" sizeWithCells="1">
              <from>
                <xdr:col>4</xdr:col>
                <xdr:colOff>219075</xdr:colOff>
                <xdr:row>196</xdr:row>
                <xdr:rowOff>19050</xdr:rowOff>
              </from>
              <to>
                <xdr:col>5</xdr:col>
                <xdr:colOff>285750</xdr:colOff>
                <xdr:row>197</xdr:row>
                <xdr:rowOff>0</xdr:rowOff>
              </to>
            </anchor>
          </objectPr>
        </oleObject>
      </mc:Choice>
      <mc:Fallback>
        <oleObject progId="Equation.3" shapeId="3842" r:id="rId39"/>
      </mc:Fallback>
    </mc:AlternateContent>
    <mc:AlternateContent xmlns:mc="http://schemas.openxmlformats.org/markup-compatibility/2006">
      <mc:Choice Requires="x14">
        <oleObject progId="Equation.3" shapeId="3843" r:id="rId41">
          <objectPr defaultSize="0" autoPict="0" r:id="rId42">
            <anchor moveWithCells="1" sizeWithCells="1">
              <from>
                <xdr:col>4</xdr:col>
                <xdr:colOff>200025</xdr:colOff>
                <xdr:row>313</xdr:row>
                <xdr:rowOff>19050</xdr:rowOff>
              </from>
              <to>
                <xdr:col>5</xdr:col>
                <xdr:colOff>266700</xdr:colOff>
                <xdr:row>313</xdr:row>
                <xdr:rowOff>419100</xdr:rowOff>
              </to>
            </anchor>
          </objectPr>
        </oleObject>
      </mc:Choice>
      <mc:Fallback>
        <oleObject progId="Equation.3" shapeId="3843" r:id="rId41"/>
      </mc:Fallback>
    </mc:AlternateContent>
    <mc:AlternateContent xmlns:mc="http://schemas.openxmlformats.org/markup-compatibility/2006">
      <mc:Choice Requires="x14">
        <oleObject progId="Equation.3" shapeId="3844" r:id="rId43">
          <objectPr defaultSize="0" autoPict="0" r:id="rId44">
            <anchor moveWithCells="1" sizeWithCells="1">
              <from>
                <xdr:col>4</xdr:col>
                <xdr:colOff>238125</xdr:colOff>
                <xdr:row>365</xdr:row>
                <xdr:rowOff>0</xdr:rowOff>
              </from>
              <to>
                <xdr:col>5</xdr:col>
                <xdr:colOff>304800</xdr:colOff>
                <xdr:row>366</xdr:row>
                <xdr:rowOff>9525</xdr:rowOff>
              </to>
            </anchor>
          </objectPr>
        </oleObject>
      </mc:Choice>
      <mc:Fallback>
        <oleObject progId="Equation.3" shapeId="3844" r:id="rId43"/>
      </mc:Fallback>
    </mc:AlternateContent>
    <mc:AlternateContent xmlns:mc="http://schemas.openxmlformats.org/markup-compatibility/2006">
      <mc:Choice Requires="x14">
        <oleObject progId="Equation.3" shapeId="3845" r:id="rId45">
          <objectPr defaultSize="0" autoPict="0" r:id="rId46">
            <anchor moveWithCells="1" sizeWithCells="1">
              <from>
                <xdr:col>5</xdr:col>
                <xdr:colOff>152400</xdr:colOff>
                <xdr:row>369</xdr:row>
                <xdr:rowOff>9525</xdr:rowOff>
              </from>
              <to>
                <xdr:col>6</xdr:col>
                <xdr:colOff>295275</xdr:colOff>
                <xdr:row>370</xdr:row>
                <xdr:rowOff>0</xdr:rowOff>
              </to>
            </anchor>
          </objectPr>
        </oleObject>
      </mc:Choice>
      <mc:Fallback>
        <oleObject progId="Equation.3" shapeId="3845" r:id="rId45"/>
      </mc:Fallback>
    </mc:AlternateContent>
    <mc:AlternateContent xmlns:mc="http://schemas.openxmlformats.org/markup-compatibility/2006">
      <mc:Choice Requires="x14">
        <oleObject progId="Equation.3" shapeId="3846" r:id="rId47">
          <objectPr defaultSize="0" autoPict="0" r:id="rId48">
            <anchor moveWithCells="1" sizeWithCells="1">
              <from>
                <xdr:col>5</xdr:col>
                <xdr:colOff>171450</xdr:colOff>
                <xdr:row>317</xdr:row>
                <xdr:rowOff>9525</xdr:rowOff>
              </from>
              <to>
                <xdr:col>6</xdr:col>
                <xdr:colOff>314325</xdr:colOff>
                <xdr:row>318</xdr:row>
                <xdr:rowOff>0</xdr:rowOff>
              </to>
            </anchor>
          </objectPr>
        </oleObject>
      </mc:Choice>
      <mc:Fallback>
        <oleObject progId="Equation.3" shapeId="3846" r:id="rId47"/>
      </mc:Fallback>
    </mc:AlternateContent>
    <mc:AlternateContent xmlns:mc="http://schemas.openxmlformats.org/markup-compatibility/2006">
      <mc:Choice Requires="x14">
        <oleObject progId="Equation.3" shapeId="3847" r:id="rId49">
          <objectPr defaultSize="0" autoPict="0" r:id="rId50">
            <anchor moveWithCells="1" sizeWithCells="1">
              <from>
                <xdr:col>5</xdr:col>
                <xdr:colOff>228600</xdr:colOff>
                <xdr:row>200</xdr:row>
                <xdr:rowOff>171450</xdr:rowOff>
              </from>
              <to>
                <xdr:col>6</xdr:col>
                <xdr:colOff>371475</xdr:colOff>
                <xdr:row>202</xdr:row>
                <xdr:rowOff>9525</xdr:rowOff>
              </to>
            </anchor>
          </objectPr>
        </oleObject>
      </mc:Choice>
      <mc:Fallback>
        <oleObject progId="Equation.3" shapeId="3847" r:id="rId49"/>
      </mc:Fallback>
    </mc:AlternateContent>
    <mc:AlternateContent xmlns:mc="http://schemas.openxmlformats.org/markup-compatibility/2006">
      <mc:Choice Requires="x14">
        <oleObject progId="Equation.3" shapeId="3848" r:id="rId51">
          <objectPr defaultSize="0" autoPict="0" r:id="rId52">
            <anchor moveWithCells="1" sizeWithCells="1">
              <from>
                <xdr:col>5</xdr:col>
                <xdr:colOff>238125</xdr:colOff>
                <xdr:row>144</xdr:row>
                <xdr:rowOff>19050</xdr:rowOff>
              </from>
              <to>
                <xdr:col>6</xdr:col>
                <xdr:colOff>381000</xdr:colOff>
                <xdr:row>145</xdr:row>
                <xdr:rowOff>0</xdr:rowOff>
              </to>
            </anchor>
          </objectPr>
        </oleObject>
      </mc:Choice>
      <mc:Fallback>
        <oleObject progId="Equation.3" shapeId="3848" r:id="rId51"/>
      </mc:Fallback>
    </mc:AlternateContent>
    <mc:AlternateContent xmlns:mc="http://schemas.openxmlformats.org/markup-compatibility/2006">
      <mc:Choice Requires="x14">
        <oleObject progId="AutoCAD.Drawing.17" shapeId="328561" r:id="rId53">
          <objectPr defaultSize="0" autoPict="0" r:id="rId54">
            <anchor moveWithCells="1">
              <from>
                <xdr:col>1</xdr:col>
                <xdr:colOff>323850</xdr:colOff>
                <xdr:row>1</xdr:row>
                <xdr:rowOff>76200</xdr:rowOff>
              </from>
              <to>
                <xdr:col>6</xdr:col>
                <xdr:colOff>219075</xdr:colOff>
                <xdr:row>18</xdr:row>
                <xdr:rowOff>95250</xdr:rowOff>
              </to>
            </anchor>
          </objectPr>
        </oleObject>
      </mc:Choice>
      <mc:Fallback>
        <oleObject progId="AutoCAD.Drawing.17" shapeId="328561" r:id="rId53"/>
      </mc:Fallback>
    </mc:AlternateContent>
    <mc:AlternateContent xmlns:mc="http://schemas.openxmlformats.org/markup-compatibility/2006">
      <mc:Choice Requires="x14">
        <oleObject progId="Equation.3" shapeId="337585" r:id="rId55">
          <objectPr defaultSize="0" autoPict="0" r:id="rId56">
            <anchor moveWithCells="1" sizeWithCells="1">
              <from>
                <xdr:col>0</xdr:col>
                <xdr:colOff>57150</xdr:colOff>
                <xdr:row>85</xdr:row>
                <xdr:rowOff>9525</xdr:rowOff>
              </from>
              <to>
                <xdr:col>7</xdr:col>
                <xdr:colOff>247650</xdr:colOff>
                <xdr:row>89</xdr:row>
                <xdr:rowOff>66675</xdr:rowOff>
              </to>
            </anchor>
          </objectPr>
        </oleObject>
      </mc:Choice>
      <mc:Fallback>
        <oleObject progId="Equation.3" shapeId="337585" r:id="rId55"/>
      </mc:Fallback>
    </mc:AlternateContent>
    <mc:AlternateContent xmlns:mc="http://schemas.openxmlformats.org/markup-compatibility/2006">
      <mc:Choice Requires="x14">
        <oleObject progId="AutoCAD.Drawing.17" shapeId="337592" r:id="rId57">
          <objectPr defaultSize="0" autoPict="0" r:id="rId58">
            <anchor moveWithCells="1">
              <from>
                <xdr:col>0</xdr:col>
                <xdr:colOff>0</xdr:colOff>
                <xdr:row>121</xdr:row>
                <xdr:rowOff>66675</xdr:rowOff>
              </from>
              <to>
                <xdr:col>3</xdr:col>
                <xdr:colOff>1209675</xdr:colOff>
                <xdr:row>132</xdr:row>
                <xdr:rowOff>190500</xdr:rowOff>
              </to>
            </anchor>
          </objectPr>
        </oleObject>
      </mc:Choice>
      <mc:Fallback>
        <oleObject progId="AutoCAD.Drawing.17" shapeId="337592" r:id="rId57"/>
      </mc:Fallback>
    </mc:AlternateContent>
    <mc:AlternateContent xmlns:mc="http://schemas.openxmlformats.org/markup-compatibility/2006">
      <mc:Choice Requires="x14">
        <oleObject progId="Equation.3" shapeId="337600" r:id="rId59">
          <objectPr defaultSize="0" autoPict="0" r:id="rId17">
            <anchor moveWithCells="1" sizeWithCells="1">
              <from>
                <xdr:col>3</xdr:col>
                <xdr:colOff>95250</xdr:colOff>
                <xdr:row>247</xdr:row>
                <xdr:rowOff>38100</xdr:rowOff>
              </from>
              <to>
                <xdr:col>7</xdr:col>
                <xdr:colOff>285750</xdr:colOff>
                <xdr:row>250</xdr:row>
                <xdr:rowOff>142875</xdr:rowOff>
              </to>
            </anchor>
          </objectPr>
        </oleObject>
      </mc:Choice>
      <mc:Fallback>
        <oleObject progId="Equation.3" shapeId="337600" r:id="rId59"/>
      </mc:Fallback>
    </mc:AlternateContent>
    <mc:AlternateContent xmlns:mc="http://schemas.openxmlformats.org/markup-compatibility/2006">
      <mc:Choice Requires="x14">
        <oleObject progId="Equation.3" shapeId="337601" r:id="rId60">
          <objectPr defaultSize="0" autoPict="0" r:id="rId24">
            <anchor moveWithCells="1" sizeWithCells="1">
              <from>
                <xdr:col>0</xdr:col>
                <xdr:colOff>38100</xdr:colOff>
                <xdr:row>251</xdr:row>
                <xdr:rowOff>9525</xdr:rowOff>
              </from>
              <to>
                <xdr:col>0</xdr:col>
                <xdr:colOff>438150</xdr:colOff>
                <xdr:row>252</xdr:row>
                <xdr:rowOff>9525</xdr:rowOff>
              </to>
            </anchor>
          </objectPr>
        </oleObject>
      </mc:Choice>
      <mc:Fallback>
        <oleObject progId="Equation.3" shapeId="337601" r:id="rId60"/>
      </mc:Fallback>
    </mc:AlternateContent>
    <mc:AlternateContent xmlns:mc="http://schemas.openxmlformats.org/markup-compatibility/2006">
      <mc:Choice Requires="x14">
        <oleObject progId="Equation.3" shapeId="337602" r:id="rId61">
          <objectPr defaultSize="0" autoPict="0" r:id="rId34">
            <anchor moveWithCells="1" sizeWithCells="1">
              <from>
                <xdr:col>1</xdr:col>
                <xdr:colOff>333375</xdr:colOff>
                <xdr:row>251</xdr:row>
                <xdr:rowOff>0</xdr:rowOff>
              </from>
              <to>
                <xdr:col>2</xdr:col>
                <xdr:colOff>304800</xdr:colOff>
                <xdr:row>252</xdr:row>
                <xdr:rowOff>0</xdr:rowOff>
              </to>
            </anchor>
          </objectPr>
        </oleObject>
      </mc:Choice>
      <mc:Fallback>
        <oleObject progId="Equation.3" shapeId="337602" r:id="rId61"/>
      </mc:Fallback>
    </mc:AlternateContent>
    <mc:AlternateContent xmlns:mc="http://schemas.openxmlformats.org/markup-compatibility/2006">
      <mc:Choice Requires="x14">
        <oleObject progId="Equation.3" shapeId="337603" r:id="rId62">
          <objectPr defaultSize="0" autoPict="0" r:id="rId40">
            <anchor moveWithCells="1" sizeWithCells="1">
              <from>
                <xdr:col>4</xdr:col>
                <xdr:colOff>295275</xdr:colOff>
                <xdr:row>255</xdr:row>
                <xdr:rowOff>19050</xdr:rowOff>
              </from>
              <to>
                <xdr:col>6</xdr:col>
                <xdr:colOff>104775</xdr:colOff>
                <xdr:row>255</xdr:row>
                <xdr:rowOff>419100</xdr:rowOff>
              </to>
            </anchor>
          </objectPr>
        </oleObject>
      </mc:Choice>
      <mc:Fallback>
        <oleObject progId="Equation.3" shapeId="337603" r:id="rId62"/>
      </mc:Fallback>
    </mc:AlternateContent>
    <mc:AlternateContent xmlns:mc="http://schemas.openxmlformats.org/markup-compatibility/2006">
      <mc:Choice Requires="x14">
        <oleObject progId="Equation.3" shapeId="337604" r:id="rId63">
          <objectPr defaultSize="0" autoPict="0" r:id="rId50">
            <anchor moveWithCells="1" sizeWithCells="1">
              <from>
                <xdr:col>5</xdr:col>
                <xdr:colOff>228600</xdr:colOff>
                <xdr:row>259</xdr:row>
                <xdr:rowOff>171450</xdr:rowOff>
              </from>
              <to>
                <xdr:col>6</xdr:col>
                <xdr:colOff>371475</xdr:colOff>
                <xdr:row>261</xdr:row>
                <xdr:rowOff>9525</xdr:rowOff>
              </to>
            </anchor>
          </objectPr>
        </oleObject>
      </mc:Choice>
      <mc:Fallback>
        <oleObject progId="Equation.3" shapeId="337604" r:id="rId63"/>
      </mc:Fallback>
    </mc:AlternateContent>
    <mc:AlternateContent xmlns:mc="http://schemas.openxmlformats.org/markup-compatibility/2006">
      <mc:Choice Requires="x14">
        <oleObject progId="AutoCAD.Drawing.17" shapeId="337605" r:id="rId64">
          <objectPr defaultSize="0" autoPict="0" r:id="rId65">
            <anchor moveWithCells="1">
              <from>
                <xdr:col>1</xdr:col>
                <xdr:colOff>266700</xdr:colOff>
                <xdr:row>202</xdr:row>
                <xdr:rowOff>161925</xdr:rowOff>
              </from>
              <to>
                <xdr:col>8</xdr:col>
                <xdr:colOff>371475</xdr:colOff>
                <xdr:row>225</xdr:row>
                <xdr:rowOff>85725</xdr:rowOff>
              </to>
            </anchor>
          </objectPr>
        </oleObject>
      </mc:Choice>
      <mc:Fallback>
        <oleObject progId="AutoCAD.Drawing.17" shapeId="337605" r:id="rId64"/>
      </mc:Fallback>
    </mc:AlternateContent>
    <mc:AlternateContent xmlns:mc="http://schemas.openxmlformats.org/markup-compatibility/2006">
      <mc:Choice Requires="x14">
        <oleObject progId="AutoCAD.Drawing.17" shapeId="337606" r:id="rId66">
          <objectPr defaultSize="0" autoPict="0" r:id="rId67">
            <anchor moveWithCells="1">
              <from>
                <xdr:col>2</xdr:col>
                <xdr:colOff>304800</xdr:colOff>
                <xdr:row>146</xdr:row>
                <xdr:rowOff>85725</xdr:rowOff>
              </from>
              <to>
                <xdr:col>9</xdr:col>
                <xdr:colOff>247650</xdr:colOff>
                <xdr:row>167</xdr:row>
                <xdr:rowOff>133350</xdr:rowOff>
              </to>
            </anchor>
          </objectPr>
        </oleObject>
      </mc:Choice>
      <mc:Fallback>
        <oleObject progId="AutoCAD.Drawing.17" shapeId="337606" r:id="rId66"/>
      </mc:Fallback>
    </mc:AlternateContent>
    <mc:AlternateContent xmlns:mc="http://schemas.openxmlformats.org/markup-compatibility/2006">
      <mc:Choice Requires="x14">
        <oleObject progId="AutoCAD.Drawing.17" shapeId="337607" r:id="rId68">
          <objectPr defaultSize="0" autoPict="0" r:id="rId69">
            <anchor moveWithCells="1">
              <from>
                <xdr:col>2</xdr:col>
                <xdr:colOff>133350</xdr:colOff>
                <xdr:row>90</xdr:row>
                <xdr:rowOff>28575</xdr:rowOff>
              </from>
              <to>
                <xdr:col>8</xdr:col>
                <xdr:colOff>676275</xdr:colOff>
                <xdr:row>110</xdr:row>
                <xdr:rowOff>85725</xdr:rowOff>
              </to>
            </anchor>
          </objectPr>
        </oleObject>
      </mc:Choice>
      <mc:Fallback>
        <oleObject progId="AutoCAD.Drawing.17" shapeId="337607" r:id="rId68"/>
      </mc:Fallback>
    </mc:AlternateContent>
    <mc:AlternateContent xmlns:mc="http://schemas.openxmlformats.org/markup-compatibility/2006">
      <mc:Choice Requires="x14">
        <oleObject progId="AutoCAD.Drawing.17" shapeId="337608" r:id="rId70">
          <objectPr defaultSize="0" autoPict="0" r:id="rId71">
            <anchor moveWithCells="1">
              <from>
                <xdr:col>1</xdr:col>
                <xdr:colOff>295275</xdr:colOff>
                <xdr:row>265</xdr:row>
                <xdr:rowOff>28575</xdr:rowOff>
              </from>
              <to>
                <xdr:col>8</xdr:col>
                <xdr:colOff>523875</xdr:colOff>
                <xdr:row>281</xdr:row>
                <xdr:rowOff>180975</xdr:rowOff>
              </to>
            </anchor>
          </objectPr>
        </oleObject>
      </mc:Choice>
      <mc:Fallback>
        <oleObject progId="AutoCAD.Drawing.17" shapeId="337608" r:id="rId70"/>
      </mc:Fallback>
    </mc:AlternateContent>
    <mc:AlternateContent xmlns:mc="http://schemas.openxmlformats.org/markup-compatibility/2006">
      <mc:Choice Requires="x14">
        <oleObject progId="AutoCAD.Drawing.17" shapeId="337610" r:id="rId72">
          <objectPr defaultSize="0" autoPict="0" r:id="rId73">
            <anchor moveWithCells="1">
              <from>
                <xdr:col>2</xdr:col>
                <xdr:colOff>133350</xdr:colOff>
                <xdr:row>322</xdr:row>
                <xdr:rowOff>95250</xdr:rowOff>
              </from>
              <to>
                <xdr:col>9</xdr:col>
                <xdr:colOff>114300</xdr:colOff>
                <xdr:row>333</xdr:row>
                <xdr:rowOff>66675</xdr:rowOff>
              </to>
            </anchor>
          </objectPr>
        </oleObject>
      </mc:Choice>
      <mc:Fallback>
        <oleObject progId="AutoCAD.Drawing.17" shapeId="337610" r:id="rId72"/>
      </mc:Fallback>
    </mc:AlternateContent>
    <mc:AlternateContent xmlns:mc="http://schemas.openxmlformats.org/markup-compatibility/2006">
      <mc:Choice Requires="x14">
        <oleObject progId="AutoCAD.Drawing.17" shapeId="337612" r:id="rId74">
          <objectPr defaultSize="0" autoPict="0" r:id="rId75">
            <anchor moveWithCells="1">
              <from>
                <xdr:col>2</xdr:col>
                <xdr:colOff>885825</xdr:colOff>
                <xdr:row>451</xdr:row>
                <xdr:rowOff>171450</xdr:rowOff>
              </from>
              <to>
                <xdr:col>6</xdr:col>
                <xdr:colOff>47625</xdr:colOff>
                <xdr:row>469</xdr:row>
                <xdr:rowOff>47625</xdr:rowOff>
              </to>
            </anchor>
          </objectPr>
        </oleObject>
      </mc:Choice>
      <mc:Fallback>
        <oleObject progId="AutoCAD.Drawing.17" shapeId="337612" r:id="rId74"/>
      </mc:Fallback>
    </mc:AlternateContent>
    <mc:AlternateContent xmlns:mc="http://schemas.openxmlformats.org/markup-compatibility/2006">
      <mc:Choice Requires="x14">
        <oleObject progId="AutoCAD.Drawing.17" shapeId="337613" r:id="rId76">
          <objectPr defaultSize="0" autoPict="0" r:id="rId77">
            <anchor moveWithCells="1">
              <from>
                <xdr:col>2</xdr:col>
                <xdr:colOff>790575</xdr:colOff>
                <xdr:row>500</xdr:row>
                <xdr:rowOff>114300</xdr:rowOff>
              </from>
              <to>
                <xdr:col>9</xdr:col>
                <xdr:colOff>180975</xdr:colOff>
                <xdr:row>519</xdr:row>
                <xdr:rowOff>171450</xdr:rowOff>
              </to>
            </anchor>
          </objectPr>
        </oleObject>
      </mc:Choice>
      <mc:Fallback>
        <oleObject progId="AutoCAD.Drawing.17" shapeId="337613" r:id="rId76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L479"/>
  <sheetViews>
    <sheetView showRuler="0" topLeftCell="A14" zoomScale="85" zoomScaleNormal="85" zoomScaleSheetLayoutView="100" workbookViewId="0">
      <selection activeCell="G52" sqref="G52"/>
    </sheetView>
  </sheetViews>
  <sheetFormatPr defaultRowHeight="14.25" x14ac:dyDescent="0.2"/>
  <cols>
    <col min="1" max="1" width="7.140625" style="1" customWidth="1"/>
    <col min="2" max="2" width="8" style="1" customWidth="1"/>
    <col min="3" max="3" width="9.42578125" style="1" customWidth="1"/>
    <col min="4" max="4" width="11" style="1" customWidth="1"/>
    <col min="5" max="5" width="8" style="261" customWidth="1"/>
    <col min="6" max="6" width="8" style="1" customWidth="1"/>
    <col min="7" max="7" width="7.7109375" style="1" customWidth="1"/>
    <col min="8" max="8" width="10.7109375" style="1" customWidth="1"/>
    <col min="9" max="9" width="10.42578125" style="1" customWidth="1"/>
    <col min="10" max="10" width="11.140625" style="1" customWidth="1"/>
    <col min="11" max="11" width="10.140625" style="1" customWidth="1"/>
    <col min="12" max="12" width="8.5703125" style="1" customWidth="1"/>
    <col min="13" max="13" width="6.85546875" style="1" customWidth="1"/>
    <col min="14" max="14" width="14.5703125" style="1" customWidth="1"/>
    <col min="15" max="15" width="13.42578125" style="1" customWidth="1"/>
    <col min="16" max="16" width="16.28515625" style="1" customWidth="1"/>
    <col min="17" max="17" width="13.7109375" style="1" customWidth="1"/>
    <col min="18" max="18" width="9.140625" style="1" customWidth="1"/>
    <col min="19" max="19" width="8.85546875" style="1" customWidth="1"/>
    <col min="20" max="20" width="5.85546875" style="1" customWidth="1"/>
    <col min="21" max="21" width="11.5703125" style="1" customWidth="1"/>
    <col min="22" max="33" width="9.140625" style="1" customWidth="1"/>
    <col min="34" max="16384" width="9.140625" style="1"/>
  </cols>
  <sheetData>
    <row r="1" spans="1:27" ht="15" x14ac:dyDescent="0.25">
      <c r="A1" s="721" t="s">
        <v>345</v>
      </c>
      <c r="B1" s="721"/>
      <c r="C1" s="721"/>
      <c r="D1" s="721"/>
      <c r="E1" s="721"/>
      <c r="F1" s="721"/>
      <c r="G1" s="721"/>
      <c r="H1" s="721"/>
      <c r="I1" s="721"/>
      <c r="J1" s="721"/>
      <c r="K1" s="721"/>
      <c r="L1" s="1">
        <v>10</v>
      </c>
      <c r="S1" s="1" t="s">
        <v>148</v>
      </c>
    </row>
    <row r="2" spans="1:27" x14ac:dyDescent="0.2">
      <c r="S2" s="1" t="s">
        <v>149</v>
      </c>
    </row>
    <row r="3" spans="1:27" x14ac:dyDescent="0.2">
      <c r="S3" s="1" t="s">
        <v>150</v>
      </c>
    </row>
    <row r="4" spans="1:27" ht="15" customHeight="1" x14ac:dyDescent="0.2">
      <c r="L4" s="696" t="s">
        <v>102</v>
      </c>
      <c r="M4" s="696"/>
      <c r="N4" s="696"/>
      <c r="O4" s="696"/>
      <c r="P4" s="696"/>
      <c r="S4" s="1" t="s">
        <v>151</v>
      </c>
    </row>
    <row r="5" spans="1:27" x14ac:dyDescent="0.2">
      <c r="L5" s="505" t="s">
        <v>103</v>
      </c>
      <c r="M5" s="167">
        <v>25</v>
      </c>
      <c r="N5" s="168" t="s">
        <v>105</v>
      </c>
      <c r="O5" s="168"/>
      <c r="P5" s="170"/>
      <c r="S5" s="1" t="s">
        <v>152</v>
      </c>
    </row>
    <row r="6" spans="1:27" x14ac:dyDescent="0.2">
      <c r="L6" s="505" t="s">
        <v>104</v>
      </c>
      <c r="M6" s="167">
        <v>420</v>
      </c>
      <c r="N6" s="168" t="s">
        <v>105</v>
      </c>
      <c r="O6" s="168"/>
      <c r="P6" s="170"/>
      <c r="S6" s="1" t="s">
        <v>153</v>
      </c>
    </row>
    <row r="7" spans="1:27" x14ac:dyDescent="0.2">
      <c r="L7" s="505" t="s">
        <v>181</v>
      </c>
      <c r="M7" s="169">
        <v>0.05</v>
      </c>
      <c r="N7" s="168" t="s">
        <v>11</v>
      </c>
      <c r="O7" s="168"/>
      <c r="P7" s="170"/>
    </row>
    <row r="8" spans="1:27" x14ac:dyDescent="0.2">
      <c r="L8" s="505" t="s">
        <v>106</v>
      </c>
      <c r="M8" s="169">
        <v>3.11</v>
      </c>
      <c r="N8" s="168" t="s">
        <v>105</v>
      </c>
      <c r="O8" s="168"/>
      <c r="P8" s="170"/>
    </row>
    <row r="9" spans="1:27" x14ac:dyDescent="0.2">
      <c r="L9" s="170"/>
      <c r="M9" s="170"/>
      <c r="N9" s="170"/>
      <c r="O9" s="170"/>
      <c r="P9" s="170"/>
      <c r="R9" s="1" t="s">
        <v>170</v>
      </c>
      <c r="U9" s="12"/>
      <c r="V9" s="74"/>
      <c r="W9" s="154"/>
    </row>
    <row r="10" spans="1:27" ht="15" x14ac:dyDescent="0.2">
      <c r="C10" s="15"/>
      <c r="L10" s="170" t="s">
        <v>107</v>
      </c>
      <c r="M10" s="170"/>
      <c r="N10" s="167">
        <v>26</v>
      </c>
      <c r="O10" s="167"/>
      <c r="P10" s="172">
        <v>15</v>
      </c>
      <c r="Q10" s="157" t="s">
        <v>169</v>
      </c>
      <c r="R10" s="74">
        <v>0</v>
      </c>
      <c r="S10" s="148">
        <v>12.5</v>
      </c>
      <c r="U10" s="12"/>
      <c r="V10" s="74"/>
      <c r="W10" s="154"/>
    </row>
    <row r="11" spans="1:27" x14ac:dyDescent="0.2">
      <c r="L11" s="170" t="s">
        <v>109</v>
      </c>
      <c r="M11" s="170"/>
      <c r="N11" s="167">
        <v>26</v>
      </c>
      <c r="O11" s="167"/>
      <c r="P11" s="172">
        <v>15</v>
      </c>
      <c r="Q11" s="157" t="s">
        <v>169</v>
      </c>
      <c r="R11" s="74">
        <v>0</v>
      </c>
      <c r="S11" s="148">
        <v>12.5</v>
      </c>
      <c r="U11" s="12"/>
      <c r="V11" s="74"/>
      <c r="W11" s="154"/>
    </row>
    <row r="12" spans="1:27" x14ac:dyDescent="0.2">
      <c r="L12" s="170" t="s">
        <v>108</v>
      </c>
      <c r="M12" s="170"/>
      <c r="N12" s="167">
        <v>26</v>
      </c>
      <c r="O12" s="167"/>
      <c r="P12" s="172">
        <v>15</v>
      </c>
      <c r="Q12" s="157" t="s">
        <v>169</v>
      </c>
      <c r="R12" s="75">
        <v>0</v>
      </c>
      <c r="S12" s="149">
        <v>12.5</v>
      </c>
    </row>
    <row r="13" spans="1:27" x14ac:dyDescent="0.2">
      <c r="L13" s="173" t="str">
        <f>A92</f>
        <v xml:space="preserve"> İNŞAAT SONU NORMAL DURUM STABİLİTE ANALİZİ (1.Durum)"</v>
      </c>
      <c r="M13" s="168"/>
      <c r="N13" s="168"/>
      <c r="O13" s="168"/>
      <c r="P13" s="168"/>
      <c r="Q13" s="95"/>
      <c r="R13" s="95"/>
      <c r="S13" s="95"/>
      <c r="T13" s="95"/>
      <c r="U13" s="95"/>
      <c r="V13" s="2"/>
      <c r="W13" s="2"/>
      <c r="X13" s="2"/>
      <c r="Y13" s="2"/>
      <c r="Z13" s="2"/>
      <c r="AA13" s="2"/>
    </row>
    <row r="14" spans="1:27" ht="18" x14ac:dyDescent="0.35">
      <c r="L14" s="174" t="s">
        <v>95</v>
      </c>
      <c r="M14" s="512" t="s">
        <v>72</v>
      </c>
      <c r="N14" s="495">
        <f>E139</f>
        <v>19.395167562120179</v>
      </c>
      <c r="O14" s="495"/>
      <c r="P14" s="495" t="str">
        <f>F139</f>
        <v>t/m²</v>
      </c>
      <c r="Q14" s="97" t="str">
        <f>G139</f>
        <v>&lt;</v>
      </c>
      <c r="R14" s="513" t="s">
        <v>75</v>
      </c>
      <c r="S14" s="98">
        <f t="shared" ref="S14:U15" si="0">I139</f>
        <v>400</v>
      </c>
      <c r="T14" s="98" t="str">
        <f t="shared" si="0"/>
        <v>t/m²</v>
      </c>
      <c r="U14" s="99" t="str">
        <f t="shared" si="0"/>
        <v>O.K.</v>
      </c>
      <c r="V14" s="2"/>
      <c r="W14" s="2"/>
      <c r="X14" s="2"/>
      <c r="Y14" s="2"/>
      <c r="Z14" s="2"/>
      <c r="AA14" s="2"/>
    </row>
    <row r="15" spans="1:27" ht="18" x14ac:dyDescent="0.35">
      <c r="L15" s="177"/>
      <c r="M15" s="512" t="s">
        <v>73</v>
      </c>
      <c r="N15" s="495">
        <f>E140</f>
        <v>9.9690708484758463</v>
      </c>
      <c r="O15" s="495"/>
      <c r="P15" s="495" t="str">
        <f>F140</f>
        <v>t/m²</v>
      </c>
      <c r="Q15" s="101" t="str">
        <f>G140</f>
        <v>&gt;</v>
      </c>
      <c r="R15" s="514" t="s">
        <v>74</v>
      </c>
      <c r="S15" s="101">
        <f t="shared" si="0"/>
        <v>0</v>
      </c>
      <c r="T15" s="101" t="str">
        <f t="shared" si="0"/>
        <v>t/m²</v>
      </c>
      <c r="U15" s="102" t="str">
        <f t="shared" si="0"/>
        <v>O.K.</v>
      </c>
      <c r="V15" s="2"/>
      <c r="W15" s="2"/>
      <c r="X15" s="2"/>
      <c r="Y15" s="2"/>
      <c r="Z15" s="2"/>
      <c r="AA15" s="2"/>
    </row>
    <row r="16" spans="1:27" x14ac:dyDescent="0.2">
      <c r="L16" s="174" t="s">
        <v>96</v>
      </c>
      <c r="M16" s="501"/>
      <c r="N16" s="495">
        <f>E144</f>
        <v>4.2464101851226674</v>
      </c>
      <c r="O16" s="495"/>
      <c r="P16" s="495"/>
      <c r="Q16" s="104" t="str">
        <f>G144</f>
        <v>&gt;</v>
      </c>
      <c r="R16" s="104">
        <f>H144</f>
        <v>1.5</v>
      </c>
      <c r="S16" s="104"/>
      <c r="T16" s="103"/>
      <c r="U16" s="105" t="str">
        <f>I144</f>
        <v>O.K.</v>
      </c>
      <c r="V16" s="2"/>
      <c r="W16" s="2"/>
      <c r="X16" s="2"/>
      <c r="Y16" s="2"/>
      <c r="Z16" s="2"/>
      <c r="AA16" s="2"/>
    </row>
    <row r="17" spans="1:27" x14ac:dyDescent="0.2">
      <c r="L17" s="177" t="s">
        <v>97</v>
      </c>
      <c r="M17" s="501"/>
      <c r="N17" s="495">
        <f>F148</f>
        <v>6.5498479460364081</v>
      </c>
      <c r="O17" s="495"/>
      <c r="P17" s="495"/>
      <c r="Q17" s="104" t="str">
        <f>H148</f>
        <v>&gt;</v>
      </c>
      <c r="R17" s="104">
        <f>I148</f>
        <v>1.5</v>
      </c>
      <c r="S17" s="103"/>
      <c r="T17" s="103"/>
      <c r="U17" s="105" t="str">
        <f>J148</f>
        <v>O.K.</v>
      </c>
      <c r="V17" s="2"/>
      <c r="W17" s="2"/>
      <c r="X17" s="2"/>
      <c r="Y17" s="2"/>
      <c r="Z17" s="2"/>
      <c r="AA17" s="2"/>
    </row>
    <row r="18" spans="1:27" x14ac:dyDescent="0.2">
      <c r="L18" s="168"/>
      <c r="M18" s="168"/>
      <c r="N18" s="168"/>
      <c r="O18" s="168"/>
      <c r="P18" s="168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</row>
    <row r="19" spans="1:27" x14ac:dyDescent="0.2">
      <c r="L19" s="173" t="str">
        <f>A151</f>
        <v xml:space="preserve"> İNŞAAT SONU DEPREMLİ DURUM STABİLİTE ANALİZİ (2.Durum)"</v>
      </c>
      <c r="M19" s="168"/>
      <c r="N19" s="168"/>
      <c r="O19" s="168"/>
      <c r="P19" s="168"/>
      <c r="Q19" s="95"/>
      <c r="R19" s="95"/>
      <c r="S19" s="95"/>
      <c r="T19" s="95"/>
      <c r="U19" s="95"/>
      <c r="V19" s="2"/>
      <c r="W19" s="2"/>
      <c r="X19" s="2"/>
      <c r="Y19" s="2"/>
      <c r="Z19" s="2"/>
      <c r="AA19" s="2"/>
    </row>
    <row r="20" spans="1:27" ht="18" x14ac:dyDescent="0.35">
      <c r="A20" s="158"/>
      <c r="K20" s="150"/>
      <c r="L20" s="179" t="str">
        <f>L14</f>
        <v>gerilme</v>
      </c>
      <c r="M20" s="512" t="s">
        <v>72</v>
      </c>
      <c r="N20" s="180">
        <f>E193</f>
        <v>-1159.0196845290018</v>
      </c>
      <c r="O20" s="180"/>
      <c r="P20" s="181" t="str">
        <f>F193</f>
        <v>t/m²</v>
      </c>
      <c r="Q20" s="106" t="str">
        <f>G193</f>
        <v>&lt;</v>
      </c>
      <c r="R20" s="513" t="s">
        <v>75</v>
      </c>
      <c r="S20" s="107">
        <f t="shared" ref="S20:U21" si="1">I193</f>
        <v>400</v>
      </c>
      <c r="T20" s="106" t="str">
        <f t="shared" si="1"/>
        <v>t/m²</v>
      </c>
      <c r="U20" s="108" t="str">
        <f t="shared" si="1"/>
        <v>O.K.</v>
      </c>
      <c r="V20" s="2"/>
      <c r="W20" s="2"/>
      <c r="X20" s="2"/>
      <c r="Y20" s="2"/>
      <c r="Z20" s="2"/>
      <c r="AA20" s="2"/>
    </row>
    <row r="21" spans="1:27" s="2" customFormat="1" ht="14.25" customHeight="1" x14ac:dyDescent="0.35">
      <c r="A21" s="2" t="s">
        <v>0</v>
      </c>
      <c r="E21" s="193"/>
      <c r="H21" s="16" t="s">
        <v>1</v>
      </c>
      <c r="I21" s="72">
        <v>7.1</v>
      </c>
      <c r="J21" s="2" t="s">
        <v>11</v>
      </c>
      <c r="K21" s="151"/>
      <c r="L21" s="179"/>
      <c r="M21" s="512" t="s">
        <v>73</v>
      </c>
      <c r="N21" s="182">
        <f>E194</f>
        <v>0</v>
      </c>
      <c r="O21" s="182"/>
      <c r="P21" s="495" t="str">
        <f>F194</f>
        <v>t/m²</v>
      </c>
      <c r="Q21" s="109"/>
      <c r="R21" s="514" t="s">
        <v>74</v>
      </c>
      <c r="S21" s="110">
        <f t="shared" si="1"/>
        <v>0</v>
      </c>
      <c r="T21" s="110" t="str">
        <f t="shared" si="1"/>
        <v>t/m²</v>
      </c>
      <c r="U21" s="111" t="str">
        <f t="shared" si="1"/>
        <v>O.K.</v>
      </c>
    </row>
    <row r="22" spans="1:27" s="2" customFormat="1" ht="14.25" customHeight="1" x14ac:dyDescent="0.3">
      <c r="A22" s="2" t="s">
        <v>2</v>
      </c>
      <c r="E22" s="193"/>
      <c r="H22" s="16" t="s">
        <v>3</v>
      </c>
      <c r="I22" s="72">
        <v>1.5</v>
      </c>
      <c r="J22" s="2" t="s">
        <v>11</v>
      </c>
      <c r="K22" s="152">
        <f>hs/hw</f>
        <v>0.21126760563380284</v>
      </c>
      <c r="L22" s="179" t="str">
        <f>L16</f>
        <v>devrilme</v>
      </c>
      <c r="M22" s="183"/>
      <c r="N22" s="181">
        <f>E198</f>
        <v>0.98622667087477656</v>
      </c>
      <c r="O22" s="421">
        <f>+E199</f>
        <v>0.98622667087477656</v>
      </c>
      <c r="P22" s="181"/>
      <c r="Q22" s="113" t="str">
        <f>G198</f>
        <v>&lt;</v>
      </c>
      <c r="R22" s="113">
        <f>H198</f>
        <v>1.2</v>
      </c>
      <c r="S22" s="113"/>
      <c r="T22" s="113"/>
      <c r="U22" s="114" t="str">
        <f>I198</f>
        <v>not O.K.</v>
      </c>
    </row>
    <row r="23" spans="1:27" s="2" customFormat="1" ht="14.25" customHeight="1" x14ac:dyDescent="0.2">
      <c r="A23" s="2" t="s">
        <v>4</v>
      </c>
      <c r="E23" s="193"/>
      <c r="H23" s="16" t="s">
        <v>5</v>
      </c>
      <c r="I23" s="200">
        <f>hw+hs</f>
        <v>8.6</v>
      </c>
      <c r="J23" s="2" t="s">
        <v>11</v>
      </c>
      <c r="K23" s="151"/>
      <c r="L23" s="179" t="str">
        <f>L17</f>
        <v>kayma</v>
      </c>
      <c r="M23" s="183"/>
      <c r="N23" s="181">
        <f>F203</f>
        <v>1.1205136947222694</v>
      </c>
      <c r="O23" s="421">
        <f>+F204</f>
        <v>1.1205136947222694</v>
      </c>
      <c r="P23" s="183"/>
      <c r="Q23" s="112" t="str">
        <f>H203</f>
        <v>&lt;</v>
      </c>
      <c r="R23" s="113">
        <f>I203</f>
        <v>1.2</v>
      </c>
      <c r="S23" s="112"/>
      <c r="T23" s="112"/>
      <c r="U23" s="114" t="str">
        <f>J203</f>
        <v>not O.K.</v>
      </c>
    </row>
    <row r="24" spans="1:27" s="2" customFormat="1" ht="15.75" x14ac:dyDescent="0.3">
      <c r="A24" s="2" t="s">
        <v>214</v>
      </c>
      <c r="E24" s="193"/>
      <c r="H24" s="16" t="s">
        <v>215</v>
      </c>
      <c r="I24" s="72">
        <f>+bf+bt/2</f>
        <v>2.5</v>
      </c>
      <c r="K24" s="522"/>
      <c r="L24" s="168"/>
      <c r="M24" s="168"/>
      <c r="N24" s="168"/>
      <c r="O24" s="168"/>
      <c r="P24" s="168"/>
    </row>
    <row r="25" spans="1:27" s="2" customFormat="1" ht="14.25" customHeight="1" x14ac:dyDescent="0.3">
      <c r="A25" s="2" t="s">
        <v>12</v>
      </c>
      <c r="E25" s="193"/>
      <c r="H25" s="16" t="s">
        <v>8</v>
      </c>
      <c r="I25" s="72">
        <v>1</v>
      </c>
      <c r="J25" s="2" t="s">
        <v>11</v>
      </c>
      <c r="K25" s="523"/>
      <c r="L25" s="173" t="str">
        <f>A207</f>
        <v xml:space="preserve"> TAŞKIN HALİ NORMAL DURUM STABİLİTE ANALİZİ (3.Durum)"</v>
      </c>
      <c r="M25" s="168"/>
      <c r="N25" s="168"/>
      <c r="O25" s="168"/>
      <c r="P25" s="168"/>
      <c r="Q25" s="95"/>
      <c r="R25" s="95"/>
      <c r="S25" s="95"/>
      <c r="T25" s="95"/>
      <c r="U25" s="95"/>
    </row>
    <row r="26" spans="1:27" s="2" customFormat="1" ht="14.25" customHeight="1" x14ac:dyDescent="0.35">
      <c r="A26" s="2" t="s">
        <v>13</v>
      </c>
      <c r="E26" s="193"/>
      <c r="H26" s="16" t="s">
        <v>7</v>
      </c>
      <c r="I26" s="199">
        <v>4.55</v>
      </c>
      <c r="J26" s="2" t="s">
        <v>11</v>
      </c>
      <c r="K26" s="523"/>
      <c r="L26" s="179" t="str">
        <f>L20</f>
        <v>gerilme</v>
      </c>
      <c r="M26" s="515" t="s">
        <v>72</v>
      </c>
      <c r="N26" s="181">
        <f>E248</f>
        <v>15.685415770124486</v>
      </c>
      <c r="O26" s="181"/>
      <c r="P26" s="185" t="str">
        <f>F248</f>
        <v>t/m²</v>
      </c>
      <c r="Q26" s="116" t="str">
        <f>G248</f>
        <v>&lt;</v>
      </c>
      <c r="R26" s="516" t="s">
        <v>75</v>
      </c>
      <c r="S26" s="117">
        <f t="shared" ref="S26:U27" si="2">I248</f>
        <v>400</v>
      </c>
      <c r="T26" s="118" t="str">
        <f t="shared" si="2"/>
        <v>t/m²</v>
      </c>
      <c r="U26" s="99" t="str">
        <f t="shared" si="2"/>
        <v>O.K.</v>
      </c>
    </row>
    <row r="27" spans="1:27" s="2" customFormat="1" ht="14.25" customHeight="1" x14ac:dyDescent="0.35">
      <c r="A27" s="2" t="s">
        <v>14</v>
      </c>
      <c r="E27" s="193"/>
      <c r="H27" s="16" t="s">
        <v>9</v>
      </c>
      <c r="I27" s="72">
        <v>1</v>
      </c>
      <c r="J27" s="2" t="s">
        <v>11</v>
      </c>
      <c r="K27" s="523"/>
      <c r="L27" s="179"/>
      <c r="M27" s="515" t="s">
        <v>73</v>
      </c>
      <c r="N27" s="181">
        <f>E249</f>
        <v>0</v>
      </c>
      <c r="O27" s="181"/>
      <c r="P27" s="185" t="str">
        <f>F249</f>
        <v>t/m²</v>
      </c>
      <c r="Q27" s="121" t="str">
        <f>G249</f>
        <v>&gt;</v>
      </c>
      <c r="R27" s="517" t="s">
        <v>75</v>
      </c>
      <c r="S27" s="122">
        <f t="shared" si="2"/>
        <v>0</v>
      </c>
      <c r="T27" s="123" t="str">
        <f t="shared" si="2"/>
        <v>t/m²</v>
      </c>
      <c r="U27" s="124" t="str">
        <f t="shared" si="2"/>
        <v>O.K.</v>
      </c>
    </row>
    <row r="28" spans="1:27" s="2" customFormat="1" ht="14.25" customHeight="1" x14ac:dyDescent="0.3">
      <c r="A28" s="2" t="s">
        <v>15</v>
      </c>
      <c r="E28" s="193"/>
      <c r="H28" s="16" t="s">
        <v>10</v>
      </c>
      <c r="I28" s="72">
        <v>2</v>
      </c>
      <c r="J28" s="2" t="s">
        <v>11</v>
      </c>
      <c r="K28" s="523"/>
      <c r="L28" s="179" t="str">
        <f>L22</f>
        <v>devrilme</v>
      </c>
      <c r="M28" s="168"/>
      <c r="N28" s="181">
        <f>E253</f>
        <v>1.6943513616345531</v>
      </c>
      <c r="O28" s="181"/>
      <c r="P28" s="183"/>
      <c r="Q28" s="112" t="str">
        <f>G253</f>
        <v>&gt;</v>
      </c>
      <c r="R28" s="113">
        <f>H253</f>
        <v>1.5</v>
      </c>
      <c r="S28" s="126"/>
      <c r="T28" s="125"/>
      <c r="U28" s="105" t="str">
        <f>I253</f>
        <v>O.K.</v>
      </c>
    </row>
    <row r="29" spans="1:27" s="2" customFormat="1" ht="14.25" customHeight="1" x14ac:dyDescent="0.2">
      <c r="A29" s="2" t="s">
        <v>16</v>
      </c>
      <c r="E29" s="193"/>
      <c r="H29" s="16" t="s">
        <v>6</v>
      </c>
      <c r="I29" s="85">
        <f>SUM(I26:I28)</f>
        <v>7.55</v>
      </c>
      <c r="J29" s="2" t="s">
        <v>11</v>
      </c>
      <c r="K29" s="151">
        <f>b/h</f>
        <v>0.87790697674418605</v>
      </c>
      <c r="L29" s="179" t="str">
        <f>L23</f>
        <v>kayma</v>
      </c>
      <c r="M29" s="168"/>
      <c r="N29" s="181">
        <f>F257</f>
        <v>2.9282710023398368</v>
      </c>
      <c r="O29" s="181"/>
      <c r="P29" s="168"/>
      <c r="Q29" s="112" t="str">
        <f>H257</f>
        <v>&gt;</v>
      </c>
      <c r="R29" s="113">
        <f>I257</f>
        <v>1.5</v>
      </c>
      <c r="S29" s="126"/>
      <c r="T29" s="125"/>
      <c r="U29" s="105" t="str">
        <f>J257</f>
        <v>O.K.</v>
      </c>
    </row>
    <row r="30" spans="1:27" s="2" customFormat="1" ht="15.75" x14ac:dyDescent="0.3">
      <c r="A30" s="2" t="s">
        <v>216</v>
      </c>
      <c r="E30" s="193"/>
      <c r="H30" s="16" t="s">
        <v>217</v>
      </c>
      <c r="I30" s="72">
        <v>3.4</v>
      </c>
      <c r="K30" s="153"/>
      <c r="L30" s="168"/>
      <c r="M30" s="168"/>
      <c r="N30" s="168"/>
      <c r="O30" s="168"/>
      <c r="P30" s="168"/>
    </row>
    <row r="31" spans="1:27" s="2" customFormat="1" ht="15.75" x14ac:dyDescent="0.3">
      <c r="A31" s="2" t="s">
        <v>218</v>
      </c>
      <c r="E31" s="193"/>
      <c r="H31" s="16" t="s">
        <v>219</v>
      </c>
      <c r="I31" s="72">
        <f>+'A0=0.553g'!I31</f>
        <v>0</v>
      </c>
      <c r="K31" s="153"/>
      <c r="L31" s="168"/>
      <c r="M31" s="168"/>
      <c r="N31" s="168"/>
      <c r="O31" s="168"/>
      <c r="P31" s="168"/>
    </row>
    <row r="32" spans="1:27" s="2" customFormat="1" ht="14.25" customHeight="1" x14ac:dyDescent="0.2">
      <c r="A32" s="193" t="s">
        <v>17</v>
      </c>
      <c r="B32" s="193"/>
      <c r="C32" s="193"/>
      <c r="D32" s="193"/>
      <c r="E32" s="193"/>
      <c r="F32" s="193"/>
      <c r="G32" s="193"/>
      <c r="H32" s="194" t="s">
        <v>18</v>
      </c>
      <c r="I32" s="195">
        <v>27.83</v>
      </c>
      <c r="J32" s="193" t="s">
        <v>19</v>
      </c>
      <c r="K32" s="153"/>
      <c r="L32" s="173" t="str">
        <f>A260</f>
        <v xml:space="preserve"> TAŞKIN SONU NORMAL DURUM STABİLİTE ANALİZİ (4.Durum)"</v>
      </c>
      <c r="M32" s="168"/>
      <c r="N32" s="168"/>
      <c r="O32" s="168"/>
      <c r="P32" s="168"/>
      <c r="Q32" s="95"/>
      <c r="R32" s="95"/>
      <c r="S32" s="95"/>
      <c r="T32" s="95"/>
      <c r="U32" s="95"/>
    </row>
    <row r="33" spans="1:27" s="2" customFormat="1" ht="14.25" customHeight="1" x14ac:dyDescent="0.35">
      <c r="A33" s="193" t="s">
        <v>20</v>
      </c>
      <c r="B33" s="193"/>
      <c r="C33" s="193"/>
      <c r="D33" s="193"/>
      <c r="E33" s="193"/>
      <c r="F33" s="193"/>
      <c r="G33" s="193"/>
      <c r="H33" s="194" t="s">
        <v>6</v>
      </c>
      <c r="I33" s="283">
        <f>ATAN((I26-I25)/I21)*180/PI()</f>
        <v>26.56505117707799</v>
      </c>
      <c r="J33" s="193" t="s">
        <v>19</v>
      </c>
      <c r="K33" s="153"/>
      <c r="L33" s="179" t="str">
        <f>L26</f>
        <v>gerilme</v>
      </c>
      <c r="M33" s="518" t="s">
        <v>72</v>
      </c>
      <c r="N33" s="181">
        <f>E298</f>
        <v>15.451289957580684</v>
      </c>
      <c r="O33" s="181"/>
      <c r="P33" s="181" t="str">
        <f>F298</f>
        <v>t/m²</v>
      </c>
      <c r="Q33" s="106" t="str">
        <f>G298</f>
        <v>&lt;</v>
      </c>
      <c r="R33" s="513" t="s">
        <v>75</v>
      </c>
      <c r="S33" s="98">
        <f t="shared" ref="S33:U34" si="3">I298</f>
        <v>400</v>
      </c>
      <c r="T33" s="98" t="str">
        <f t="shared" si="3"/>
        <v>t/m²</v>
      </c>
      <c r="U33" s="99" t="str">
        <f t="shared" si="3"/>
        <v>O.K.</v>
      </c>
    </row>
    <row r="34" spans="1:27" s="2" customFormat="1" ht="14.25" customHeight="1" x14ac:dyDescent="0.35">
      <c r="A34" s="193" t="s">
        <v>21</v>
      </c>
      <c r="B34" s="193"/>
      <c r="C34" s="193"/>
      <c r="D34" s="193"/>
      <c r="E34" s="193"/>
      <c r="F34" s="193"/>
      <c r="G34" s="193"/>
      <c r="H34" s="194" t="s">
        <v>22</v>
      </c>
      <c r="I34" s="195">
        <v>0</v>
      </c>
      <c r="J34" s="193" t="s">
        <v>19</v>
      </c>
      <c r="K34" s="153"/>
      <c r="L34" s="179"/>
      <c r="M34" s="518" t="s">
        <v>73</v>
      </c>
      <c r="N34" s="181">
        <f>E299</f>
        <v>8.0337312344722971</v>
      </c>
      <c r="O34" s="181"/>
      <c r="P34" s="181" t="str">
        <f>F299</f>
        <v>t/m²</v>
      </c>
      <c r="Q34" s="120" t="str">
        <f>G299</f>
        <v>&gt;</v>
      </c>
      <c r="R34" s="514" t="s">
        <v>74</v>
      </c>
      <c r="S34" s="127">
        <f t="shared" si="3"/>
        <v>0</v>
      </c>
      <c r="T34" s="127" t="str">
        <f t="shared" si="3"/>
        <v>t/m²</v>
      </c>
      <c r="U34" s="124" t="str">
        <f t="shared" si="3"/>
        <v>O.K.</v>
      </c>
    </row>
    <row r="35" spans="1:27" s="2" customFormat="1" ht="15" customHeight="1" x14ac:dyDescent="0.2">
      <c r="A35" s="193"/>
      <c r="B35" s="193"/>
      <c r="C35" s="193"/>
      <c r="D35" s="193"/>
      <c r="E35" s="193"/>
      <c r="F35" s="193"/>
      <c r="G35" s="193"/>
      <c r="H35" s="284" t="s">
        <v>42</v>
      </c>
      <c r="I35" s="285">
        <f>I32/2</f>
        <v>13.914999999999999</v>
      </c>
      <c r="J35" s="193" t="s">
        <v>19</v>
      </c>
      <c r="L35" s="179" t="str">
        <f>L28</f>
        <v>devrilme</v>
      </c>
      <c r="M35" s="168"/>
      <c r="N35" s="495">
        <f>E303</f>
        <v>2.7605149089163215</v>
      </c>
      <c r="O35" s="495"/>
      <c r="P35" s="183"/>
      <c r="Q35" s="112" t="str">
        <f>G303</f>
        <v>&gt;</v>
      </c>
      <c r="R35" s="113">
        <f>H303</f>
        <v>1.5</v>
      </c>
      <c r="S35" s="103"/>
      <c r="T35" s="103"/>
      <c r="U35" s="105" t="str">
        <f>I303</f>
        <v>O.K.</v>
      </c>
    </row>
    <row r="36" spans="1:27" s="2" customFormat="1" ht="15" customHeight="1" x14ac:dyDescent="0.2">
      <c r="A36" s="193" t="s">
        <v>23</v>
      </c>
      <c r="B36" s="193"/>
      <c r="C36" s="193"/>
      <c r="D36" s="193"/>
      <c r="E36" s="193"/>
      <c r="F36" s="193"/>
      <c r="G36" s="193"/>
      <c r="H36" s="196" t="s">
        <v>24</v>
      </c>
      <c r="I36" s="195">
        <v>1.1399999999999999</v>
      </c>
      <c r="J36" s="193" t="s">
        <v>25</v>
      </c>
      <c r="L36" s="179" t="str">
        <f>L29</f>
        <v>kayma</v>
      </c>
      <c r="M36" s="187"/>
      <c r="N36" s="181">
        <f>F307</f>
        <v>4.2777103950388575</v>
      </c>
      <c r="O36" s="181"/>
      <c r="P36" s="183"/>
      <c r="Q36" s="112" t="str">
        <f>H307</f>
        <v>&gt;</v>
      </c>
      <c r="R36" s="113">
        <f>I307</f>
        <v>1.5</v>
      </c>
      <c r="S36" s="103"/>
      <c r="T36" s="103"/>
      <c r="U36" s="105" t="str">
        <f>J307</f>
        <v>O.K.</v>
      </c>
    </row>
    <row r="37" spans="1:27" s="193" customFormat="1" x14ac:dyDescent="0.2">
      <c r="A37" s="193" t="s">
        <v>183</v>
      </c>
      <c r="H37" s="196" t="s">
        <v>26</v>
      </c>
      <c r="I37" s="197">
        <v>0.44600000000000001</v>
      </c>
      <c r="J37" s="193" t="s">
        <v>182</v>
      </c>
      <c r="L37" s="168"/>
      <c r="M37" s="168"/>
      <c r="N37" s="168"/>
      <c r="O37" s="168"/>
      <c r="P37" s="168"/>
    </row>
    <row r="38" spans="1:27" s="193" customFormat="1" ht="12.75" x14ac:dyDescent="0.2">
      <c r="A38" s="193" t="s">
        <v>79</v>
      </c>
      <c r="H38" s="196"/>
      <c r="I38" s="197">
        <f>A*2/3</f>
        <v>0.29733333333333334</v>
      </c>
      <c r="L38" s="442" t="str">
        <f>A310</f>
        <v xml:space="preserve"> KESİT HESAPLARI</v>
      </c>
      <c r="M38" s="168"/>
      <c r="N38" s="168"/>
      <c r="O38" s="168"/>
      <c r="P38" s="168"/>
    </row>
    <row r="39" spans="1:27" s="193" customFormat="1" ht="12.75" x14ac:dyDescent="0.2">
      <c r="A39" s="193" t="s">
        <v>39</v>
      </c>
      <c r="H39" s="196" t="s">
        <v>40</v>
      </c>
      <c r="I39" s="286">
        <v>1.5</v>
      </c>
      <c r="L39" s="168" t="s">
        <v>157</v>
      </c>
      <c r="M39" s="168"/>
      <c r="N39" s="168"/>
      <c r="O39" s="168"/>
      <c r="P39" s="168"/>
    </row>
    <row r="40" spans="1:27" s="2" customFormat="1" ht="12.75" x14ac:dyDescent="0.2">
      <c r="A40" s="193"/>
      <c r="B40" s="193"/>
      <c r="C40" s="193"/>
      <c r="D40" s="193"/>
      <c r="E40" s="193"/>
      <c r="F40" s="193"/>
      <c r="G40" s="193"/>
      <c r="H40" s="196"/>
      <c r="I40" s="287"/>
      <c r="J40" s="193"/>
      <c r="L40" s="168" t="s">
        <v>159</v>
      </c>
      <c r="M40" s="168"/>
      <c r="N40" s="168">
        <f>D364</f>
        <v>336.375</v>
      </c>
      <c r="O40" s="168"/>
      <c r="P40" s="168" t="str">
        <f>E364</f>
        <v>t/m</v>
      </c>
      <c r="Q40" s="128" t="str">
        <f>F364</f>
        <v xml:space="preserve"> &gt;      Vd =</v>
      </c>
      <c r="R40" s="128"/>
      <c r="S40" s="132">
        <f t="shared" ref="S40:U41" si="4">H364</f>
        <v>73.819504732432137</v>
      </c>
      <c r="T40" s="128" t="str">
        <f t="shared" si="4"/>
        <v>t/m</v>
      </c>
      <c r="U40" s="129" t="str">
        <f t="shared" si="4"/>
        <v>O.K.</v>
      </c>
    </row>
    <row r="41" spans="1:27" s="2" customFormat="1" ht="15.75" x14ac:dyDescent="0.3">
      <c r="A41" s="193" t="s">
        <v>27</v>
      </c>
      <c r="B41" s="193"/>
      <c r="C41" s="193"/>
      <c r="D41" s="193"/>
      <c r="E41" s="193"/>
      <c r="F41" s="193"/>
      <c r="G41" s="193"/>
      <c r="H41" s="194" t="s">
        <v>28</v>
      </c>
      <c r="I41" s="195">
        <v>2.4</v>
      </c>
      <c r="J41" s="193" t="s">
        <v>30</v>
      </c>
      <c r="L41" s="168"/>
      <c r="M41" s="168"/>
      <c r="N41" s="185">
        <f>D365</f>
        <v>1514.7</v>
      </c>
      <c r="O41" s="185"/>
      <c r="P41" s="185" t="str">
        <f>E365</f>
        <v>t/m</v>
      </c>
      <c r="Q41" s="130" t="str">
        <f>F365</f>
        <v xml:space="preserve"> &gt;      Vd =</v>
      </c>
      <c r="R41" s="130"/>
      <c r="S41" s="130">
        <f t="shared" si="4"/>
        <v>73.819504732432137</v>
      </c>
      <c r="T41" s="130" t="str">
        <f t="shared" si="4"/>
        <v>t/m</v>
      </c>
      <c r="U41" s="131" t="str">
        <f t="shared" si="4"/>
        <v>O.K.</v>
      </c>
    </row>
    <row r="42" spans="1:27" s="2" customFormat="1" ht="15.75" x14ac:dyDescent="0.3">
      <c r="A42" s="193" t="s">
        <v>31</v>
      </c>
      <c r="B42" s="193"/>
      <c r="C42" s="193"/>
      <c r="D42" s="193"/>
      <c r="E42" s="193"/>
      <c r="F42" s="193"/>
      <c r="G42" s="193"/>
      <c r="H42" s="194" t="s">
        <v>29</v>
      </c>
      <c r="I42" s="195">
        <v>1</v>
      </c>
      <c r="J42" s="193" t="s">
        <v>30</v>
      </c>
      <c r="L42" s="168" t="s">
        <v>158</v>
      </c>
      <c r="M42" s="168"/>
      <c r="N42" s="185">
        <f>D408</f>
        <v>108.38749999999999</v>
      </c>
      <c r="O42" s="185"/>
      <c r="P42" s="185" t="str">
        <f>E408</f>
        <v>t/m</v>
      </c>
      <c r="Q42" s="132" t="str">
        <f>F408</f>
        <v xml:space="preserve"> &gt;     Vd =</v>
      </c>
      <c r="R42" s="132"/>
      <c r="S42" s="132">
        <f t="shared" ref="S42:U43" si="5">H408</f>
        <v>29.093355862347824</v>
      </c>
      <c r="T42" s="132" t="str">
        <f t="shared" si="5"/>
        <v>t/m</v>
      </c>
      <c r="U42" s="133" t="str">
        <f t="shared" si="5"/>
        <v>O.K.</v>
      </c>
    </row>
    <row r="43" spans="1:27" s="2" customFormat="1" ht="15.75" x14ac:dyDescent="0.3">
      <c r="A43" s="193" t="s">
        <v>32</v>
      </c>
      <c r="B43" s="193"/>
      <c r="C43" s="193"/>
      <c r="D43" s="193"/>
      <c r="E43" s="193"/>
      <c r="F43" s="193"/>
      <c r="G43" s="193"/>
      <c r="H43" s="194" t="s">
        <v>33</v>
      </c>
      <c r="I43" s="195">
        <v>2</v>
      </c>
      <c r="J43" s="193" t="s">
        <v>30</v>
      </c>
      <c r="L43" s="168"/>
      <c r="M43" s="168"/>
      <c r="N43" s="185">
        <f>D409</f>
        <v>488.07</v>
      </c>
      <c r="O43" s="185"/>
      <c r="P43" s="185" t="str">
        <f>E409</f>
        <v>t/m</v>
      </c>
      <c r="Q43" s="130" t="str">
        <f>F409</f>
        <v xml:space="preserve"> &gt;     Vd =</v>
      </c>
      <c r="R43" s="130"/>
      <c r="S43" s="130">
        <f t="shared" si="5"/>
        <v>29.093355862347824</v>
      </c>
      <c r="T43" s="130" t="str">
        <f t="shared" si="5"/>
        <v>t/m</v>
      </c>
      <c r="U43" s="131" t="str">
        <f t="shared" si="5"/>
        <v>O.K.</v>
      </c>
    </row>
    <row r="44" spans="1:27" s="2" customFormat="1" ht="15.75" x14ac:dyDescent="0.3">
      <c r="A44" s="193" t="s">
        <v>34</v>
      </c>
      <c r="B44" s="193"/>
      <c r="C44" s="193"/>
      <c r="D44" s="193"/>
      <c r="E44" s="193"/>
      <c r="F44" s="193"/>
      <c r="G44" s="193"/>
      <c r="H44" s="194" t="s">
        <v>35</v>
      </c>
      <c r="I44" s="195">
        <v>1.8</v>
      </c>
      <c r="J44" s="193" t="s">
        <v>30</v>
      </c>
      <c r="L44" s="168" t="s">
        <v>161</v>
      </c>
      <c r="M44" s="168"/>
      <c r="N44" s="185">
        <f>D465</f>
        <v>108.38749999999999</v>
      </c>
      <c r="O44" s="185"/>
      <c r="P44" s="185" t="str">
        <f>E465</f>
        <v>t/m</v>
      </c>
      <c r="Q44" s="132" t="str">
        <f>F465</f>
        <v xml:space="preserve"> &gt;     Vd =</v>
      </c>
      <c r="R44" s="132"/>
      <c r="S44" s="132">
        <f>H465</f>
        <v>38.821973495923473</v>
      </c>
      <c r="T44" s="132" t="e">
        <f>#REF!</f>
        <v>#REF!</v>
      </c>
      <c r="U44" s="133" t="str">
        <f>J465</f>
        <v>O.K.</v>
      </c>
    </row>
    <row r="45" spans="1:27" s="2" customFormat="1" ht="14.25" customHeight="1" x14ac:dyDescent="0.2">
      <c r="A45" s="193" t="s">
        <v>36</v>
      </c>
      <c r="B45" s="193"/>
      <c r="C45" s="193"/>
      <c r="D45" s="193"/>
      <c r="E45" s="193"/>
      <c r="F45" s="193"/>
      <c r="G45" s="193"/>
      <c r="H45" s="196" t="s">
        <v>37</v>
      </c>
      <c r="I45" s="195">
        <v>0</v>
      </c>
      <c r="J45" s="193" t="s">
        <v>30</v>
      </c>
      <c r="L45" s="188"/>
      <c r="M45" s="188"/>
      <c r="N45" s="189">
        <f>D466</f>
        <v>488.07</v>
      </c>
      <c r="O45" s="189"/>
      <c r="P45" s="189" t="str">
        <f>E466</f>
        <v>t/m</v>
      </c>
      <c r="Q45" s="135" t="str">
        <f>F466</f>
        <v xml:space="preserve"> &gt;     Vd =</v>
      </c>
      <c r="R45" s="134"/>
      <c r="S45" s="134">
        <f>H466</f>
        <v>38.821973495923473</v>
      </c>
      <c r="T45" s="134" t="str">
        <f>I466</f>
        <v>t/m</v>
      </c>
      <c r="U45" s="136" t="str">
        <f>J466</f>
        <v>O.K.</v>
      </c>
    </row>
    <row r="46" spans="1:27" s="2" customFormat="1" ht="12.75" x14ac:dyDescent="0.2">
      <c r="A46" s="193"/>
      <c r="B46" s="193"/>
      <c r="C46" s="193"/>
      <c r="D46" s="193"/>
      <c r="E46" s="193"/>
      <c r="F46" s="193"/>
      <c r="G46" s="193"/>
      <c r="H46" s="193"/>
      <c r="I46" s="193"/>
      <c r="J46" s="193"/>
      <c r="L46" s="168" t="s">
        <v>160</v>
      </c>
      <c r="M46" s="168"/>
      <c r="N46" s="168"/>
      <c r="O46" s="168"/>
      <c r="P46" s="168"/>
      <c r="Q46" s="137"/>
      <c r="R46" s="137"/>
      <c r="S46" s="137"/>
      <c r="T46" s="137"/>
      <c r="U46" s="137"/>
    </row>
    <row r="47" spans="1:27" s="193" customFormat="1" ht="12.75" x14ac:dyDescent="0.2">
      <c r="A47" s="193" t="s">
        <v>38</v>
      </c>
      <c r="H47" s="225" t="s">
        <v>190</v>
      </c>
      <c r="I47" s="195">
        <v>0.65</v>
      </c>
      <c r="J47" s="288"/>
      <c r="L47" s="168" t="s">
        <v>159</v>
      </c>
      <c r="M47" s="168"/>
      <c r="N47" s="182">
        <f>E368</f>
        <v>0</v>
      </c>
      <c r="O47" s="182"/>
      <c r="P47" s="501">
        <f>F368</f>
        <v>0</v>
      </c>
      <c r="Q47" s="316">
        <f>G368</f>
        <v>0</v>
      </c>
      <c r="R47" s="317"/>
      <c r="S47" s="318">
        <f>I368</f>
        <v>0</v>
      </c>
      <c r="T47" s="317">
        <f>J368</f>
        <v>0</v>
      </c>
      <c r="U47" s="319">
        <f>K368</f>
        <v>0</v>
      </c>
      <c r="V47" s="320"/>
      <c r="W47" s="320"/>
      <c r="X47" s="320"/>
      <c r="Y47" s="320"/>
      <c r="Z47" s="320"/>
      <c r="AA47" s="320"/>
    </row>
    <row r="48" spans="1:27" s="193" customFormat="1" ht="15.75" x14ac:dyDescent="0.25">
      <c r="H48" s="194"/>
      <c r="I48" s="195"/>
      <c r="L48" s="168"/>
      <c r="M48" s="170"/>
      <c r="N48" s="190" t="e">
        <f>#REF!</f>
        <v>#REF!</v>
      </c>
      <c r="O48" s="190"/>
      <c r="P48" s="498" t="e">
        <f>#REF!</f>
        <v>#REF!</v>
      </c>
      <c r="Q48" s="321" t="e">
        <f>#REF!</f>
        <v>#REF!</v>
      </c>
      <c r="R48" s="322" t="s">
        <v>154</v>
      </c>
      <c r="S48" s="323" t="e">
        <f>#REF!</f>
        <v>#REF!</v>
      </c>
      <c r="T48" s="321" t="e">
        <f>#REF!</f>
        <v>#REF!</v>
      </c>
      <c r="U48" s="324" t="e">
        <f>#REF!</f>
        <v>#REF!</v>
      </c>
    </row>
    <row r="49" spans="1:27" s="193" customFormat="1" ht="15.75" x14ac:dyDescent="0.3">
      <c r="A49" s="193" t="s">
        <v>51</v>
      </c>
      <c r="H49" s="194" t="s">
        <v>52</v>
      </c>
      <c r="I49" s="289">
        <v>400</v>
      </c>
      <c r="J49" s="193" t="s">
        <v>25</v>
      </c>
      <c r="L49" s="168" t="s">
        <v>158</v>
      </c>
      <c r="M49" s="168"/>
      <c r="N49" s="182" t="e">
        <f>#REF!</f>
        <v>#REF!</v>
      </c>
      <c r="O49" s="182"/>
      <c r="P49" s="182" t="e">
        <f>#REF!</f>
        <v>#REF!</v>
      </c>
      <c r="Q49" s="325" t="e">
        <f>#REF!</f>
        <v>#REF!</v>
      </c>
      <c r="R49" s="318"/>
      <c r="S49" s="318" t="e">
        <f>#REF!</f>
        <v>#REF!</v>
      </c>
      <c r="T49" s="318" t="e">
        <f>#REF!</f>
        <v>#REF!</v>
      </c>
      <c r="U49" s="326" t="e">
        <f>#REF!</f>
        <v>#REF!</v>
      </c>
      <c r="V49" s="261"/>
    </row>
    <row r="50" spans="1:27" s="2" customFormat="1" x14ac:dyDescent="0.2">
      <c r="A50" s="193"/>
      <c r="B50" s="193"/>
      <c r="C50" s="193"/>
      <c r="D50" s="193"/>
      <c r="E50" s="193"/>
      <c r="F50" s="193"/>
      <c r="G50" s="193"/>
      <c r="H50" s="194"/>
      <c r="I50" s="289"/>
      <c r="J50" s="193"/>
      <c r="L50" s="168"/>
      <c r="M50" s="168"/>
      <c r="N50" s="182"/>
      <c r="O50" s="182"/>
      <c r="P50" s="182"/>
      <c r="Q50" s="201"/>
      <c r="R50" s="202"/>
      <c r="S50" s="202"/>
      <c r="T50" s="202"/>
      <c r="U50" s="203"/>
      <c r="V50" s="1"/>
    </row>
    <row r="51" spans="1:27" s="2" customFormat="1" ht="15.75" x14ac:dyDescent="0.2">
      <c r="A51" s="2" t="s">
        <v>185</v>
      </c>
      <c r="E51" s="193"/>
      <c r="H51" s="16" t="s">
        <v>186</v>
      </c>
      <c r="I51" s="72">
        <v>1.1000000000000001</v>
      </c>
      <c r="J51" s="2" t="s">
        <v>11</v>
      </c>
      <c r="L51" s="168"/>
      <c r="M51" s="168"/>
      <c r="N51" s="182" t="e">
        <f>#REF!</f>
        <v>#REF!</v>
      </c>
      <c r="O51" s="182"/>
      <c r="P51" s="182" t="e">
        <f>#REF!</f>
        <v>#REF!</v>
      </c>
      <c r="Q51" s="142" t="e">
        <f>#REF!</f>
        <v>#REF!</v>
      </c>
      <c r="R51" s="141" t="s">
        <v>154</v>
      </c>
      <c r="S51" s="142" t="e">
        <f>#REF!</f>
        <v>#REF!</v>
      </c>
      <c r="T51" s="142" t="e">
        <f>#REF!</f>
        <v>#REF!</v>
      </c>
      <c r="U51" s="143" t="e">
        <f>#REF!</f>
        <v>#REF!</v>
      </c>
      <c r="V51" s="1"/>
    </row>
    <row r="52" spans="1:27" s="2" customFormat="1" ht="15.75" x14ac:dyDescent="0.3">
      <c r="A52" s="2" t="s">
        <v>172</v>
      </c>
      <c r="E52" s="193"/>
      <c r="H52" s="16" t="s">
        <v>171</v>
      </c>
      <c r="I52" s="199">
        <f>hs</f>
        <v>1.5</v>
      </c>
      <c r="J52" s="2" t="s">
        <v>11</v>
      </c>
      <c r="L52" s="168" t="s">
        <v>161</v>
      </c>
      <c r="M52" s="168"/>
      <c r="N52" s="182" t="e">
        <f>#REF!</f>
        <v>#REF!</v>
      </c>
      <c r="O52" s="182"/>
      <c r="P52" s="501" t="e">
        <f>#REF!</f>
        <v>#REF!</v>
      </c>
      <c r="Q52" s="139" t="e">
        <f>#REF!</f>
        <v>#REF!</v>
      </c>
      <c r="R52" s="138"/>
      <c r="S52" s="138" t="e">
        <f>#REF!</f>
        <v>#REF!</v>
      </c>
      <c r="T52" s="138" t="e">
        <f>#REF!</f>
        <v>#REF!</v>
      </c>
      <c r="U52" s="140" t="e">
        <f>#REF!</f>
        <v>#REF!</v>
      </c>
      <c r="W52" s="1"/>
      <c r="X52" s="1"/>
      <c r="Y52" s="1"/>
      <c r="Z52" s="1"/>
      <c r="AA52" s="1"/>
    </row>
    <row r="53" spans="1:27" s="2" customFormat="1" ht="16.5" thickBot="1" x14ac:dyDescent="0.35">
      <c r="A53" s="2" t="s">
        <v>88</v>
      </c>
      <c r="E53" s="193"/>
      <c r="H53" s="16" t="s">
        <v>90</v>
      </c>
      <c r="I53" s="199">
        <f>L54+hs</f>
        <v>6.62</v>
      </c>
      <c r="J53" s="2" t="s">
        <v>11</v>
      </c>
      <c r="L53" s="188"/>
      <c r="M53" s="168"/>
      <c r="N53" s="182">
        <f>C473</f>
        <v>0</v>
      </c>
      <c r="O53" s="182"/>
      <c r="P53" s="182">
        <f>D473</f>
        <v>0.25</v>
      </c>
      <c r="Q53" s="142">
        <f>E473</f>
        <v>0</v>
      </c>
      <c r="R53" s="141" t="s">
        <v>154</v>
      </c>
      <c r="S53" s="142">
        <f>G473</f>
        <v>0</v>
      </c>
      <c r="T53" s="142">
        <f>H473</f>
        <v>0</v>
      </c>
      <c r="U53" s="143">
        <f>I473</f>
        <v>0</v>
      </c>
    </row>
    <row r="54" spans="1:27" s="2" customFormat="1" ht="16.5" thickBot="1" x14ac:dyDescent="0.35">
      <c r="A54" s="2" t="s">
        <v>89</v>
      </c>
      <c r="E54" s="193"/>
      <c r="H54" s="16" t="s">
        <v>91</v>
      </c>
      <c r="I54" s="200">
        <f>ROUND(MAX(hsui+L54/3,hsui),2)</f>
        <v>3.21</v>
      </c>
      <c r="J54" s="2" t="s">
        <v>11</v>
      </c>
      <c r="L54" s="269">
        <v>5.12</v>
      </c>
      <c r="M54" s="2" t="s">
        <v>184</v>
      </c>
    </row>
    <row r="55" spans="1:27" s="2" customFormat="1" ht="12.75" x14ac:dyDescent="0.2">
      <c r="E55" s="193"/>
      <c r="H55" s="16"/>
      <c r="I55" s="73"/>
      <c r="L55" s="271"/>
    </row>
    <row r="56" spans="1:27" s="2" customFormat="1" ht="5.25" customHeight="1" x14ac:dyDescent="0.2">
      <c r="E56" s="193"/>
      <c r="H56" s="16"/>
      <c r="I56" s="19"/>
    </row>
    <row r="57" spans="1:27" s="2" customFormat="1" ht="13.5" customHeight="1" x14ac:dyDescent="0.2">
      <c r="A57" s="20" t="s">
        <v>137</v>
      </c>
      <c r="E57" s="193"/>
      <c r="H57" s="16"/>
      <c r="I57" s="19"/>
    </row>
    <row r="58" spans="1:27" s="14" customFormat="1" ht="27.75" customHeight="1" x14ac:dyDescent="0.25">
      <c r="A58" s="722" t="s">
        <v>138</v>
      </c>
      <c r="B58" s="722"/>
      <c r="C58" s="722" t="s">
        <v>139</v>
      </c>
      <c r="D58" s="722"/>
      <c r="E58" s="519" t="s">
        <v>163</v>
      </c>
      <c r="F58" s="520" t="s">
        <v>164</v>
      </c>
      <c r="G58" s="520" t="s">
        <v>165</v>
      </c>
      <c r="H58" s="520" t="s">
        <v>166</v>
      </c>
      <c r="I58" s="520" t="s">
        <v>140</v>
      </c>
      <c r="J58" s="520" t="s">
        <v>141</v>
      </c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</row>
    <row r="59" spans="1:27" s="2" customFormat="1" ht="13.5" customHeight="1" x14ac:dyDescent="0.2">
      <c r="A59" s="723" t="str">
        <f>"C"&amp;M5</f>
        <v>C25</v>
      </c>
      <c r="B59" s="724"/>
      <c r="C59" s="723" t="str">
        <f>"C"&amp;M6</f>
        <v>C420</v>
      </c>
      <c r="D59" s="724"/>
      <c r="E59" s="458">
        <f>IF(fc=16,0.16,IF(fc=20,0.2,IF(fc=25,0.25,"X")))</f>
        <v>0.25</v>
      </c>
      <c r="F59" s="146">
        <f>IF(fc=16,0.11,IF(fc=20,0.13,IF(fc=25,0.17,"X")))</f>
        <v>0.17</v>
      </c>
      <c r="G59" s="147">
        <f>IF(fc=16,0.014,IF(fc=20,0.016,IF(fc=25,0.018,"X")))</f>
        <v>1.7999999999999999E-2</v>
      </c>
      <c r="H59" s="147">
        <f>IF(fc=16,0.009,IF(fc=20,0.01,IF(fc=25,0.0115,"X")))</f>
        <v>1.15E-2</v>
      </c>
      <c r="I59" s="146">
        <f>IF(fy=220,2.2,IF(fy=420,4.2,"X"))</f>
        <v>4.2</v>
      </c>
      <c r="J59" s="146">
        <f>IF(fy=220,1.91,IF(fy=420,3.65,"X"))</f>
        <v>3.65</v>
      </c>
    </row>
    <row r="60" spans="1:27" s="2" customFormat="1" ht="13.5" customHeight="1" x14ac:dyDescent="0.2">
      <c r="A60" s="145" t="s">
        <v>167</v>
      </c>
      <c r="E60" s="193"/>
      <c r="H60" s="18"/>
      <c r="I60" s="17"/>
    </row>
    <row r="61" spans="1:27" ht="21.75" customHeight="1" x14ac:dyDescent="0.25">
      <c r="A61" s="22" t="s">
        <v>53</v>
      </c>
      <c r="B61" s="490"/>
      <c r="C61" s="490"/>
      <c r="D61" s="490"/>
      <c r="E61" s="459"/>
      <c r="F61" s="490"/>
      <c r="G61" s="490"/>
      <c r="H61" s="490"/>
      <c r="I61" s="490"/>
      <c r="J61" s="490"/>
      <c r="K61" s="490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</row>
    <row r="62" spans="1:27" s="2" customFormat="1" ht="12.75" x14ac:dyDescent="0.2">
      <c r="A62" s="24"/>
      <c r="B62" s="24"/>
      <c r="C62" s="24"/>
      <c r="D62" s="24"/>
      <c r="E62" s="460"/>
      <c r="F62" s="24"/>
      <c r="G62" s="24"/>
      <c r="H62" s="24"/>
      <c r="I62" s="24"/>
      <c r="J62" s="24"/>
      <c r="K62" s="24"/>
    </row>
    <row r="63" spans="1:27" s="2" customFormat="1" ht="15.75" x14ac:dyDescent="0.3">
      <c r="A63" s="25"/>
      <c r="B63" s="24"/>
      <c r="C63" s="24"/>
      <c r="D63" s="24"/>
      <c r="E63" s="460"/>
      <c r="F63" s="24"/>
      <c r="G63" s="24"/>
      <c r="I63" s="16" t="s">
        <v>41</v>
      </c>
      <c r="J63" s="77">
        <f>COS(fi*PI()/180-beta*PI()/180)^2/(COS(beta*PI()/180)^2*COS(delta*PI()/180+beta*PI()/180)*(1+SQRT((SIN(fi*PI()/180+delta*PI()/180)*SIN(fi*PI()/180-alfa*PI()/180))/(COS(delta*PI()/180+beta*PI()/180)*COS(beta*PI()/180-alfa*PI()/180))))^2)</f>
        <v>0.58480146908479025</v>
      </c>
    </row>
    <row r="64" spans="1:27" s="2" customFormat="1" ht="12.75" x14ac:dyDescent="0.2">
      <c r="A64" s="24"/>
      <c r="B64" s="24"/>
      <c r="C64" s="24"/>
      <c r="D64" s="24"/>
      <c r="E64" s="460"/>
      <c r="F64" s="24"/>
      <c r="G64" s="24"/>
      <c r="H64" s="24"/>
      <c r="J64" s="78"/>
    </row>
    <row r="65" spans="1:27" s="2" customFormat="1" ht="12.75" x14ac:dyDescent="0.2">
      <c r="A65" s="24"/>
      <c r="B65" s="24"/>
      <c r="C65" s="24"/>
      <c r="D65" s="24"/>
      <c r="E65" s="460"/>
      <c r="F65" s="24"/>
      <c r="G65" s="24"/>
      <c r="H65" s="24"/>
      <c r="I65" s="24"/>
      <c r="J65" s="78"/>
    </row>
    <row r="66" spans="1:27" s="2" customFormat="1" ht="7.5" customHeight="1" x14ac:dyDescent="0.2">
      <c r="A66" s="24"/>
      <c r="B66" s="24"/>
      <c r="C66" s="24"/>
      <c r="D66" s="24"/>
      <c r="E66" s="460"/>
      <c r="F66" s="24"/>
      <c r="G66" s="24"/>
      <c r="H66" s="24"/>
      <c r="I66" s="24"/>
      <c r="J66" s="79"/>
    </row>
    <row r="67" spans="1:27" s="2" customFormat="1" ht="15.75" x14ac:dyDescent="0.3">
      <c r="A67" s="25"/>
      <c r="B67" s="24"/>
      <c r="C67" s="24"/>
      <c r="D67" s="24"/>
      <c r="E67" s="460"/>
      <c r="F67" s="24"/>
      <c r="G67" s="24"/>
      <c r="H67" s="24"/>
      <c r="I67" s="16" t="s">
        <v>43</v>
      </c>
      <c r="J67" s="80">
        <f>+A*2/3</f>
        <v>0.29733333333333334</v>
      </c>
    </row>
    <row r="68" spans="1:27" s="2" customFormat="1" ht="6.75" customHeight="1" x14ac:dyDescent="0.2">
      <c r="A68" s="24"/>
      <c r="B68" s="24"/>
      <c r="C68" s="24"/>
      <c r="D68" s="24"/>
      <c r="E68" s="460"/>
      <c r="F68" s="24"/>
      <c r="G68" s="24"/>
      <c r="H68" s="24"/>
      <c r="I68" s="24"/>
      <c r="J68" s="79"/>
    </row>
    <row r="69" spans="1:27" s="2" customFormat="1" ht="15.75" x14ac:dyDescent="0.3">
      <c r="A69" s="25"/>
      <c r="B69" s="24"/>
      <c r="C69" s="24"/>
      <c r="D69" s="24"/>
      <c r="E69" s="460"/>
      <c r="F69" s="24"/>
      <c r="G69" s="24"/>
      <c r="H69" s="24"/>
      <c r="I69" s="16" t="s">
        <v>44</v>
      </c>
      <c r="J69" s="80">
        <f>0.5*J67</f>
        <v>0.14866666666666667</v>
      </c>
    </row>
    <row r="70" spans="1:27" s="2" customFormat="1" ht="12.75" x14ac:dyDescent="0.2">
      <c r="A70" s="24"/>
      <c r="B70" s="24"/>
      <c r="C70" s="24"/>
      <c r="D70" s="24"/>
      <c r="E70" s="460"/>
      <c r="F70" s="24"/>
      <c r="G70" s="24"/>
      <c r="H70" s="24"/>
      <c r="I70" s="24"/>
      <c r="J70" s="81"/>
      <c r="K70" s="7"/>
    </row>
    <row r="71" spans="1:27" s="2" customFormat="1" ht="12.75" x14ac:dyDescent="0.2">
      <c r="A71" s="25"/>
      <c r="B71" s="24"/>
      <c r="C71" s="24"/>
      <c r="D71" s="24"/>
      <c r="E71" s="460"/>
      <c r="F71" s="24"/>
      <c r="G71" s="24"/>
      <c r="H71" s="24"/>
      <c r="I71" s="24"/>
      <c r="J71" s="82"/>
      <c r="K71" s="7"/>
    </row>
    <row r="72" spans="1:27" s="2" customFormat="1" ht="15.75" x14ac:dyDescent="0.3">
      <c r="A72" s="25"/>
      <c r="B72" s="24"/>
      <c r="C72" s="24"/>
      <c r="D72" s="24"/>
      <c r="E72" s="460"/>
      <c r="F72" s="24"/>
      <c r="G72" s="24"/>
      <c r="H72" s="24"/>
      <c r="I72" s="18" t="s">
        <v>49</v>
      </c>
      <c r="J72" s="83">
        <f>ATAN(J67/(1+J69))*180/PI()</f>
        <v>14.512526112556856</v>
      </c>
      <c r="K72" s="7" t="s">
        <v>19</v>
      </c>
    </row>
    <row r="73" spans="1:27" s="2" customFormat="1" ht="15.75" x14ac:dyDescent="0.3">
      <c r="A73" s="25"/>
      <c r="B73" s="24"/>
      <c r="C73" s="24"/>
      <c r="D73" s="24"/>
      <c r="E73" s="460"/>
      <c r="F73" s="24"/>
      <c r="G73" s="24"/>
      <c r="H73" s="24"/>
      <c r="I73" s="18" t="s">
        <v>49</v>
      </c>
      <c r="J73" s="83">
        <f>ATAN(J67/(1-J69))*180/PI()</f>
        <v>19.252064932073758</v>
      </c>
      <c r="K73" s="7" t="s">
        <v>19</v>
      </c>
    </row>
    <row r="74" spans="1:27" s="2" customFormat="1" ht="7.5" customHeight="1" x14ac:dyDescent="0.2">
      <c r="A74" s="24"/>
      <c r="B74" s="24"/>
      <c r="C74" s="24"/>
      <c r="D74" s="24"/>
      <c r="E74" s="460"/>
      <c r="F74" s="24"/>
      <c r="G74" s="24"/>
      <c r="H74" s="24"/>
      <c r="I74" s="27"/>
      <c r="J74" s="84"/>
      <c r="K74" s="7"/>
      <c r="L74" s="1"/>
      <c r="M74" s="1"/>
      <c r="N74" s="1"/>
      <c r="O74" s="1"/>
      <c r="P74" s="1"/>
      <c r="Q74" s="1"/>
      <c r="R74" s="1"/>
      <c r="S74" s="1"/>
      <c r="T74" s="1"/>
      <c r="U74" s="1"/>
    </row>
    <row r="75" spans="1:27" s="2" customFormat="1" ht="15.75" x14ac:dyDescent="0.3">
      <c r="A75" s="25"/>
      <c r="B75" s="24"/>
      <c r="C75" s="24"/>
      <c r="D75" s="24"/>
      <c r="E75" s="460"/>
      <c r="F75" s="24"/>
      <c r="G75" s="24"/>
      <c r="H75" s="24"/>
      <c r="I75" s="18" t="s">
        <v>48</v>
      </c>
      <c r="J75" s="85">
        <f>ATAN((gdoy/(gdoy-gw))*(J67/(1+J69)))*180/PI()</f>
        <v>27.370678704768657</v>
      </c>
      <c r="K75" s="7" t="s">
        <v>19</v>
      </c>
      <c r="L75" s="1"/>
      <c r="M75" s="1"/>
      <c r="N75" s="1"/>
      <c r="O75" s="1"/>
      <c r="P75" s="1"/>
      <c r="Q75" s="1"/>
      <c r="R75" s="1"/>
      <c r="S75" s="1"/>
      <c r="T75" s="1"/>
      <c r="U75" s="1"/>
    </row>
    <row r="76" spans="1:27" s="2" customFormat="1" ht="15.75" x14ac:dyDescent="0.3">
      <c r="C76" s="24"/>
      <c r="D76" s="24"/>
      <c r="E76" s="460"/>
      <c r="F76" s="24"/>
      <c r="G76" s="24"/>
      <c r="H76" s="24"/>
      <c r="I76" s="18" t="s">
        <v>48</v>
      </c>
      <c r="J76" s="85">
        <f>ATAN((gdoy/(gdoy-gw))*(J67/(1-J69)))*180/PI()</f>
        <v>34.934766624959757</v>
      </c>
      <c r="K76" s="7" t="s">
        <v>19</v>
      </c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</row>
    <row r="77" spans="1:27" s="2" customFormat="1" x14ac:dyDescent="0.2">
      <c r="A77" s="24"/>
      <c r="B77" s="24"/>
      <c r="C77" s="24"/>
      <c r="D77" s="24"/>
      <c r="E77" s="460"/>
      <c r="F77" s="24"/>
      <c r="G77" s="24"/>
      <c r="H77" s="24"/>
      <c r="I77" s="24"/>
      <c r="J77" s="81"/>
      <c r="K77" s="7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</row>
    <row r="78" spans="1:27" s="2" customFormat="1" ht="15.75" x14ac:dyDescent="0.2">
      <c r="A78" s="24"/>
      <c r="B78" s="24"/>
      <c r="C78" s="24"/>
      <c r="D78" s="24"/>
      <c r="E78" s="460"/>
      <c r="F78" s="24"/>
      <c r="G78" s="24"/>
      <c r="H78" s="24"/>
      <c r="I78" s="215" t="s">
        <v>45</v>
      </c>
      <c r="J78" s="211">
        <f>(1-J69)*COS(fi*PI()/180-lkuru1*PI()/180-beta*PI()/180)^2/(COS(lkuru1*PI()/180)*COS(beta*PI()/180)^2*COS(delta*PI()/180+lkuru1*PI()/180+beta*PI()/180)*(1+SQRT(SIN(fi*PI()/180+delta*PI()/180)*SIN(fi*PI()/180-lkuru1*PI()/180-alfa*PI()/180)/(COS(delta*PI()/180)*COS(beta*PI()/180-alfa*PI()/180))))^2)</f>
        <v>0.8999765567922271</v>
      </c>
      <c r="K78" s="204">
        <f>(1-J69)*COS(fi*PI()/180-lkuru2*PI()/180-beta*PI()/180)^2/(COS(lkuru2*PI()/180)*COS(beta*PI()/180)^2*COS(delta*PI()/180+lkuru2*PI()/180+beta*PI()/180)*(1+SQRT(SIN(fi*PI()/180+delta*PI()/180)*SIN(fi*PI()/180-lkuru2*PI()/180-alfa*PI()/180)/(COS(delta*PI()/180)*COS(beta*PI()/180-alfa*PI()/180))))^2)</f>
        <v>1.1296901870326579</v>
      </c>
      <c r="L78" s="1"/>
      <c r="M78" s="348">
        <f>(1-J69)*COS(fi*PI()/180-lislak1*PI()/180-beta*PI()/180)^2/(COS(lislak1*PI()/180)*COS(beta*PI()/180)^2*COS(delta*PI()/180+lislak1*PI()/180+beta*PI()/180)*(1+SQRT(SIN(fi*PI()/180+delta*PI()/180)*SIN(fi*PI()/180-lislak1*PI()/180-alfa*PI()/180)/(COS(delta*PI()/180)*COS(beta*PI()/180-alfa*PI()/180))))^2)</f>
        <v>2.2038195713559405</v>
      </c>
      <c r="N78" s="349" t="e">
        <f>(1-J69)*COS(fi*PI()/180-lislak2*PI()/180-beta*PI()/180)^2/(COS(lislak2*PI()/180)*COS(beta*PI()/180)^2*COS(delta*PI()/180+lislak2*PI()/180+beta*PI()/180)*(1+SQRT(SIN(fi*PI()/180+delta*PI()/180)*SIN(fi*PI()/180-lislak2*PI()/180-alfa*PI()/180)/(COS(delta*PI()/180)*COS(beta*PI()/180-alfa*PI()/180))))^2)</f>
        <v>#NUM!</v>
      </c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</row>
    <row r="79" spans="1:27" s="2" customFormat="1" x14ac:dyDescent="0.2">
      <c r="A79" s="24"/>
      <c r="B79" s="24"/>
      <c r="C79" s="24"/>
      <c r="D79" s="24"/>
      <c r="E79" s="460"/>
      <c r="F79" s="24"/>
      <c r="G79" s="24"/>
      <c r="H79" s="24"/>
      <c r="I79" s="213"/>
      <c r="J79" s="208">
        <f>(1+J69)*COS(fi*PI()/180-lkuru1*PI()/180-beta*PI()/180)^2/(COS(lkuru1*PI()/180)*COS(beta*PI()/180)^2*COS(delta*PI()/180+lkuru1*PI()/180+beta*PI()/180)*(1+SQRT(SIN(fi*PI()/180+delta*PI()/180)*SIN(fi*PI()/180-lkuru1*PI()/180-alfa*PI()/180)/(COS(delta*PI()/180)*COS(beta*PI()/180-alfa*PI()/180))))^2)</f>
        <v>1.214298831129998</v>
      </c>
      <c r="K79" s="207">
        <f>(1+J69)*COS(fi*PI()/180-lkuru2*PI()/180-beta*PI()/180)^2/(COS(lkuru2*PI()/180)*COS(beta*PI()/180)^2*COS(delta*PI()/180+lkuru2*PI()/180+beta*PI()/180)*(1+SQRT(SIN(fi*PI()/180+delta*PI()/180)*SIN(fi*PI()/180-lkuru2*PI()/180-alfa*PI()/180)/(COS(delta*PI()/180)*COS(beta*PI()/180-alfa*PI()/180))))^2)</f>
        <v>1.5242413408435942</v>
      </c>
      <c r="L79" s="1"/>
      <c r="M79" s="350">
        <f>(1+J69)*COS(fi*PI()/180-lislak1*PI()/180-beta*PI()/180)^2/(COS(lislak1*PI()/180)*COS(beta*PI()/180)^2*COS(delta*PI()/180+lislak1*PI()/180+beta*PI()/180)*(1+SQRT(SIN(fi*PI()/180+delta*PI()/180)*SIN(fi*PI()/180-lislak1*PI()/180-alfa*PI()/180)/(COS(delta*PI()/180)*COS(beta*PI()/180-alfa*PI()/180))))^2)</f>
        <v>2.9735169314379686</v>
      </c>
      <c r="N79" s="351" t="e">
        <f>(1+J69)*COS(fi*PI()/180-lislak2*PI()/180-beta*PI()/180)^2/(COS(lislak2*PI()/180)*COS(beta*PI()/180)^2*COS(delta*PI()/180+lislak2*PI()/180+beta*PI()/180)*(1+SQRT(SIN(fi*PI()/180+delta*PI()/180)*SIN(fi*PI()/180-lislak2*PI()/180-alfa*PI()/180)/(COS(delta*PI()/180)*COS(beta*PI()/180-alfa*PI()/180))))^2)</f>
        <v>#NUM!</v>
      </c>
      <c r="O79" s="339">
        <f>+IF(lislak1&lt;fi,M78,M80)</f>
        <v>2.2038195713559405</v>
      </c>
      <c r="P79" s="339">
        <f>+IF(lislak2&lt;fi,N78,N80)</f>
        <v>2.4485400090290699</v>
      </c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</row>
    <row r="80" spans="1:27" s="2" customFormat="1" ht="15.75" x14ac:dyDescent="0.2">
      <c r="A80" s="24"/>
      <c r="B80" s="24"/>
      <c r="C80" s="24"/>
      <c r="D80" s="24"/>
      <c r="E80" s="460"/>
      <c r="F80" s="24"/>
      <c r="G80" s="24"/>
      <c r="H80" s="24"/>
      <c r="I80" s="340" t="s">
        <v>46</v>
      </c>
      <c r="J80" s="342">
        <f>+O79</f>
        <v>2.2038195713559405</v>
      </c>
      <c r="K80" s="343">
        <f>+P79</f>
        <v>2.4485400090290699</v>
      </c>
      <c r="L80" s="1"/>
      <c r="M80" s="348">
        <f>(1-J69)*COS(fi*PI()/180-lislak1*PI()/180-beta*PI()/180)^2/(COS(lislak1*PI()/180)*COS(beta*PI()/180)^2*COS(delta/2*PI()/180+lislak1*PI()/180+beta*PI()/180))</f>
        <v>1.9864634944166857</v>
      </c>
      <c r="N80" s="349">
        <f>(1-J69)*COS(fi*PI()/180-lislak2*PI()/180-beta*PI()/180)^2/(COS(lislak2*PI()/180)*COS(beta*PI()/180)^2*COS(delta/2*PI()/180+lislak2*PI()/180+beta*PI()/180))</f>
        <v>2.4485400090290699</v>
      </c>
      <c r="O80" s="339">
        <f>+IF(lislak1&lt;fi,M79,M81)</f>
        <v>2.9735169314379686</v>
      </c>
      <c r="P80" s="339">
        <f>+IF(lislak2&lt;fi,N79,N81)</f>
        <v>3.3037074671551205</v>
      </c>
      <c r="R80" s="1"/>
      <c r="S80" s="1"/>
      <c r="W80" s="1"/>
      <c r="X80" s="1"/>
      <c r="Y80" s="1"/>
      <c r="Z80" s="1"/>
      <c r="AA80" s="1"/>
    </row>
    <row r="81" spans="1:27" s="2" customFormat="1" x14ac:dyDescent="0.2">
      <c r="A81" s="24"/>
      <c r="B81" s="24"/>
      <c r="C81" s="24"/>
      <c r="D81" s="24"/>
      <c r="E81" s="460"/>
      <c r="F81" s="24"/>
      <c r="G81" s="24"/>
      <c r="H81" s="24"/>
      <c r="I81" s="50"/>
      <c r="J81" s="344">
        <f>+O80</f>
        <v>2.9735169314379686</v>
      </c>
      <c r="K81" s="205">
        <f>+P80</f>
        <v>3.3037074671551205</v>
      </c>
      <c r="L81" s="1"/>
      <c r="M81" s="350">
        <f>(1+J69)*COS(fi*PI()/180-lislak1*PI()/180-beta*PI()/180)^2/(COS(lislak1*PI()/180)*COS(beta*PI()/180)^2*COS(delta/2*PI()/180+lislak1*PI()/180+beta*PI()/180))</f>
        <v>2.6802479255128815</v>
      </c>
      <c r="N81" s="351">
        <f>(1+J69)*COS(fi*PI()/180-lislak2*PI()/180-beta*PI()/180)^2/(COS(lislak2*PI()/180)*COS(beta*PI()/180)^2*COS(delta/2*PI()/180+lislak2*PI()/180+beta*PI()/180))</f>
        <v>3.3037074671551205</v>
      </c>
      <c r="R81" s="1"/>
      <c r="S81" s="1"/>
      <c r="T81" s="1"/>
      <c r="W81" s="1"/>
      <c r="X81" s="1"/>
      <c r="Y81" s="1"/>
      <c r="Z81" s="1"/>
      <c r="AA81" s="1"/>
    </row>
    <row r="82" spans="1:27" s="2" customFormat="1" ht="15.75" x14ac:dyDescent="0.3">
      <c r="A82" s="2" t="s">
        <v>94</v>
      </c>
      <c r="B82" s="24"/>
      <c r="C82" s="24"/>
      <c r="D82" s="24"/>
      <c r="E82" s="460"/>
      <c r="F82" s="24"/>
      <c r="G82" s="24"/>
      <c r="H82" s="24"/>
      <c r="I82" s="215" t="s">
        <v>47</v>
      </c>
      <c r="J82" s="208">
        <f>(J78-J63)</f>
        <v>0.31517508770743685</v>
      </c>
      <c r="K82" s="341">
        <f>K78-J63</f>
        <v>0.54488871794786764</v>
      </c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</row>
    <row r="83" spans="1:27" s="2" customFormat="1" x14ac:dyDescent="0.2">
      <c r="B83" s="24"/>
      <c r="C83" s="24"/>
      <c r="D83" s="24"/>
      <c r="E83" s="460"/>
      <c r="F83" s="24"/>
      <c r="G83" s="24"/>
      <c r="H83" s="24"/>
      <c r="I83" s="213"/>
      <c r="J83" s="59">
        <f>-kas+J79</f>
        <v>0.62949736204520779</v>
      </c>
      <c r="K83" s="210">
        <f>-kas+K79</f>
        <v>0.93943987175880395</v>
      </c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</row>
    <row r="84" spans="1:27" ht="15.75" x14ac:dyDescent="0.25">
      <c r="A84" s="490"/>
      <c r="B84" s="490"/>
      <c r="C84" s="490"/>
      <c r="D84" s="490"/>
      <c r="E84" s="459"/>
      <c r="F84" s="490"/>
      <c r="G84" s="490"/>
      <c r="H84" s="490"/>
      <c r="I84" s="215" t="s">
        <v>50</v>
      </c>
      <c r="J84" s="211">
        <f>(J80-J63)</f>
        <v>1.6190181022711503</v>
      </c>
      <c r="K84" s="206">
        <f>K80-J63</f>
        <v>1.8637385399442796</v>
      </c>
    </row>
    <row r="85" spans="1:27" ht="15" x14ac:dyDescent="0.25">
      <c r="A85" s="490"/>
      <c r="B85" s="490"/>
      <c r="C85" s="490"/>
      <c r="D85" s="490"/>
      <c r="E85" s="459"/>
      <c r="F85" s="490"/>
      <c r="G85" s="490"/>
      <c r="H85" s="490"/>
      <c r="I85" s="214"/>
      <c r="J85" s="212">
        <f>J81-kas</f>
        <v>2.3887154623531783</v>
      </c>
      <c r="K85" s="209">
        <f>K81-kas</f>
        <v>2.7189059980703303</v>
      </c>
    </row>
    <row r="86" spans="1:27" ht="15" x14ac:dyDescent="0.25">
      <c r="A86" s="490"/>
      <c r="B86" s="490"/>
      <c r="C86" s="490"/>
      <c r="D86" s="490"/>
      <c r="E86" s="459"/>
      <c r="F86" s="490"/>
      <c r="G86" s="490"/>
      <c r="H86" s="490"/>
      <c r="I86" s="490"/>
      <c r="J86" s="490"/>
      <c r="K86" s="490"/>
    </row>
    <row r="87" spans="1:27" ht="18.75" x14ac:dyDescent="0.35">
      <c r="A87" s="490"/>
      <c r="B87" s="490"/>
      <c r="C87" s="490"/>
      <c r="D87" s="490"/>
      <c r="E87" s="459"/>
      <c r="F87" s="490"/>
      <c r="G87" s="490"/>
      <c r="H87" s="490"/>
      <c r="I87" s="507" t="s">
        <v>220</v>
      </c>
      <c r="J87" s="77">
        <f>(COS(fi*PI()/180+beta*PI()/180))^2/((COS(beta*PI()/180))^2*COS(delta*PI()/180-beta*PI()/180)*(1-SQRT(SIN(fi*PI()/180+delta*PI()/180)*SIN(fi*PI()/180+alfa*PI()/180)/COS(delta*PI()/180-beta*PI()/180)/COS(alfa*PI()/180-beta*PI()/180)))^2)</f>
        <v>2.6710211606606027</v>
      </c>
      <c r="K87" s="490"/>
    </row>
    <row r="88" spans="1:27" ht="15" x14ac:dyDescent="0.25">
      <c r="A88" s="490"/>
      <c r="B88" s="490"/>
      <c r="C88" s="490"/>
      <c r="D88" s="490"/>
      <c r="E88" s="459"/>
      <c r="F88" s="490"/>
      <c r="G88" s="490"/>
      <c r="H88" s="490"/>
      <c r="I88" s="490"/>
      <c r="J88" s="490"/>
      <c r="K88" s="490"/>
    </row>
    <row r="89" spans="1:27" ht="15" x14ac:dyDescent="0.25">
      <c r="A89" s="490"/>
      <c r="B89" s="490"/>
      <c r="C89" s="490"/>
      <c r="D89" s="490"/>
      <c r="E89" s="459"/>
      <c r="F89" s="490"/>
      <c r="G89" s="490"/>
      <c r="H89" s="490"/>
      <c r="I89" s="490"/>
      <c r="J89" s="490"/>
      <c r="K89" s="490"/>
    </row>
    <row r="90" spans="1:27" ht="15" x14ac:dyDescent="0.25">
      <c r="A90" s="490"/>
      <c r="B90" s="490"/>
      <c r="C90" s="490"/>
      <c r="D90" s="490"/>
      <c r="E90" s="459"/>
      <c r="F90" s="490"/>
      <c r="G90" s="490"/>
      <c r="H90" s="490"/>
      <c r="I90" s="490"/>
      <c r="J90" s="490"/>
      <c r="K90" s="490"/>
    </row>
    <row r="91" spans="1:27" ht="15" x14ac:dyDescent="0.25">
      <c r="A91" s="490"/>
      <c r="B91" s="490"/>
      <c r="C91" s="490"/>
      <c r="D91" s="490"/>
      <c r="E91" s="459"/>
      <c r="F91" s="490"/>
      <c r="G91" s="490"/>
      <c r="H91" s="490"/>
      <c r="I91" s="490"/>
      <c r="J91" s="490"/>
      <c r="K91" s="490"/>
    </row>
    <row r="92" spans="1:27" ht="15" x14ac:dyDescent="0.25">
      <c r="A92" s="715" t="s">
        <v>177</v>
      </c>
      <c r="B92" s="715"/>
      <c r="C92" s="715"/>
      <c r="D92" s="715"/>
      <c r="E92" s="715"/>
      <c r="F92" s="715"/>
      <c r="G92" s="715"/>
      <c r="H92" s="715"/>
      <c r="I92" s="715"/>
      <c r="J92" s="715"/>
      <c r="K92" s="715"/>
    </row>
    <row r="93" spans="1:27" x14ac:dyDescent="0.2">
      <c r="A93" s="28"/>
      <c r="B93" s="28"/>
      <c r="C93" s="28"/>
      <c r="D93" s="28"/>
      <c r="E93" s="310"/>
      <c r="F93" s="28"/>
      <c r="G93" s="28"/>
      <c r="H93" s="28"/>
      <c r="I93" s="28"/>
      <c r="J93" s="28"/>
      <c r="K93" s="28"/>
    </row>
    <row r="94" spans="1:27" x14ac:dyDescent="0.2">
      <c r="A94" s="28"/>
      <c r="B94" s="28"/>
      <c r="C94" s="28"/>
      <c r="D94" s="28"/>
      <c r="E94" s="310"/>
      <c r="F94" s="28"/>
      <c r="G94" s="28"/>
      <c r="H94" s="29"/>
      <c r="I94" s="30"/>
      <c r="J94" s="28"/>
      <c r="K94" s="28"/>
    </row>
    <row r="95" spans="1:27" x14ac:dyDescent="0.2">
      <c r="A95" s="28"/>
      <c r="B95" s="28"/>
      <c r="C95" s="28"/>
      <c r="D95" s="28"/>
      <c r="E95" s="310"/>
      <c r="F95" s="28"/>
      <c r="G95" s="28"/>
      <c r="H95" s="29"/>
      <c r="I95" s="30"/>
      <c r="J95" s="28"/>
      <c r="K95" s="28"/>
    </row>
    <row r="96" spans="1:27" x14ac:dyDescent="0.2">
      <c r="A96" s="28"/>
      <c r="B96" s="28"/>
      <c r="C96" s="28"/>
      <c r="D96" s="28"/>
      <c r="E96" s="310"/>
      <c r="F96" s="28"/>
      <c r="G96" s="28"/>
      <c r="H96" s="29"/>
      <c r="I96" s="30"/>
      <c r="J96" s="28"/>
      <c r="K96" s="28"/>
    </row>
    <row r="97" spans="1:38" x14ac:dyDescent="0.2">
      <c r="A97" s="28"/>
      <c r="B97" s="28"/>
      <c r="C97" s="28"/>
      <c r="D97" s="28"/>
      <c r="E97" s="310"/>
      <c r="F97" s="28"/>
      <c r="G97" s="28"/>
      <c r="H97" s="29"/>
      <c r="I97" s="30"/>
      <c r="J97" s="28"/>
      <c r="K97" s="28"/>
    </row>
    <row r="98" spans="1:38" x14ac:dyDescent="0.2">
      <c r="A98" s="28"/>
      <c r="B98" s="28"/>
      <c r="C98" s="28"/>
      <c r="D98" s="28"/>
      <c r="E98" s="310"/>
      <c r="F98" s="28"/>
      <c r="G98" s="28"/>
      <c r="H98" s="29"/>
      <c r="I98" s="30"/>
      <c r="J98" s="28"/>
      <c r="K98" s="28"/>
    </row>
    <row r="99" spans="1:38" x14ac:dyDescent="0.2">
      <c r="A99" s="28"/>
      <c r="B99" s="28"/>
      <c r="C99" s="28"/>
      <c r="D99" s="28"/>
      <c r="E99" s="310"/>
      <c r="F99" s="28"/>
      <c r="G99" s="28"/>
      <c r="H99" s="29"/>
      <c r="I99" s="30"/>
      <c r="J99" s="28"/>
      <c r="K99" s="28"/>
    </row>
    <row r="100" spans="1:38" x14ac:dyDescent="0.2">
      <c r="A100" s="28"/>
      <c r="B100" s="28"/>
      <c r="C100" s="28"/>
      <c r="D100" s="28"/>
      <c r="E100" s="310"/>
      <c r="F100" s="28"/>
      <c r="G100" s="28"/>
      <c r="H100" s="29"/>
      <c r="I100" s="30"/>
      <c r="J100" s="28"/>
      <c r="K100" s="28"/>
    </row>
    <row r="101" spans="1:38" x14ac:dyDescent="0.2">
      <c r="A101" s="28"/>
      <c r="B101" s="28"/>
      <c r="C101" s="28"/>
      <c r="D101" s="28"/>
      <c r="E101" s="310"/>
      <c r="F101" s="28"/>
      <c r="G101" s="28"/>
      <c r="H101" s="29"/>
      <c r="I101" s="30"/>
      <c r="J101" s="28"/>
      <c r="K101" s="28"/>
    </row>
    <row r="102" spans="1:38" x14ac:dyDescent="0.2">
      <c r="A102" s="28"/>
      <c r="B102" s="28"/>
      <c r="C102" s="28"/>
      <c r="D102" s="28"/>
      <c r="E102" s="310"/>
      <c r="F102" s="28"/>
      <c r="G102" s="28"/>
      <c r="H102" s="29"/>
      <c r="I102" s="30"/>
      <c r="J102" s="28"/>
      <c r="K102" s="28"/>
      <c r="L102" s="3"/>
      <c r="M102" s="3"/>
      <c r="N102" s="3"/>
      <c r="O102" s="3"/>
      <c r="P102" s="3"/>
      <c r="Q102" s="3"/>
      <c r="R102" s="3"/>
      <c r="S102" s="3"/>
      <c r="T102" s="3"/>
      <c r="U102" s="3"/>
    </row>
    <row r="103" spans="1:38" x14ac:dyDescent="0.2">
      <c r="A103" s="28"/>
      <c r="B103" s="28"/>
      <c r="C103" s="28"/>
      <c r="D103" s="28"/>
      <c r="E103" s="310"/>
      <c r="F103" s="28"/>
      <c r="G103" s="28"/>
      <c r="H103" s="29"/>
      <c r="I103" s="30"/>
      <c r="J103" s="28"/>
      <c r="K103" s="28"/>
      <c r="L103" s="2"/>
      <c r="M103" s="2"/>
      <c r="N103" s="2"/>
      <c r="O103" s="2"/>
      <c r="P103" s="2"/>
      <c r="Q103" s="2"/>
      <c r="R103" s="2"/>
      <c r="S103" s="2"/>
      <c r="T103" s="2"/>
      <c r="U103" s="2"/>
    </row>
    <row r="104" spans="1:38" x14ac:dyDescent="0.2">
      <c r="A104" s="28"/>
      <c r="B104" s="28"/>
      <c r="C104" s="28"/>
      <c r="D104" s="28"/>
      <c r="E104" s="310"/>
      <c r="F104" s="28"/>
      <c r="G104" s="28"/>
      <c r="H104" s="29"/>
      <c r="I104" s="30"/>
      <c r="J104" s="28"/>
      <c r="K104" s="28"/>
      <c r="L104" s="216"/>
      <c r="M104" s="2"/>
      <c r="N104" s="2"/>
      <c r="O104" s="2"/>
      <c r="P104" s="2"/>
      <c r="Q104" s="2"/>
      <c r="R104" s="2"/>
      <c r="S104" s="2"/>
      <c r="T104" s="2"/>
      <c r="U104" s="2"/>
      <c r="V104" s="3"/>
      <c r="W104" s="3"/>
      <c r="X104" s="3"/>
      <c r="Y104" s="3"/>
      <c r="Z104" s="3"/>
      <c r="AA104" s="3"/>
    </row>
    <row r="105" spans="1:38" x14ac:dyDescent="0.2">
      <c r="A105" s="28"/>
      <c r="B105" s="28"/>
      <c r="C105" s="28"/>
      <c r="D105" s="28"/>
      <c r="E105" s="310"/>
      <c r="F105" s="28"/>
      <c r="G105" s="28"/>
      <c r="H105" s="29"/>
      <c r="I105" s="30"/>
      <c r="J105" s="28"/>
      <c r="K105" s="28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</row>
    <row r="106" spans="1:38" x14ac:dyDescent="0.2">
      <c r="A106" s="28"/>
      <c r="B106" s="28"/>
      <c r="C106" s="28"/>
      <c r="D106" s="28"/>
      <c r="E106" s="310"/>
      <c r="F106" s="28"/>
      <c r="G106" s="28"/>
      <c r="H106" s="29"/>
      <c r="I106" s="30"/>
      <c r="J106" s="28"/>
      <c r="K106" s="28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</row>
    <row r="107" spans="1:38" x14ac:dyDescent="0.2">
      <c r="A107" s="28"/>
      <c r="B107" s="28"/>
      <c r="C107" s="28"/>
      <c r="D107" s="28"/>
      <c r="E107" s="310"/>
      <c r="F107" s="28"/>
      <c r="G107" s="28"/>
      <c r="H107" s="29"/>
      <c r="I107" s="30"/>
      <c r="J107" s="28"/>
      <c r="K107" s="28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</row>
    <row r="108" spans="1:38" x14ac:dyDescent="0.2">
      <c r="A108" s="28"/>
      <c r="B108" s="28"/>
      <c r="C108" s="28"/>
      <c r="D108" s="28"/>
      <c r="E108" s="310"/>
      <c r="F108" s="28"/>
      <c r="G108" s="28"/>
      <c r="H108" s="29"/>
      <c r="I108" s="30"/>
      <c r="J108" s="28"/>
      <c r="K108" s="28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</row>
    <row r="109" spans="1:38" x14ac:dyDescent="0.2">
      <c r="A109" s="28"/>
      <c r="B109" s="28"/>
      <c r="C109" s="28"/>
      <c r="D109" s="28"/>
      <c r="E109" s="310"/>
      <c r="F109" s="28"/>
      <c r="G109" s="28"/>
      <c r="H109" s="29"/>
      <c r="I109" s="30"/>
      <c r="J109" s="28"/>
      <c r="K109" s="28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</row>
    <row r="110" spans="1:38" x14ac:dyDescent="0.2">
      <c r="A110" s="28"/>
      <c r="B110" s="28"/>
      <c r="C110" s="28"/>
      <c r="D110" s="28"/>
      <c r="E110" s="310"/>
      <c r="F110" s="28"/>
      <c r="G110" s="28"/>
      <c r="H110" s="29"/>
      <c r="I110" s="30"/>
      <c r="J110" s="28"/>
      <c r="K110" s="28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</row>
    <row r="111" spans="1:38" x14ac:dyDescent="0.2">
      <c r="A111" s="28"/>
      <c r="B111" s="28"/>
      <c r="C111" s="28"/>
      <c r="D111" s="28"/>
      <c r="E111" s="310"/>
      <c r="F111" s="28"/>
      <c r="G111" s="28"/>
      <c r="H111" s="29"/>
      <c r="I111" s="30"/>
      <c r="J111" s="28"/>
      <c r="K111" s="28"/>
      <c r="V111" s="2"/>
      <c r="W111" s="2"/>
      <c r="X111" s="2"/>
      <c r="Y111" s="2"/>
      <c r="Z111" s="2"/>
      <c r="AA111" s="2"/>
      <c r="AJ111" s="12"/>
      <c r="AK111" s="12"/>
      <c r="AL111" s="12"/>
    </row>
    <row r="112" spans="1:38" s="3" customFormat="1" ht="26.25" customHeight="1" thickBot="1" x14ac:dyDescent="0.25">
      <c r="A112" s="627" t="s">
        <v>56</v>
      </c>
      <c r="B112" s="627"/>
      <c r="C112" s="627"/>
      <c r="D112" s="627"/>
      <c r="E112" s="627"/>
      <c r="F112" s="627" t="s">
        <v>54</v>
      </c>
      <c r="G112" s="627"/>
      <c r="H112" s="627"/>
      <c r="I112" s="628" t="s">
        <v>55</v>
      </c>
      <c r="J112" s="628"/>
      <c r="K112" s="628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J112" s="47"/>
      <c r="AK112" s="223"/>
      <c r="AL112" s="223"/>
    </row>
    <row r="113" spans="1:38" s="2" customFormat="1" ht="16.5" thickTop="1" x14ac:dyDescent="0.2">
      <c r="A113" s="31" t="s">
        <v>57</v>
      </c>
      <c r="B113" s="629" t="str">
        <f>" "&amp;ROUND((bw-bt),2)&amp;"x"&amp;hw&amp;"x"&amp;gc&amp;"/2="</f>
        <v xml:space="preserve"> 3.55x7.1x2.4/2=</v>
      </c>
      <c r="C113" s="630"/>
      <c r="D113" s="631"/>
      <c r="E113" s="461">
        <f>(bw-bt)*hw*gc/2</f>
        <v>30.245999999999995</v>
      </c>
      <c r="F113" s="725">
        <f>(bw-bt)/3+bt+bf</f>
        <v>4.1833333333333336</v>
      </c>
      <c r="G113" s="726"/>
      <c r="H113" s="32"/>
      <c r="I113" s="617">
        <f t="shared" ref="I113:I118" si="6">E113*F113</f>
        <v>126.52909999999999</v>
      </c>
      <c r="J113" s="618"/>
      <c r="K113" s="500"/>
      <c r="V113" s="1"/>
      <c r="W113" s="1"/>
      <c r="X113" s="1"/>
      <c r="Y113" s="1"/>
      <c r="Z113" s="1"/>
      <c r="AA113" s="1"/>
      <c r="AJ113" s="47"/>
      <c r="AK113" s="9"/>
      <c r="AL113" s="9"/>
    </row>
    <row r="114" spans="1:38" s="2" customFormat="1" ht="15.75" x14ac:dyDescent="0.2">
      <c r="A114" s="34" t="s">
        <v>58</v>
      </c>
      <c r="B114" s="601" t="str">
        <f>" " &amp;hw&amp; "x"&amp;bt&amp; "x"&amp;gc&amp;"="</f>
        <v xml:space="preserve"> 7.1x1x2.4=</v>
      </c>
      <c r="C114" s="602"/>
      <c r="D114" s="603"/>
      <c r="E114" s="511">
        <f>hw*bt*gc</f>
        <v>17.04</v>
      </c>
      <c r="F114" s="712">
        <f>bt*0.5+bf</f>
        <v>2.5</v>
      </c>
      <c r="G114" s="713"/>
      <c r="H114" s="35"/>
      <c r="I114" s="643">
        <f t="shared" si="6"/>
        <v>42.599999999999994</v>
      </c>
      <c r="J114" s="644"/>
      <c r="K114" s="483"/>
      <c r="AJ114" s="47"/>
      <c r="AK114" s="9"/>
      <c r="AL114" s="9"/>
    </row>
    <row r="115" spans="1:38" s="2" customFormat="1" ht="15.75" x14ac:dyDescent="0.2">
      <c r="A115" s="34" t="s">
        <v>59</v>
      </c>
      <c r="B115" s="601" t="str">
        <f>" " &amp;ROUND(b,2)&amp;"x"&amp;hs&amp;"x"&amp;gc&amp;"="</f>
        <v xml:space="preserve"> 7.55x1.5x2.4=</v>
      </c>
      <c r="C115" s="602"/>
      <c r="D115" s="603"/>
      <c r="E115" s="511">
        <f>b*hs*gc</f>
        <v>27.179999999999996</v>
      </c>
      <c r="F115" s="641">
        <f>b/2</f>
        <v>3.7749999999999999</v>
      </c>
      <c r="G115" s="642"/>
      <c r="H115" s="35"/>
      <c r="I115" s="643">
        <f t="shared" si="6"/>
        <v>102.60449999999999</v>
      </c>
      <c r="J115" s="644"/>
      <c r="K115" s="483"/>
      <c r="AJ115" s="9"/>
      <c r="AK115" s="9"/>
      <c r="AL115" s="9"/>
    </row>
    <row r="116" spans="1:38" s="2" customFormat="1" ht="15.75" x14ac:dyDescent="0.2">
      <c r="A116" s="34" t="s">
        <v>60</v>
      </c>
      <c r="B116" s="601" t="str">
        <f>" "&amp;br&amp;"x"&amp;(hw-0.5)&amp;"x"&amp;ROUND(gnor,2)&amp;"="</f>
        <v xml:space="preserve"> 1x6.6x1.8=</v>
      </c>
      <c r="C116" s="602"/>
      <c r="D116" s="603"/>
      <c r="E116" s="511">
        <f>br*(hw-0.5)*gnor</f>
        <v>11.879999999999999</v>
      </c>
      <c r="F116" s="641">
        <f>b-br/2</f>
        <v>7.05</v>
      </c>
      <c r="G116" s="642"/>
      <c r="H116" s="35"/>
      <c r="I116" s="643">
        <f t="shared" si="6"/>
        <v>83.753999999999991</v>
      </c>
      <c r="J116" s="644"/>
      <c r="K116" s="483"/>
      <c r="O116" s="502"/>
      <c r="AJ116" s="9"/>
      <c r="AK116" s="9"/>
      <c r="AL116" s="9"/>
    </row>
    <row r="117" spans="1:38" s="2" customFormat="1" ht="15.75" x14ac:dyDescent="0.2">
      <c r="A117" s="34" t="s">
        <v>61</v>
      </c>
      <c r="B117" s="601" t="str">
        <f>" "&amp;ROUND(TAN(beta/180*PI())*(hw-0.5),2)&amp;"x"&amp;(hw-0.5)&amp;"x"&amp;ROUND(gnor,2)&amp;"/2="</f>
        <v xml:space="preserve"> 3.3x6.6x1.8/2=</v>
      </c>
      <c r="C117" s="602"/>
      <c r="D117" s="603"/>
      <c r="E117" s="511">
        <f>TAN(beta/180*PI())*(hw-0.5)*((hw-0.5))/2*gnor</f>
        <v>19.601999999999997</v>
      </c>
      <c r="F117" s="641">
        <f>TAN(beta/180*PI())*(hw-0.5)/3*-1+bw+bf</f>
        <v>5.45</v>
      </c>
      <c r="G117" s="642"/>
      <c r="H117" s="35"/>
      <c r="I117" s="643">
        <f t="shared" si="6"/>
        <v>106.83089999999999</v>
      </c>
      <c r="J117" s="644"/>
      <c r="K117" s="483"/>
    </row>
    <row r="118" spans="1:38" s="2" customFormat="1" ht="12.75" x14ac:dyDescent="0.2">
      <c r="A118" s="34" t="s">
        <v>81</v>
      </c>
      <c r="B118" s="601" t="str">
        <f>" "&amp;q&amp;"x"&amp;ROUND((br+bw-bt-0.5*TAN(beta/180*PI())),2)&amp;"="</f>
        <v xml:space="preserve"> 1.14x4.3=</v>
      </c>
      <c r="C118" s="602"/>
      <c r="D118" s="603"/>
      <c r="E118" s="511">
        <f>(br+bw-bt-0.5*TAN(beta/180*PI()))*q</f>
        <v>4.9019999999999992</v>
      </c>
      <c r="F118" s="641">
        <f>b-(br+bw-bt-0.5*TAN(beta/180*PI()))/2</f>
        <v>5.4</v>
      </c>
      <c r="G118" s="642"/>
      <c r="H118" s="35"/>
      <c r="I118" s="643">
        <f t="shared" si="6"/>
        <v>26.470799999999997</v>
      </c>
      <c r="J118" s="644"/>
      <c r="K118" s="483"/>
      <c r="L118" s="8"/>
    </row>
    <row r="119" spans="1:38" s="2" customFormat="1" ht="15.75" x14ac:dyDescent="0.2">
      <c r="A119" s="34" t="s">
        <v>62</v>
      </c>
      <c r="B119" s="601" t="str">
        <f>" "&amp;ROUND(kas,3)&amp;"x"&amp;(h-0.5)&amp;"²x"&amp;ROUND(gnor,2)&amp;"/2="</f>
        <v xml:space="preserve"> 0.585x8.1²x1.8/2=</v>
      </c>
      <c r="C119" s="602"/>
      <c r="D119" s="603"/>
      <c r="E119" s="511">
        <f>kas*(h-0.5)*(h-0.5)*gnor/2</f>
        <v>34.531941947987775</v>
      </c>
      <c r="F119" s="641">
        <f>(h-0.5)/3</f>
        <v>2.6999999999999997</v>
      </c>
      <c r="G119" s="642"/>
      <c r="H119" s="35"/>
      <c r="I119" s="643">
        <f>E119*F119</f>
        <v>93.23624325956699</v>
      </c>
      <c r="J119" s="644"/>
      <c r="K119" s="483"/>
      <c r="O119" s="70"/>
      <c r="P119" s="70"/>
    </row>
    <row r="120" spans="1:38" s="2" customFormat="1" ht="15.75" x14ac:dyDescent="0.2">
      <c r="A120" s="34" t="s">
        <v>63</v>
      </c>
      <c r="B120" s="601" t="str">
        <f>" "&amp;ROUND(kas,3)&amp;"x"&amp;(h-0.5)&amp;"x"&amp;q&amp;"="</f>
        <v xml:space="preserve"> 0.585x8.1x1.14=</v>
      </c>
      <c r="C120" s="602"/>
      <c r="D120" s="603"/>
      <c r="E120" s="511">
        <f>kas*(h-0.5)*q</f>
        <v>5.4000567655289524</v>
      </c>
      <c r="F120" s="641">
        <f>(h-0.5)/2</f>
        <v>4.05</v>
      </c>
      <c r="G120" s="642"/>
      <c r="H120" s="35"/>
      <c r="I120" s="643">
        <f>E120*F120</f>
        <v>21.870229900392257</v>
      </c>
      <c r="J120" s="644"/>
      <c r="K120" s="483"/>
      <c r="N120" s="47"/>
      <c r="O120" s="70"/>
      <c r="P120" s="70"/>
    </row>
    <row r="121" spans="1:38" s="2" customFormat="1" ht="15.75" x14ac:dyDescent="0.3">
      <c r="A121" s="506" t="s">
        <v>332</v>
      </c>
      <c r="B121" s="718" t="str">
        <f>" " &amp;$I$30&amp; "x"&amp;$I$31&amp; "x"&amp;gc&amp;"+"&amp;I30&amp;"x"&amp;I30&amp;"/2/2x2x"&amp;gc&amp;"="</f>
        <v xml:space="preserve"> 3.4x0x2.4+3.4x3.4/2/2x2x2.4=</v>
      </c>
      <c r="C121" s="719"/>
      <c r="D121" s="720"/>
      <c r="E121" s="511">
        <f>($I$30*$I$31+$I$30*$I$30/2/2*2)*gc</f>
        <v>13.871999999999998</v>
      </c>
      <c r="F121" s="642">
        <f>(b-$I$24-$I$31/2-I30/2)</f>
        <v>3.3499999999999996</v>
      </c>
      <c r="G121" s="646"/>
      <c r="H121" s="346"/>
      <c r="I121" s="644">
        <f>E121*F121</f>
        <v>46.471199999999989</v>
      </c>
      <c r="J121" s="645"/>
      <c r="K121" s="345"/>
      <c r="L121" s="437" t="s">
        <v>331</v>
      </c>
      <c r="O121" s="70"/>
    </row>
    <row r="122" spans="1:38" s="2" customFormat="1" ht="15.75" x14ac:dyDescent="0.2">
      <c r="A122" s="34" t="s">
        <v>212</v>
      </c>
      <c r="B122" s="601" t="str">
        <f>" "&amp;ROUND($J$87,3)&amp;"x"&amp;hs&amp;"x"&amp;$I$30&amp;"x"&amp;gnor&amp;"="</f>
        <v xml:space="preserve"> 2.671x1.5x3.4x1.8=</v>
      </c>
      <c r="C122" s="602"/>
      <c r="D122" s="603"/>
      <c r="E122" s="511">
        <f>gnor*$J$87*hs*$I$30</f>
        <v>24.519974254864334</v>
      </c>
      <c r="F122" s="642">
        <f>$I$30/2</f>
        <v>1.7</v>
      </c>
      <c r="G122" s="646"/>
      <c r="H122" s="346"/>
      <c r="I122" s="644">
        <f>E122*F122</f>
        <v>41.683956233269363</v>
      </c>
      <c r="J122" s="645"/>
      <c r="K122" s="483"/>
      <c r="O122" s="70"/>
    </row>
    <row r="123" spans="1:38" ht="14.25" customHeight="1" x14ac:dyDescent="0.3">
      <c r="A123" s="506" t="s">
        <v>213</v>
      </c>
      <c r="B123" s="601" t="str">
        <f>" "&amp;ROUND($J$87,3)&amp;"x"&amp;$I$30&amp;"x"&amp;$I$30&amp;"x"&amp;gnor&amp;"/2="</f>
        <v xml:space="preserve"> 2.671x3.4x3.4x1.8/2=</v>
      </c>
      <c r="C123" s="602"/>
      <c r="D123" s="603"/>
      <c r="E123" s="462">
        <f>$J$87*$I$30*$I$30*gnor/2</f>
        <v>27.789304155512909</v>
      </c>
      <c r="F123" s="642">
        <f>$I$30*2/3</f>
        <v>2.2666666666666666</v>
      </c>
      <c r="G123" s="646"/>
      <c r="H123" s="346"/>
      <c r="I123" s="644">
        <f>E123*F123</f>
        <v>62.989089419162589</v>
      </c>
      <c r="J123" s="645"/>
      <c r="K123" s="483"/>
      <c r="V123" s="2"/>
      <c r="W123" s="2"/>
      <c r="X123" s="2"/>
      <c r="Y123" s="2"/>
      <c r="Z123" s="2"/>
      <c r="AA123" s="2"/>
    </row>
    <row r="124" spans="1:38" s="193" customFormat="1" ht="15.75" x14ac:dyDescent="0.3">
      <c r="A124" s="439" t="s">
        <v>333</v>
      </c>
      <c r="B124" s="661"/>
      <c r="C124" s="661"/>
      <c r="D124" s="661"/>
      <c r="E124" s="463">
        <f>+E186</f>
        <v>0</v>
      </c>
      <c r="F124" s="642">
        <f>+b/2</f>
        <v>3.7749999999999999</v>
      </c>
      <c r="G124" s="646"/>
      <c r="H124" s="346"/>
      <c r="I124" s="645">
        <f>+E124*F124</f>
        <v>0</v>
      </c>
      <c r="J124" s="645"/>
      <c r="K124" s="483"/>
      <c r="N124" s="347"/>
      <c r="P124" s="183"/>
      <c r="Q124" s="493"/>
      <c r="R124" s="493"/>
      <c r="S124" s="493"/>
      <c r="T124" s="181"/>
      <c r="U124" s="494"/>
      <c r="V124" s="494"/>
      <c r="W124" s="505"/>
      <c r="X124" s="495"/>
      <c r="Y124" s="495"/>
      <c r="Z124" s="493"/>
      <c r="AA124" s="168"/>
      <c r="AB124" s="168"/>
      <c r="AC124" s="168"/>
      <c r="AD124" s="168"/>
      <c r="AE124" s="168"/>
      <c r="AF124" s="168"/>
    </row>
    <row r="125" spans="1:38" ht="14.25" customHeight="1" x14ac:dyDescent="0.2">
      <c r="A125" s="28"/>
      <c r="B125" s="28"/>
      <c r="C125" s="28"/>
      <c r="D125" s="28"/>
      <c r="E125" s="310"/>
      <c r="F125" s="510"/>
      <c r="G125" s="510"/>
      <c r="H125" s="29"/>
      <c r="I125" s="30"/>
      <c r="J125" s="28"/>
      <c r="K125" s="28"/>
      <c r="V125" s="2"/>
      <c r="W125" s="2"/>
      <c r="X125" s="2"/>
      <c r="Y125" s="2"/>
      <c r="Z125" s="2"/>
      <c r="AA125" s="2"/>
    </row>
    <row r="126" spans="1:38" ht="14.25" customHeight="1" x14ac:dyDescent="0.2">
      <c r="A126" s="22" t="s">
        <v>71</v>
      </c>
      <c r="B126" s="28"/>
      <c r="C126" s="28"/>
      <c r="D126" s="28"/>
      <c r="E126" s="310"/>
      <c r="F126" s="510"/>
      <c r="G126" s="510"/>
      <c r="H126" s="29"/>
      <c r="I126" s="30"/>
      <c r="J126" s="28"/>
      <c r="K126" s="28"/>
      <c r="V126" s="2"/>
      <c r="W126" s="2"/>
      <c r="X126" s="2"/>
      <c r="Y126" s="2"/>
      <c r="Z126" s="2"/>
      <c r="AA126" s="2"/>
    </row>
    <row r="127" spans="1:38" ht="14.25" customHeight="1" x14ac:dyDescent="0.2">
      <c r="A127" s="28"/>
      <c r="B127" s="28"/>
      <c r="C127" s="28"/>
      <c r="D127" s="28"/>
      <c r="E127" s="310"/>
      <c r="F127" s="510"/>
      <c r="G127" s="510"/>
      <c r="H127" s="29"/>
      <c r="I127" s="30"/>
      <c r="J127" s="28"/>
      <c r="K127" s="28"/>
      <c r="V127" s="2"/>
      <c r="W127" s="2"/>
      <c r="X127" s="2"/>
      <c r="Y127" s="2"/>
      <c r="Z127" s="2"/>
      <c r="AA127" s="2"/>
    </row>
    <row r="128" spans="1:38" ht="14.25" customHeight="1" x14ac:dyDescent="0.2">
      <c r="A128" s="28"/>
      <c r="B128" s="28"/>
      <c r="C128" s="28"/>
      <c r="D128" s="28"/>
      <c r="E128" s="310"/>
      <c r="F128" s="510"/>
      <c r="G128" s="510"/>
      <c r="H128" s="29"/>
      <c r="I128" s="30"/>
      <c r="J128" s="28"/>
      <c r="K128" s="28"/>
      <c r="V128" s="2"/>
      <c r="W128" s="2"/>
      <c r="X128" s="2"/>
      <c r="Y128" s="2"/>
      <c r="Z128" s="2"/>
      <c r="AA128" s="2"/>
    </row>
    <row r="129" spans="1:27" ht="14.25" customHeight="1" x14ac:dyDescent="0.2">
      <c r="A129" s="28"/>
      <c r="B129" s="28"/>
      <c r="C129" s="28"/>
      <c r="D129" s="28"/>
      <c r="E129" s="310"/>
      <c r="F129" s="510"/>
      <c r="G129" s="510"/>
      <c r="H129" s="29"/>
      <c r="I129" s="30"/>
      <c r="J129" s="28"/>
      <c r="K129" s="28"/>
      <c r="V129" s="2"/>
      <c r="W129" s="2"/>
      <c r="X129" s="2"/>
      <c r="Y129" s="2"/>
      <c r="Z129" s="2"/>
      <c r="AA129" s="2"/>
    </row>
    <row r="130" spans="1:27" ht="14.25" customHeight="1" x14ac:dyDescent="0.2">
      <c r="A130" s="28"/>
      <c r="B130" s="28"/>
      <c r="C130" s="28"/>
      <c r="D130" s="28"/>
      <c r="E130" s="310"/>
      <c r="F130" s="510"/>
      <c r="G130" s="510"/>
      <c r="H130" s="29"/>
      <c r="I130" s="30"/>
      <c r="J130" s="28"/>
      <c r="K130" s="28"/>
      <c r="V130" s="2"/>
      <c r="W130" s="2"/>
      <c r="X130" s="2"/>
      <c r="Y130" s="2"/>
      <c r="Z130" s="2"/>
      <c r="AA130" s="2"/>
    </row>
    <row r="131" spans="1:27" ht="14.25" customHeight="1" x14ac:dyDescent="0.2">
      <c r="A131" s="28"/>
      <c r="B131" s="28"/>
      <c r="C131" s="28"/>
      <c r="D131" s="28"/>
      <c r="E131" s="310"/>
      <c r="F131" s="510"/>
      <c r="G131" s="510"/>
      <c r="H131" s="29"/>
      <c r="I131" s="30"/>
      <c r="J131" s="28"/>
      <c r="K131" s="28"/>
      <c r="V131" s="2"/>
      <c r="W131" s="2"/>
      <c r="X131" s="2"/>
      <c r="Y131" s="2"/>
      <c r="Z131" s="2"/>
      <c r="AA131" s="2"/>
    </row>
    <row r="132" spans="1:27" ht="14.25" customHeight="1" x14ac:dyDescent="0.2">
      <c r="A132" s="28"/>
      <c r="B132" s="28"/>
      <c r="C132" s="28"/>
      <c r="D132" s="28"/>
      <c r="E132" s="310"/>
      <c r="F132" s="510"/>
      <c r="G132" s="510"/>
      <c r="H132" s="29"/>
      <c r="I132" s="30"/>
      <c r="J132" s="28"/>
      <c r="K132" s="28"/>
      <c r="V132" s="2"/>
      <c r="W132" s="2"/>
      <c r="X132" s="2"/>
      <c r="Y132" s="2"/>
      <c r="Z132" s="2"/>
      <c r="AA132" s="2"/>
    </row>
    <row r="133" spans="1:27" ht="14.25" customHeight="1" x14ac:dyDescent="0.2">
      <c r="A133" s="28"/>
      <c r="B133" s="28"/>
      <c r="C133" s="28"/>
      <c r="D133" s="28"/>
      <c r="E133" s="310"/>
      <c r="F133" s="510"/>
      <c r="G133" s="510"/>
      <c r="H133" s="29"/>
      <c r="I133" s="30"/>
      <c r="J133" s="28"/>
      <c r="K133" s="28"/>
      <c r="V133" s="2"/>
      <c r="W133" s="2"/>
      <c r="X133" s="2"/>
      <c r="Y133" s="2"/>
      <c r="Z133" s="2"/>
      <c r="AA133" s="2"/>
    </row>
    <row r="134" spans="1:27" ht="14.25" customHeight="1" x14ac:dyDescent="0.2">
      <c r="A134" s="28"/>
      <c r="B134" s="28"/>
      <c r="C134" s="28"/>
      <c r="D134" s="28"/>
      <c r="E134" s="310"/>
      <c r="F134" s="510"/>
      <c r="G134" s="510"/>
      <c r="H134" s="29"/>
      <c r="I134" s="30"/>
      <c r="J134" s="28"/>
      <c r="K134" s="28"/>
      <c r="V134" s="2"/>
      <c r="W134" s="2"/>
      <c r="X134" s="2"/>
      <c r="Y134" s="2"/>
      <c r="Z134" s="2"/>
      <c r="AA134" s="2"/>
    </row>
    <row r="135" spans="1:27" s="2" customFormat="1" ht="24.75" customHeight="1" x14ac:dyDescent="0.25">
      <c r="A135" s="632"/>
      <c r="B135" s="632"/>
      <c r="C135" s="633"/>
      <c r="D135" s="633"/>
      <c r="E135" s="464"/>
      <c r="F135" s="39"/>
      <c r="G135" s="496"/>
      <c r="H135" s="41"/>
      <c r="I135" s="9"/>
      <c r="J135" s="9"/>
      <c r="K135" s="496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</row>
    <row r="136" spans="1:27" s="2" customFormat="1" ht="17.25" customHeight="1" x14ac:dyDescent="0.2">
      <c r="A136" s="9"/>
      <c r="B136" s="42"/>
      <c r="C136" s="9"/>
      <c r="D136" s="43"/>
      <c r="E136" s="464"/>
      <c r="F136" s="496"/>
      <c r="G136" s="496"/>
      <c r="H136" s="41"/>
      <c r="I136" s="9"/>
      <c r="J136" s="9"/>
      <c r="K136" s="496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7"/>
      <c r="W136" s="7"/>
      <c r="X136" s="7"/>
      <c r="Y136" s="7"/>
      <c r="Z136" s="7"/>
      <c r="AA136" s="7"/>
    </row>
    <row r="137" spans="1:27" s="2" customFormat="1" ht="17.25" customHeight="1" x14ac:dyDescent="0.2">
      <c r="A137" s="496"/>
      <c r="B137" s="496"/>
      <c r="C137" s="496"/>
      <c r="D137" s="44"/>
      <c r="E137" s="465"/>
      <c r="F137" s="8"/>
      <c r="G137" s="8"/>
      <c r="H137" s="16"/>
      <c r="K137" s="8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"/>
      <c r="W137" s="1"/>
      <c r="X137" s="1"/>
      <c r="Y137" s="1"/>
      <c r="Z137" s="1"/>
      <c r="AA137" s="1"/>
    </row>
    <row r="138" spans="1:27" s="2" customFormat="1" ht="15" x14ac:dyDescent="0.25">
      <c r="A138" s="8"/>
      <c r="B138" s="8"/>
      <c r="C138" s="39"/>
      <c r="D138" s="37"/>
      <c r="E138" s="465"/>
      <c r="F138" s="8"/>
      <c r="G138" s="8"/>
      <c r="H138" s="16"/>
      <c r="K138" s="8"/>
      <c r="V138" s="1"/>
      <c r="W138" s="1"/>
      <c r="X138" s="1"/>
      <c r="Y138" s="1"/>
      <c r="Z138" s="1"/>
      <c r="AA138" s="1"/>
    </row>
    <row r="139" spans="1:27" s="2" customFormat="1" ht="28.5" customHeight="1" x14ac:dyDescent="0.2">
      <c r="A139" s="484"/>
      <c r="B139" s="649"/>
      <c r="C139" s="649"/>
      <c r="D139" s="46" t="s">
        <v>72</v>
      </c>
      <c r="E139" s="181">
        <f>IF(B140&lt;b/6,SUM(E113:E118)/b*(1+6*B140/b),2*SUM(E113:E118)/3/(b/2-B140))</f>
        <v>19.395167562120179</v>
      </c>
      <c r="F139" s="48" t="s">
        <v>25</v>
      </c>
      <c r="G139" s="48" t="str">
        <f>IF(E139&lt;I139,"&lt;","&gt;")</f>
        <v>&lt;</v>
      </c>
      <c r="H139" s="46" t="s">
        <v>75</v>
      </c>
      <c r="I139" s="49">
        <f>I49</f>
        <v>400</v>
      </c>
      <c r="J139" s="48" t="s">
        <v>25</v>
      </c>
      <c r="K139" s="50" t="str">
        <f>IF(G139="&lt;","O.K.","not O.K.")</f>
        <v>O.K.</v>
      </c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0"/>
      <c r="W139" s="10"/>
      <c r="X139" s="10"/>
      <c r="Y139" s="10"/>
      <c r="Z139" s="10"/>
      <c r="AA139" s="10"/>
    </row>
    <row r="140" spans="1:27" s="2" customFormat="1" ht="18" x14ac:dyDescent="0.2">
      <c r="A140" s="502">
        <f>(SUM(I113:J118)-SUM(I119:J120))/SUM(E113:E118)</f>
        <v>3.3710674500680264</v>
      </c>
      <c r="B140" s="643">
        <f>b/2-A140</f>
        <v>0.40393254993197347</v>
      </c>
      <c r="C140" s="643"/>
      <c r="D140" s="46" t="s">
        <v>73</v>
      </c>
      <c r="E140" s="181">
        <f>IF(B140&lt;b/6,SUM(E113:E118)/b*(1-6*B140/b),0)</f>
        <v>9.9690708484758463</v>
      </c>
      <c r="F140" s="48" t="s">
        <v>25</v>
      </c>
      <c r="G140" s="48" t="str">
        <f>IF(E140&lt;I140,"&lt;","&gt;")</f>
        <v>&gt;</v>
      </c>
      <c r="H140" s="46" t="s">
        <v>74</v>
      </c>
      <c r="I140" s="49">
        <v>0</v>
      </c>
      <c r="J140" s="48" t="s">
        <v>25</v>
      </c>
      <c r="K140" s="50" t="str">
        <f>IF(E140&lt;I140,"not O.K.","O.K.")</f>
        <v>O.K.</v>
      </c>
    </row>
    <row r="141" spans="1:27" s="2" customFormat="1" x14ac:dyDescent="0.2">
      <c r="E141" s="193"/>
      <c r="I141" s="7"/>
      <c r="V141" s="1"/>
      <c r="W141" s="1"/>
      <c r="X141" s="1"/>
      <c r="Y141" s="1"/>
      <c r="Z141" s="1"/>
      <c r="AA141" s="1"/>
    </row>
    <row r="142" spans="1:27" x14ac:dyDescent="0.2">
      <c r="A142" s="22" t="s">
        <v>69</v>
      </c>
      <c r="B142" s="28"/>
      <c r="C142" s="28"/>
      <c r="D142" s="28"/>
      <c r="E142" s="310"/>
      <c r="F142" s="28"/>
      <c r="G142" s="28"/>
      <c r="H142" s="29"/>
      <c r="I142" s="30"/>
      <c r="J142" s="28"/>
      <c r="K142" s="28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</row>
    <row r="143" spans="1:27" ht="33.75" customHeight="1" x14ac:dyDescent="0.25">
      <c r="A143" s="650" t="s">
        <v>64</v>
      </c>
      <c r="B143" s="650"/>
      <c r="C143" s="650" t="s">
        <v>65</v>
      </c>
      <c r="D143" s="650"/>
      <c r="E143" s="727"/>
      <c r="F143" s="728"/>
      <c r="G143" s="52"/>
      <c r="H143" s="53" t="s">
        <v>66</v>
      </c>
      <c r="I143" s="54"/>
      <c r="J143" s="28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</row>
    <row r="144" spans="1:27" s="217" customFormat="1" ht="12.75" x14ac:dyDescent="0.2">
      <c r="A144" s="701">
        <f>SUM(I113:J118)</f>
        <v>488.78929999999991</v>
      </c>
      <c r="B144" s="701"/>
      <c r="C144" s="701">
        <f>SUM(I119:J120)</f>
        <v>115.10647315995925</v>
      </c>
      <c r="D144" s="701"/>
      <c r="E144" s="656">
        <f>A144/C144</f>
        <v>4.2464101851226674</v>
      </c>
      <c r="F144" s="657"/>
      <c r="G144" s="290" t="str">
        <f>IF(E144&lt;H144,"&lt;","&gt;")</f>
        <v>&gt;</v>
      </c>
      <c r="H144" s="291">
        <v>1.5</v>
      </c>
      <c r="I144" s="292" t="str">
        <f>IF(G144="&gt;","O.K.","not O.K.")</f>
        <v>O.K.</v>
      </c>
      <c r="J144" s="293"/>
      <c r="K144" s="293"/>
      <c r="L144" s="193"/>
      <c r="M144" s="193"/>
      <c r="N144" s="193"/>
      <c r="O144" s="193"/>
      <c r="P144" s="193"/>
      <c r="Q144" s="218"/>
      <c r="R144" s="218"/>
      <c r="S144" s="218"/>
      <c r="T144" s="218"/>
      <c r="U144" s="218"/>
      <c r="V144" s="218"/>
      <c r="W144" s="218"/>
      <c r="X144" s="218"/>
      <c r="Y144" s="218"/>
      <c r="Z144" s="218"/>
      <c r="AA144" s="218"/>
    </row>
    <row r="145" spans="1:27" ht="9.75" customHeight="1" x14ac:dyDescent="0.2">
      <c r="A145" s="28"/>
      <c r="B145" s="28"/>
      <c r="C145" s="28"/>
      <c r="D145" s="28"/>
      <c r="E145" s="310"/>
      <c r="F145" s="28"/>
      <c r="G145" s="28"/>
      <c r="H145" s="29"/>
      <c r="I145" s="30"/>
      <c r="J145" s="28"/>
      <c r="K145" s="28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</row>
    <row r="146" spans="1:27" x14ac:dyDescent="0.2">
      <c r="A146" s="22" t="s">
        <v>70</v>
      </c>
      <c r="B146" s="28"/>
      <c r="C146" s="28"/>
      <c r="D146" s="28"/>
      <c r="E146" s="310"/>
      <c r="F146" s="28"/>
      <c r="G146" s="28"/>
      <c r="H146" s="29"/>
      <c r="I146" s="30"/>
      <c r="J146" s="28"/>
      <c r="K146" s="28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</row>
    <row r="147" spans="1:27" s="10" customFormat="1" ht="34.5" customHeight="1" x14ac:dyDescent="0.2">
      <c r="A147" s="650" t="s">
        <v>67</v>
      </c>
      <c r="B147" s="650"/>
      <c r="C147" s="650" t="s">
        <v>68</v>
      </c>
      <c r="D147" s="650"/>
      <c r="E147" s="294" t="s">
        <v>11</v>
      </c>
      <c r="F147" s="741"/>
      <c r="G147" s="742"/>
      <c r="H147" s="53"/>
      <c r="I147" s="53" t="s">
        <v>66</v>
      </c>
      <c r="J147" s="56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</row>
    <row r="148" spans="1:27" s="2" customFormat="1" ht="12.75" x14ac:dyDescent="0.2">
      <c r="A148" s="621">
        <f>IF((SUM(E119:E120)-E122-E123)&lt;0,-(SUM(E119:E120)-E122-E123),(SUM(E119:E120)-E122-E123))</f>
        <v>12.377279696860516</v>
      </c>
      <c r="B148" s="621"/>
      <c r="C148" s="621">
        <f>SUM(E113:E118,E121,E124)</f>
        <v>124.72199999999998</v>
      </c>
      <c r="D148" s="621"/>
      <c r="E148" s="298">
        <f>I47</f>
        <v>0.65</v>
      </c>
      <c r="F148" s="622">
        <f>C148*E148/A148</f>
        <v>6.5498479460364081</v>
      </c>
      <c r="G148" s="624"/>
      <c r="H148" s="4" t="str">
        <f>IF(F148&lt;I148,"&lt;","&gt;")</f>
        <v>&gt;</v>
      </c>
      <c r="I148" s="76">
        <v>1.5</v>
      </c>
      <c r="J148" s="5" t="str">
        <f>IF(H148="&gt;","O.K.","not O.K.")</f>
        <v>O.K.</v>
      </c>
      <c r="K148" s="8"/>
    </row>
    <row r="149" spans="1:27" x14ac:dyDescent="0.2">
      <c r="A149" s="28"/>
      <c r="B149" s="28"/>
      <c r="C149" s="28"/>
      <c r="D149" s="28"/>
      <c r="E149" s="310"/>
      <c r="F149" s="28"/>
      <c r="G149" s="28"/>
      <c r="H149" s="29"/>
      <c r="I149" s="30"/>
      <c r="J149" s="28"/>
      <c r="K149" s="28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</row>
    <row r="150" spans="1:27" s="2" customFormat="1" ht="12.75" x14ac:dyDescent="0.2">
      <c r="A150" s="8"/>
      <c r="B150" s="8"/>
      <c r="C150" s="8"/>
      <c r="D150" s="8"/>
      <c r="E150" s="299"/>
      <c r="F150" s="8"/>
      <c r="G150" s="8"/>
      <c r="H150" s="16"/>
      <c r="I150" s="26"/>
      <c r="J150" s="8"/>
      <c r="K150" s="8"/>
    </row>
    <row r="151" spans="1:27" s="2" customFormat="1" ht="15" x14ac:dyDescent="0.25">
      <c r="A151" s="715" t="s">
        <v>178</v>
      </c>
      <c r="B151" s="715"/>
      <c r="C151" s="715"/>
      <c r="D151" s="715"/>
      <c r="E151" s="715"/>
      <c r="F151" s="715"/>
      <c r="G151" s="715"/>
      <c r="H151" s="715"/>
      <c r="I151" s="715"/>
      <c r="J151" s="715"/>
      <c r="K151" s="715"/>
    </row>
    <row r="152" spans="1:27" s="2" customFormat="1" x14ac:dyDescent="0.2">
      <c r="A152" s="28"/>
      <c r="B152" s="28"/>
      <c r="C152" s="28"/>
      <c r="D152" s="28"/>
      <c r="E152" s="310"/>
      <c r="F152" s="28"/>
      <c r="G152" s="28"/>
      <c r="H152" s="28"/>
      <c r="I152" s="28"/>
      <c r="J152" s="28"/>
      <c r="K152" s="28"/>
      <c r="L152" s="2" t="s">
        <v>187</v>
      </c>
    </row>
    <row r="153" spans="1:27" s="2" customFormat="1" x14ac:dyDescent="0.2">
      <c r="A153" s="28"/>
      <c r="B153" s="28"/>
      <c r="C153" s="28"/>
      <c r="D153" s="28"/>
      <c r="E153" s="310"/>
      <c r="F153" s="28"/>
      <c r="G153" s="28"/>
      <c r="H153" s="29"/>
      <c r="I153" s="30"/>
      <c r="J153" s="28"/>
      <c r="K153" s="28"/>
    </row>
    <row r="154" spans="1:27" s="2" customFormat="1" x14ac:dyDescent="0.2">
      <c r="A154" s="28"/>
      <c r="B154" s="28"/>
      <c r="C154" s="28"/>
      <c r="D154" s="28"/>
      <c r="E154" s="310"/>
      <c r="F154" s="28"/>
      <c r="G154" s="28"/>
      <c r="H154" s="29"/>
      <c r="I154" s="30"/>
      <c r="J154" s="28"/>
      <c r="K154" s="28"/>
    </row>
    <row r="155" spans="1:27" s="2" customFormat="1" x14ac:dyDescent="0.2">
      <c r="A155" s="28"/>
      <c r="B155" s="28"/>
      <c r="C155" s="28"/>
      <c r="D155" s="28"/>
      <c r="E155" s="310"/>
      <c r="F155" s="28"/>
      <c r="G155" s="28"/>
      <c r="H155" s="29"/>
      <c r="I155" s="30"/>
      <c r="J155" s="28"/>
      <c r="K155" s="28"/>
    </row>
    <row r="156" spans="1:27" s="2" customFormat="1" x14ac:dyDescent="0.2">
      <c r="A156" s="28"/>
      <c r="B156" s="28"/>
      <c r="C156" s="28"/>
      <c r="D156" s="28"/>
      <c r="E156" s="310"/>
      <c r="F156" s="28"/>
      <c r="G156" s="28"/>
      <c r="H156" s="29"/>
      <c r="I156" s="30"/>
      <c r="J156" s="28"/>
      <c r="K156" s="28"/>
    </row>
    <row r="157" spans="1:27" s="2" customFormat="1" x14ac:dyDescent="0.2">
      <c r="A157" s="28"/>
      <c r="B157" s="28"/>
      <c r="C157" s="28"/>
      <c r="D157" s="28"/>
      <c r="E157" s="310"/>
      <c r="F157" s="28"/>
      <c r="G157" s="28"/>
      <c r="H157" s="29"/>
      <c r="I157" s="30"/>
      <c r="J157" s="28"/>
      <c r="K157" s="28"/>
    </row>
    <row r="158" spans="1:27" s="2" customFormat="1" x14ac:dyDescent="0.2">
      <c r="A158" s="28"/>
      <c r="B158" s="28"/>
      <c r="C158" s="28"/>
      <c r="D158" s="28"/>
      <c r="E158" s="310"/>
      <c r="F158" s="28"/>
      <c r="G158" s="28"/>
      <c r="H158" s="29"/>
      <c r="I158" s="30"/>
      <c r="J158" s="28"/>
      <c r="K158" s="28"/>
    </row>
    <row r="159" spans="1:27" s="2" customFormat="1" x14ac:dyDescent="0.2">
      <c r="A159" s="28"/>
      <c r="B159" s="28"/>
      <c r="C159" s="28"/>
      <c r="D159" s="28"/>
      <c r="E159" s="310"/>
      <c r="F159" s="28"/>
      <c r="G159" s="28"/>
      <c r="H159" s="29"/>
      <c r="I159" s="30"/>
      <c r="J159" s="28"/>
      <c r="K159" s="28"/>
    </row>
    <row r="160" spans="1:27" s="2" customFormat="1" x14ac:dyDescent="0.2">
      <c r="A160" s="28"/>
      <c r="B160" s="28"/>
      <c r="C160" s="28"/>
      <c r="D160" s="28"/>
      <c r="E160" s="310"/>
      <c r="F160" s="28"/>
      <c r="G160" s="28"/>
      <c r="H160" s="29"/>
      <c r="I160" s="30"/>
      <c r="J160" s="28"/>
      <c r="K160" s="28"/>
    </row>
    <row r="161" spans="1:11" s="2" customFormat="1" x14ac:dyDescent="0.2">
      <c r="A161" s="28"/>
      <c r="B161" s="28"/>
      <c r="C161" s="28"/>
      <c r="D161" s="28"/>
      <c r="E161" s="310"/>
      <c r="F161" s="28"/>
      <c r="G161" s="28"/>
      <c r="H161" s="29"/>
      <c r="I161" s="30"/>
      <c r="J161" s="28"/>
      <c r="K161" s="28"/>
    </row>
    <row r="162" spans="1:11" s="2" customFormat="1" x14ac:dyDescent="0.2">
      <c r="A162" s="28"/>
      <c r="B162" s="28"/>
      <c r="C162" s="28"/>
      <c r="D162" s="28"/>
      <c r="E162" s="310"/>
      <c r="F162" s="28"/>
      <c r="G162" s="28"/>
      <c r="H162" s="29"/>
      <c r="I162" s="30"/>
      <c r="J162" s="28"/>
      <c r="K162" s="28"/>
    </row>
    <row r="163" spans="1:11" s="2" customFormat="1" x14ac:dyDescent="0.2">
      <c r="A163" s="28"/>
      <c r="B163" s="28"/>
      <c r="C163" s="28"/>
      <c r="D163" s="28"/>
      <c r="E163" s="310"/>
      <c r="F163" s="28"/>
      <c r="G163" s="28"/>
      <c r="H163" s="29"/>
      <c r="I163" s="30"/>
      <c r="J163" s="28"/>
      <c r="K163" s="28"/>
    </row>
    <row r="164" spans="1:11" s="2" customFormat="1" x14ac:dyDescent="0.2">
      <c r="A164" s="28"/>
      <c r="B164" s="28"/>
      <c r="C164" s="28"/>
      <c r="D164" s="28"/>
      <c r="E164" s="310"/>
      <c r="F164" s="28"/>
      <c r="G164" s="28"/>
      <c r="H164" s="29"/>
      <c r="I164" s="30"/>
      <c r="J164" s="28"/>
      <c r="K164" s="28"/>
    </row>
    <row r="165" spans="1:11" s="2" customFormat="1" x14ac:dyDescent="0.2">
      <c r="A165" s="28"/>
      <c r="B165" s="28"/>
      <c r="C165" s="28"/>
      <c r="D165" s="28"/>
      <c r="E165" s="310"/>
      <c r="F165" s="28"/>
      <c r="G165" s="28"/>
      <c r="H165" s="29"/>
      <c r="I165" s="30"/>
      <c r="J165" s="28"/>
      <c r="K165" s="28"/>
    </row>
    <row r="166" spans="1:11" s="2" customFormat="1" x14ac:dyDescent="0.2">
      <c r="A166" s="28"/>
      <c r="B166" s="28"/>
      <c r="C166" s="28"/>
      <c r="D166" s="28"/>
      <c r="E166" s="310"/>
      <c r="F166" s="28"/>
      <c r="G166" s="28"/>
      <c r="H166" s="29"/>
      <c r="I166" s="30"/>
      <c r="J166" s="28"/>
      <c r="K166" s="28"/>
    </row>
    <row r="167" spans="1:11" s="2" customFormat="1" x14ac:dyDescent="0.2">
      <c r="A167" s="28"/>
      <c r="B167" s="28"/>
      <c r="C167" s="28"/>
      <c r="D167" s="28"/>
      <c r="E167" s="310"/>
      <c r="F167" s="28"/>
      <c r="G167" s="28"/>
      <c r="H167" s="29"/>
      <c r="I167" s="30"/>
      <c r="J167" s="28"/>
      <c r="K167" s="28"/>
    </row>
    <row r="168" spans="1:11" s="2" customFormat="1" x14ac:dyDescent="0.2">
      <c r="A168" s="28"/>
      <c r="B168" s="28"/>
      <c r="C168" s="28"/>
      <c r="D168" s="28"/>
      <c r="E168" s="310"/>
      <c r="F168" s="28"/>
      <c r="G168" s="28"/>
      <c r="H168" s="29"/>
      <c r="I168" s="30"/>
      <c r="J168" s="28"/>
      <c r="K168" s="28"/>
    </row>
    <row r="169" spans="1:11" s="2" customFormat="1" x14ac:dyDescent="0.2">
      <c r="A169" s="28"/>
      <c r="B169" s="28"/>
      <c r="C169" s="28"/>
      <c r="D169" s="28"/>
      <c r="E169" s="310"/>
      <c r="F169" s="28"/>
      <c r="G169" s="28"/>
      <c r="H169" s="29"/>
      <c r="I169" s="30"/>
      <c r="J169" s="28"/>
      <c r="K169" s="28"/>
    </row>
    <row r="170" spans="1:11" s="2" customFormat="1" ht="27.75" customHeight="1" thickBot="1" x14ac:dyDescent="0.25">
      <c r="A170" s="627" t="s">
        <v>56</v>
      </c>
      <c r="B170" s="627"/>
      <c r="C170" s="627"/>
      <c r="D170" s="627"/>
      <c r="E170" s="627"/>
      <c r="F170" s="627" t="s">
        <v>54</v>
      </c>
      <c r="G170" s="627"/>
      <c r="H170" s="627"/>
      <c r="I170" s="628" t="s">
        <v>55</v>
      </c>
      <c r="J170" s="628"/>
      <c r="K170" s="628"/>
    </row>
    <row r="171" spans="1:11" s="2" customFormat="1" ht="16.5" thickTop="1" x14ac:dyDescent="0.2">
      <c r="A171" s="31" t="s">
        <v>57</v>
      </c>
      <c r="B171" s="629" t="str">
        <f>+B113</f>
        <v xml:space="preserve"> 3.55x7.1x2.4/2=</v>
      </c>
      <c r="C171" s="630"/>
      <c r="D171" s="631"/>
      <c r="E171" s="461">
        <f t="shared" ref="E171:F175" si="7">+E113</f>
        <v>30.245999999999995</v>
      </c>
      <c r="F171" s="615">
        <f t="shared" si="7"/>
        <v>4.1833333333333336</v>
      </c>
      <c r="G171" s="616"/>
      <c r="H171" s="32"/>
      <c r="I171" s="617">
        <f t="shared" ref="I171:I182" si="8">E171*F171</f>
        <v>126.52909999999999</v>
      </c>
      <c r="J171" s="618"/>
      <c r="K171" s="500"/>
    </row>
    <row r="172" spans="1:11" s="2" customFormat="1" ht="15.75" x14ac:dyDescent="0.2">
      <c r="A172" s="34" t="s">
        <v>58</v>
      </c>
      <c r="B172" s="601" t="str">
        <f>+B114</f>
        <v xml:space="preserve"> 7.1x1x2.4=</v>
      </c>
      <c r="C172" s="602"/>
      <c r="D172" s="603"/>
      <c r="E172" s="511">
        <f t="shared" si="7"/>
        <v>17.04</v>
      </c>
      <c r="F172" s="641">
        <f t="shared" si="7"/>
        <v>2.5</v>
      </c>
      <c r="G172" s="642"/>
      <c r="H172" s="35"/>
      <c r="I172" s="643">
        <f t="shared" si="8"/>
        <v>42.599999999999994</v>
      </c>
      <c r="J172" s="644"/>
      <c r="K172" s="483"/>
    </row>
    <row r="173" spans="1:11" s="2" customFormat="1" ht="15.75" x14ac:dyDescent="0.2">
      <c r="A173" s="34" t="s">
        <v>59</v>
      </c>
      <c r="B173" s="601" t="str">
        <f>+B115</f>
        <v xml:space="preserve"> 7.55x1.5x2.4=</v>
      </c>
      <c r="C173" s="602"/>
      <c r="D173" s="603"/>
      <c r="E173" s="511">
        <f t="shared" si="7"/>
        <v>27.179999999999996</v>
      </c>
      <c r="F173" s="641">
        <f t="shared" si="7"/>
        <v>3.7749999999999999</v>
      </c>
      <c r="G173" s="642"/>
      <c r="H173" s="35"/>
      <c r="I173" s="643">
        <f t="shared" si="8"/>
        <v>102.60449999999999</v>
      </c>
      <c r="J173" s="644"/>
      <c r="K173" s="483"/>
    </row>
    <row r="174" spans="1:11" s="2" customFormat="1" ht="15.75" x14ac:dyDescent="0.2">
      <c r="A174" s="34" t="s">
        <v>60</v>
      </c>
      <c r="B174" s="601" t="str">
        <f>+B116</f>
        <v xml:space="preserve"> 1x6.6x1.8=</v>
      </c>
      <c r="C174" s="602"/>
      <c r="D174" s="603"/>
      <c r="E174" s="511">
        <f t="shared" si="7"/>
        <v>11.879999999999999</v>
      </c>
      <c r="F174" s="641">
        <f t="shared" si="7"/>
        <v>7.05</v>
      </c>
      <c r="G174" s="642"/>
      <c r="H174" s="35"/>
      <c r="I174" s="643">
        <f t="shared" si="8"/>
        <v>83.753999999999991</v>
      </c>
      <c r="J174" s="644"/>
      <c r="K174" s="483"/>
    </row>
    <row r="175" spans="1:11" s="2" customFormat="1" ht="15.75" x14ac:dyDescent="0.2">
      <c r="A175" s="34" t="s">
        <v>61</v>
      </c>
      <c r="B175" s="601" t="str">
        <f>+B117</f>
        <v xml:space="preserve"> 3.3x6.6x1.8/2=</v>
      </c>
      <c r="C175" s="602"/>
      <c r="D175" s="603"/>
      <c r="E175" s="511">
        <f t="shared" si="7"/>
        <v>19.601999999999997</v>
      </c>
      <c r="F175" s="641">
        <f t="shared" si="7"/>
        <v>5.45</v>
      </c>
      <c r="G175" s="642"/>
      <c r="H175" s="35"/>
      <c r="I175" s="643">
        <f t="shared" si="8"/>
        <v>106.83089999999999</v>
      </c>
      <c r="J175" s="644"/>
      <c r="K175" s="483"/>
    </row>
    <row r="176" spans="1:11" s="2" customFormat="1" ht="15.75" x14ac:dyDescent="0.2">
      <c r="A176" s="34" t="s">
        <v>62</v>
      </c>
      <c r="B176" s="601" t="str">
        <f>" "&amp;ROUND(kas,3)&amp;"x"&amp;(h-0.5)&amp;"²x"&amp;ROUND(gnor,2)&amp;"/2="</f>
        <v xml:space="preserve"> 0.585x8.1²x1.8/2=</v>
      </c>
      <c r="C176" s="602"/>
      <c r="D176" s="603"/>
      <c r="E176" s="511">
        <f>kas*(h-0.5)*(h-0.5)*gnor/2</f>
        <v>34.531941947987775</v>
      </c>
      <c r="F176" s="641">
        <f>(h-0.5)/3</f>
        <v>2.6999999999999997</v>
      </c>
      <c r="G176" s="642"/>
      <c r="H176" s="35"/>
      <c r="I176" s="643">
        <f t="shared" si="8"/>
        <v>93.23624325956699</v>
      </c>
      <c r="J176" s="644"/>
      <c r="K176" s="483"/>
    </row>
    <row r="177" spans="1:32" s="2" customFormat="1" ht="15.75" x14ac:dyDescent="0.2">
      <c r="A177" s="31" t="s">
        <v>76</v>
      </c>
      <c r="B177" s="629" t="str">
        <f>" "&amp;ROUND((bw-bt),2)&amp;"x"&amp;hw&amp;"x"&amp;ROUND(gc,2)&amp;"x"&amp;ROUND(I38,3)&amp;"/2="</f>
        <v xml:space="preserve"> 3.55x7.1x2.4x0.297/2=</v>
      </c>
      <c r="C177" s="630"/>
      <c r="D177" s="631"/>
      <c r="E177" s="461">
        <f>(bw-bt)*hw*gc*I38/2</f>
        <v>8.9931439999999991</v>
      </c>
      <c r="F177" s="642">
        <f>hs+hw/3</f>
        <v>3.8666666666666667</v>
      </c>
      <c r="G177" s="646"/>
      <c r="H177" s="32"/>
      <c r="I177" s="643">
        <f t="shared" si="8"/>
        <v>34.773490133333333</v>
      </c>
      <c r="J177" s="644"/>
      <c r="K177" s="500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  <c r="AA177" s="9"/>
      <c r="AB177" s="9"/>
      <c r="AC177" s="9"/>
      <c r="AD177" s="9"/>
      <c r="AE177" s="9"/>
      <c r="AF177" s="9"/>
    </row>
    <row r="178" spans="1:32" s="2" customFormat="1" ht="15.75" x14ac:dyDescent="0.2">
      <c r="A178" s="34" t="s">
        <v>77</v>
      </c>
      <c r="B178" s="601" t="str">
        <f>" "&amp;hw&amp;"x"&amp;bt&amp;"x"&amp;gc&amp;"x"&amp;ROUND(I38,3)&amp;"="</f>
        <v xml:space="preserve"> 7.1x1x2.4x0.297=</v>
      </c>
      <c r="C178" s="602"/>
      <c r="D178" s="603"/>
      <c r="E178" s="511">
        <f>hw*bt*gc*I38</f>
        <v>5.06656</v>
      </c>
      <c r="F178" s="641">
        <f>hw/2+hs</f>
        <v>5.05</v>
      </c>
      <c r="G178" s="642"/>
      <c r="H178" s="35"/>
      <c r="I178" s="643">
        <f t="shared" si="8"/>
        <v>25.586127999999999</v>
      </c>
      <c r="J178" s="644"/>
      <c r="K178" s="483"/>
      <c r="N178" s="47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  <c r="AA178" s="9"/>
      <c r="AB178" s="9"/>
      <c r="AC178" s="9"/>
      <c r="AD178" s="9"/>
      <c r="AE178" s="9"/>
      <c r="AF178" s="9"/>
    </row>
    <row r="179" spans="1:32" s="2" customFormat="1" ht="15.75" x14ac:dyDescent="0.2">
      <c r="A179" s="34" t="s">
        <v>78</v>
      </c>
      <c r="B179" s="601" t="str">
        <f>" " &amp;ROUND(b,2)&amp;"x"&amp;hs&amp;"x"&amp;gc&amp;"x"&amp;ROUND(I38,3)&amp;"="</f>
        <v xml:space="preserve"> 7.55x1.5x2.4x0.297=</v>
      </c>
      <c r="C179" s="602"/>
      <c r="D179" s="603"/>
      <c r="E179" s="511">
        <f>ROUND(b*hs*gc*I38,2)</f>
        <v>8.08</v>
      </c>
      <c r="F179" s="641">
        <f>hs/2</f>
        <v>0.75</v>
      </c>
      <c r="G179" s="642"/>
      <c r="H179" s="35"/>
      <c r="I179" s="643">
        <f t="shared" si="8"/>
        <v>6.0600000000000005</v>
      </c>
      <c r="J179" s="644"/>
      <c r="K179" s="483"/>
      <c r="P179" s="48"/>
      <c r="Q179" s="647"/>
      <c r="R179" s="647"/>
      <c r="S179" s="647"/>
      <c r="T179" s="47"/>
      <c r="U179" s="648"/>
      <c r="V179" s="648"/>
      <c r="W179" s="41"/>
      <c r="X179" s="653"/>
      <c r="Y179" s="653"/>
      <c r="Z179" s="496"/>
      <c r="AA179" s="9"/>
      <c r="AB179" s="9"/>
      <c r="AC179" s="9"/>
      <c r="AD179" s="9"/>
      <c r="AE179" s="9"/>
      <c r="AF179" s="9"/>
    </row>
    <row r="180" spans="1:32" s="2" customFormat="1" ht="15.75" x14ac:dyDescent="0.2">
      <c r="A180" s="34" t="s">
        <v>210</v>
      </c>
      <c r="B180" s="601" t="str">
        <f>" "&amp;br&amp;"x"&amp;(hw-0.5)&amp;"x"&amp;ROUND(gnor,2)&amp;"x"&amp;ROUND(I38,3)&amp;"="</f>
        <v xml:space="preserve"> 1x6.6x1.8x0.297=</v>
      </c>
      <c r="C180" s="602"/>
      <c r="D180" s="603"/>
      <c r="E180" s="511">
        <f>br*(hw-0.5)*gnor*I38</f>
        <v>3.5323199999999999</v>
      </c>
      <c r="F180" s="641">
        <f>hs+(hw-0.5)/2</f>
        <v>4.8</v>
      </c>
      <c r="G180" s="642"/>
      <c r="H180" s="35"/>
      <c r="I180" s="643">
        <f t="shared" si="8"/>
        <v>16.955136</v>
      </c>
      <c r="J180" s="644"/>
      <c r="K180" s="483"/>
      <c r="N180" s="70"/>
      <c r="P180" s="48"/>
      <c r="Q180" s="496"/>
      <c r="R180" s="496"/>
      <c r="S180" s="496"/>
      <c r="T180" s="47"/>
      <c r="U180" s="492"/>
      <c r="V180" s="492"/>
      <c r="W180" s="41"/>
      <c r="X180" s="508"/>
      <c r="Y180" s="508"/>
      <c r="Z180" s="496"/>
      <c r="AA180" s="9"/>
      <c r="AB180" s="9"/>
      <c r="AC180" s="9"/>
      <c r="AD180" s="9"/>
      <c r="AE180" s="9"/>
      <c r="AF180" s="9"/>
    </row>
    <row r="181" spans="1:32" s="2" customFormat="1" ht="15.75" x14ac:dyDescent="0.2">
      <c r="A181" s="34" t="s">
        <v>211</v>
      </c>
      <c r="B181" s="601" t="str">
        <f>" "&amp;ROUND(TAN(beta/180*PI())*(hw-0.5),2)&amp;"x"&amp;(hw-0.5)&amp;"x"&amp;ROUND(gnor,2)&amp;"x"&amp;ROUND(I38,3)&amp;"/2="</f>
        <v xml:space="preserve"> 3.3x6.6x1.8x0.297/2=</v>
      </c>
      <c r="C181" s="602"/>
      <c r="D181" s="603"/>
      <c r="E181" s="511">
        <f>TAN(beta/180*PI())*(hw-0.5)*(hw-0.5)*0.5*gnor*I38</f>
        <v>5.8283279999999991</v>
      </c>
      <c r="F181" s="641">
        <f>hs+(hw-0.5)/3*2</f>
        <v>5.8999999999999995</v>
      </c>
      <c r="G181" s="642"/>
      <c r="H181" s="35"/>
      <c r="I181" s="643">
        <f t="shared" si="8"/>
        <v>34.387135199999989</v>
      </c>
      <c r="J181" s="644"/>
      <c r="K181" s="483"/>
      <c r="P181" s="48"/>
      <c r="Q181" s="496"/>
      <c r="R181" s="496"/>
      <c r="S181" s="496"/>
      <c r="T181" s="47"/>
      <c r="U181" s="492"/>
      <c r="V181" s="492"/>
      <c r="W181" s="41"/>
      <c r="X181" s="508"/>
      <c r="Y181" s="508"/>
      <c r="Z181" s="496"/>
      <c r="AA181" s="9"/>
      <c r="AB181" s="9"/>
      <c r="AC181" s="9"/>
      <c r="AD181" s="9"/>
      <c r="AE181" s="9"/>
      <c r="AF181" s="9"/>
    </row>
    <row r="182" spans="1:32" s="193" customFormat="1" ht="15.75" x14ac:dyDescent="0.2">
      <c r="A182" s="327" t="s">
        <v>80</v>
      </c>
      <c r="B182" s="634" t="str">
        <f>" "&amp;ROUND(MAX(J82:K85),3)&amp;"x"&amp;(h-0.5)&amp;"²x"&amp;ROUND(gnor,2)&amp;"x"&amp;ROUND(I38,3)&amp;"/2="</f>
        <v xml:space="preserve"> 2.719x8.1²x1.8x0.297/2=</v>
      </c>
      <c r="C182" s="635"/>
      <c r="D182" s="636"/>
      <c r="E182" s="511">
        <f>(MAX(J82:K85))*(h-0.5)^2*(gnor)*I38/2</f>
        <v>47.73647426993633</v>
      </c>
      <c r="F182" s="637">
        <f>2*((hw-0.5+hs)/3)</f>
        <v>5.3999999999999995</v>
      </c>
      <c r="G182" s="638"/>
      <c r="H182" s="328"/>
      <c r="I182" s="639">
        <f t="shared" si="8"/>
        <v>257.77696105765614</v>
      </c>
      <c r="J182" s="640"/>
      <c r="K182" s="503"/>
      <c r="P182" s="183"/>
      <c r="Q182" s="654"/>
      <c r="R182" s="654"/>
      <c r="S182" s="654"/>
      <c r="T182" s="181"/>
      <c r="U182" s="655"/>
      <c r="V182" s="655"/>
      <c r="W182" s="505"/>
      <c r="X182" s="665"/>
      <c r="Y182" s="665"/>
      <c r="Z182" s="493"/>
      <c r="AA182" s="168"/>
      <c r="AB182" s="168"/>
      <c r="AC182" s="168"/>
      <c r="AD182" s="168"/>
      <c r="AE182" s="168"/>
      <c r="AF182" s="168"/>
    </row>
    <row r="183" spans="1:32" s="193" customFormat="1" ht="15.75" x14ac:dyDescent="0.3">
      <c r="A183" s="506" t="s">
        <v>330</v>
      </c>
      <c r="B183" s="698" t="str">
        <f>+B121</f>
        <v xml:space="preserve"> 3.4x0x2.4+3.4x3.4/2/2x2x2.4=</v>
      </c>
      <c r="C183" s="699"/>
      <c r="D183" s="700"/>
      <c r="E183" s="511">
        <f>+E121</f>
        <v>13.871999999999998</v>
      </c>
      <c r="F183" s="642">
        <f>+F121</f>
        <v>3.3499999999999996</v>
      </c>
      <c r="G183" s="646"/>
      <c r="H183" s="346"/>
      <c r="I183" s="644">
        <f>E183*F183</f>
        <v>46.471199999999989</v>
      </c>
      <c r="J183" s="645"/>
      <c r="K183" s="345"/>
      <c r="P183" s="183"/>
      <c r="Q183" s="493"/>
      <c r="R183" s="493"/>
      <c r="S183" s="493"/>
      <c r="T183" s="181"/>
      <c r="U183" s="494"/>
      <c r="V183" s="494"/>
      <c r="W183" s="505"/>
      <c r="X183" s="495"/>
      <c r="Y183" s="495"/>
      <c r="Z183" s="493"/>
      <c r="AA183" s="168"/>
      <c r="AB183" s="168"/>
      <c r="AC183" s="168"/>
      <c r="AD183" s="168"/>
      <c r="AE183" s="168"/>
      <c r="AF183" s="168"/>
    </row>
    <row r="184" spans="1:32" s="193" customFormat="1" ht="15.75" x14ac:dyDescent="0.2">
      <c r="A184" s="34" t="s">
        <v>212</v>
      </c>
      <c r="B184" s="601" t="str">
        <f>" "&amp;ROUND($J$87,3)&amp;"x"&amp;hs&amp;"x"&amp;$I$30&amp;"x"&amp;gnor&amp;"="</f>
        <v xml:space="preserve"> 2.671x1.5x3.4x1.8=</v>
      </c>
      <c r="C184" s="602"/>
      <c r="D184" s="603"/>
      <c r="E184" s="511">
        <f>gnor*$J$87*hs*$I$30</f>
        <v>24.519974254864334</v>
      </c>
      <c r="F184" s="642">
        <f>$I$30/2</f>
        <v>1.7</v>
      </c>
      <c r="G184" s="646"/>
      <c r="H184" s="346"/>
      <c r="I184" s="644">
        <f>E184*F184</f>
        <v>41.683956233269363</v>
      </c>
      <c r="J184" s="645"/>
      <c r="K184" s="483"/>
      <c r="P184" s="183"/>
      <c r="Q184" s="493"/>
      <c r="R184" s="493"/>
      <c r="S184" s="493"/>
      <c r="T184" s="181"/>
      <c r="U184" s="494"/>
      <c r="V184" s="494"/>
      <c r="W184" s="505"/>
      <c r="X184" s="495"/>
      <c r="Y184" s="495"/>
      <c r="Z184" s="493"/>
      <c r="AA184" s="168"/>
      <c r="AB184" s="168"/>
      <c r="AC184" s="168"/>
      <c r="AD184" s="168"/>
      <c r="AE184" s="168"/>
      <c r="AF184" s="168"/>
    </row>
    <row r="185" spans="1:32" s="193" customFormat="1" ht="15.75" x14ac:dyDescent="0.3">
      <c r="A185" s="438" t="s">
        <v>213</v>
      </c>
      <c r="B185" s="746" t="str">
        <f>" "&amp;ROUND($J$87,3)&amp;"x"&amp;$I$30&amp;"x"&amp;$I$30&amp;"x"&amp;gnor&amp;"/2="</f>
        <v xml:space="preserve"> 2.671x3.4x3.4x1.8/2=</v>
      </c>
      <c r="C185" s="747"/>
      <c r="D185" s="748"/>
      <c r="E185" s="466">
        <f>$J$87*$I$30*$I$30*gnor/2</f>
        <v>27.789304155512909</v>
      </c>
      <c r="F185" s="749">
        <f>$I$30*2/3</f>
        <v>2.2666666666666666</v>
      </c>
      <c r="G185" s="750"/>
      <c r="H185" s="440"/>
      <c r="I185" s="751">
        <f>E185*F185</f>
        <v>62.989089419162589</v>
      </c>
      <c r="J185" s="752"/>
      <c r="K185" s="488"/>
      <c r="N185" s="347"/>
      <c r="P185" s="183"/>
      <c r="Q185" s="493"/>
      <c r="R185" s="493"/>
      <c r="S185" s="493"/>
      <c r="T185" s="181"/>
      <c r="U185" s="494"/>
      <c r="V185" s="494"/>
      <c r="W185" s="505"/>
      <c r="X185" s="495"/>
      <c r="Y185" s="495"/>
      <c r="Z185" s="493"/>
      <c r="AA185" s="168"/>
      <c r="AB185" s="168"/>
      <c r="AC185" s="168"/>
      <c r="AD185" s="168"/>
      <c r="AE185" s="168"/>
      <c r="AF185" s="168"/>
    </row>
    <row r="186" spans="1:32" s="193" customFormat="1" ht="15.75" x14ac:dyDescent="0.3">
      <c r="A186" s="439" t="s">
        <v>333</v>
      </c>
      <c r="B186" s="661"/>
      <c r="C186" s="661"/>
      <c r="D186" s="661"/>
      <c r="E186" s="463">
        <f>+'depremli durum ankraj'!I56</f>
        <v>0</v>
      </c>
      <c r="F186" s="642">
        <f>+b/2</f>
        <v>3.7749999999999999</v>
      </c>
      <c r="G186" s="646"/>
      <c r="H186" s="346"/>
      <c r="I186" s="645">
        <f>+E186*F186</f>
        <v>0</v>
      </c>
      <c r="J186" s="645"/>
      <c r="K186" s="483"/>
      <c r="N186" s="347"/>
      <c r="P186" s="183"/>
      <c r="Q186" s="493"/>
      <c r="R186" s="493"/>
      <c r="S186" s="493"/>
      <c r="T186" s="181"/>
      <c r="U186" s="494"/>
      <c r="V186" s="494"/>
      <c r="W186" s="505"/>
      <c r="X186" s="495"/>
      <c r="Y186" s="495"/>
      <c r="Z186" s="493"/>
      <c r="AA186" s="168"/>
      <c r="AB186" s="168"/>
      <c r="AC186" s="168"/>
      <c r="AD186" s="168"/>
      <c r="AE186" s="168"/>
      <c r="AF186" s="168"/>
    </row>
    <row r="187" spans="1:32" s="2" customFormat="1" ht="12.75" x14ac:dyDescent="0.2">
      <c r="A187" s="48"/>
      <c r="B187" s="496"/>
      <c r="C187" s="496"/>
      <c r="D187" s="496"/>
      <c r="E187" s="181"/>
      <c r="F187" s="492"/>
      <c r="G187" s="492"/>
      <c r="H187" s="41"/>
      <c r="I187" s="508"/>
      <c r="J187" s="508"/>
      <c r="K187" s="496"/>
      <c r="P187" s="48"/>
      <c r="Q187" s="496"/>
      <c r="R187" s="496"/>
      <c r="S187" s="496"/>
      <c r="T187" s="47"/>
      <c r="U187" s="492"/>
      <c r="V187" s="492"/>
      <c r="W187" s="41"/>
      <c r="X187" s="508"/>
      <c r="Y187" s="508"/>
      <c r="Z187" s="496"/>
      <c r="AA187" s="9"/>
      <c r="AB187" s="9"/>
      <c r="AC187" s="9"/>
      <c r="AD187" s="9"/>
      <c r="AE187" s="9"/>
      <c r="AF187" s="9"/>
    </row>
    <row r="188" spans="1:32" s="2" customFormat="1" x14ac:dyDescent="0.2">
      <c r="A188" s="22" t="s">
        <v>71</v>
      </c>
      <c r="B188" s="8"/>
      <c r="C188" s="8"/>
      <c r="D188" s="37"/>
      <c r="E188" s="465"/>
      <c r="F188" s="8"/>
      <c r="G188" s="8"/>
      <c r="H188" s="16"/>
      <c r="K188" s="8"/>
      <c r="P188" s="48"/>
      <c r="Q188" s="647"/>
      <c r="R188" s="647"/>
      <c r="S188" s="647"/>
      <c r="T188" s="47"/>
      <c r="U188" s="648"/>
      <c r="V188" s="648"/>
      <c r="W188" s="41"/>
      <c r="X188" s="653"/>
      <c r="Y188" s="653"/>
      <c r="Z188" s="496"/>
      <c r="AA188" s="9"/>
      <c r="AB188" s="9"/>
      <c r="AC188" s="9"/>
      <c r="AD188" s="9"/>
      <c r="AE188" s="9"/>
      <c r="AF188" s="9"/>
    </row>
    <row r="189" spans="1:32" s="2" customFormat="1" ht="29.25" customHeight="1" x14ac:dyDescent="0.25">
      <c r="A189" s="632"/>
      <c r="B189" s="632"/>
      <c r="C189" s="633"/>
      <c r="D189" s="633"/>
      <c r="E189" s="464"/>
      <c r="F189" s="39"/>
      <c r="G189" s="496"/>
      <c r="H189" s="41"/>
      <c r="I189" s="9"/>
      <c r="J189" s="9"/>
      <c r="K189" s="496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  <c r="AA189" s="9"/>
      <c r="AB189" s="9"/>
      <c r="AC189" s="9"/>
      <c r="AD189" s="9"/>
      <c r="AE189" s="9"/>
      <c r="AF189" s="9"/>
    </row>
    <row r="190" spans="1:32" s="2" customFormat="1" ht="19.5" customHeight="1" x14ac:dyDescent="0.2">
      <c r="A190" s="9"/>
      <c r="B190" s="42"/>
      <c r="C190" s="9"/>
      <c r="D190" s="43"/>
      <c r="E190" s="464"/>
      <c r="F190" s="496"/>
      <c r="G190" s="496"/>
      <c r="H190" s="41"/>
      <c r="I190" s="9"/>
      <c r="J190" s="9"/>
      <c r="K190" s="496"/>
      <c r="N190" s="70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  <c r="AA190" s="9"/>
      <c r="AB190" s="9"/>
      <c r="AC190" s="9"/>
      <c r="AD190" s="9"/>
      <c r="AE190" s="9"/>
      <c r="AF190" s="9"/>
    </row>
    <row r="191" spans="1:32" s="2" customFormat="1" ht="19.5" customHeight="1" x14ac:dyDescent="0.2">
      <c r="A191" s="496"/>
      <c r="B191" s="496"/>
      <c r="C191" s="496"/>
      <c r="D191" s="44"/>
      <c r="E191" s="465"/>
      <c r="F191" s="8"/>
      <c r="G191" s="8"/>
      <c r="H191" s="16"/>
      <c r="K191" s="8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  <c r="AA191" s="9"/>
      <c r="AB191" s="9"/>
      <c r="AC191" s="9"/>
      <c r="AD191" s="9"/>
      <c r="AE191" s="9"/>
      <c r="AF191" s="9"/>
    </row>
    <row r="192" spans="1:32" s="2" customFormat="1" ht="15" x14ac:dyDescent="0.25">
      <c r="A192" s="8"/>
      <c r="B192" s="8"/>
      <c r="C192" s="39"/>
      <c r="D192" s="37"/>
      <c r="E192" s="465"/>
      <c r="F192" s="8"/>
      <c r="G192" s="8"/>
      <c r="H192" s="16"/>
      <c r="K192" s="8"/>
      <c r="N192" s="70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  <c r="AA192" s="9"/>
      <c r="AB192" s="9"/>
      <c r="AC192" s="9"/>
      <c r="AD192" s="9"/>
      <c r="AE192" s="9"/>
      <c r="AF192" s="9"/>
    </row>
    <row r="193" spans="1:32" s="2" customFormat="1" ht="28.5" customHeight="1" x14ac:dyDescent="0.2">
      <c r="A193" s="484"/>
      <c r="B193" s="649"/>
      <c r="C193" s="649"/>
      <c r="D193" s="46" t="s">
        <v>72</v>
      </c>
      <c r="E193" s="181">
        <f>IF(B194&lt;b/6,SUM(E171:E175)/b*(1+6*B194/b),2/3*SUM(E171:E175)/(b/2-B194))</f>
        <v>-1159.0196845290018</v>
      </c>
      <c r="F193" s="48" t="s">
        <v>25</v>
      </c>
      <c r="G193" s="48" t="str">
        <f>IF(E193&lt;I193,"&lt;","&gt;")</f>
        <v>&lt;</v>
      </c>
      <c r="H193" s="46" t="s">
        <v>75</v>
      </c>
      <c r="I193" s="49">
        <f>I49</f>
        <v>400</v>
      </c>
      <c r="J193" s="48" t="s">
        <v>25</v>
      </c>
      <c r="K193" s="50" t="str">
        <f>IF(G193="&lt;","O.K.","not O.K.")</f>
        <v>O.K.</v>
      </c>
      <c r="N193" s="70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  <c r="AA193" s="9"/>
      <c r="AB193" s="9"/>
      <c r="AC193" s="9"/>
      <c r="AD193" s="9"/>
      <c r="AE193" s="9"/>
      <c r="AF193" s="9"/>
    </row>
    <row r="194" spans="1:32" s="2" customFormat="1" ht="18" x14ac:dyDescent="0.2">
      <c r="A194" s="502">
        <f>((SUM(I171:J175))-(SUM(I176:J182)))/(SUM(E171:E175))</f>
        <v>-6.0941156515994237E-2</v>
      </c>
      <c r="B194" s="643">
        <f>b/2-A194</f>
        <v>3.835941156515994</v>
      </c>
      <c r="C194" s="643"/>
      <c r="D194" s="46" t="s">
        <v>73</v>
      </c>
      <c r="E194" s="181">
        <f>IF(B194&lt;b/6,SUM(E171:E175)/b*(1-6*B194/b),0)</f>
        <v>0</v>
      </c>
      <c r="F194" s="48" t="s">
        <v>25</v>
      </c>
      <c r="G194" s="48" t="str">
        <f>IF(E194&lt;I194,"&lt;","&gt;")</f>
        <v>&gt;</v>
      </c>
      <c r="H194" s="46" t="s">
        <v>74</v>
      </c>
      <c r="I194" s="49">
        <v>0</v>
      </c>
      <c r="J194" s="48" t="s">
        <v>25</v>
      </c>
      <c r="K194" s="50" t="str">
        <f>IF(E194&lt;I194,"not O.K.","O.K.")</f>
        <v>O.K.</v>
      </c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  <c r="AA194" s="9"/>
      <c r="AB194" s="9"/>
      <c r="AC194" s="9"/>
      <c r="AD194" s="9"/>
      <c r="AE194" s="9"/>
      <c r="AF194" s="9"/>
    </row>
    <row r="195" spans="1:32" s="2" customFormat="1" ht="8.25" customHeight="1" x14ac:dyDescent="0.2">
      <c r="E195" s="193"/>
      <c r="I195" s="7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  <c r="AA195" s="9"/>
      <c r="AB195" s="9"/>
      <c r="AC195" s="9"/>
      <c r="AD195" s="9"/>
      <c r="AE195" s="9"/>
      <c r="AF195" s="9"/>
    </row>
    <row r="196" spans="1:32" s="2" customFormat="1" x14ac:dyDescent="0.2">
      <c r="A196" s="22" t="s">
        <v>69</v>
      </c>
      <c r="B196" s="28"/>
      <c r="C196" s="28"/>
      <c r="D196" s="28"/>
      <c r="E196" s="310"/>
      <c r="F196" s="28"/>
      <c r="G196" s="28"/>
      <c r="H196" s="29"/>
      <c r="I196" s="30"/>
      <c r="J196" s="28"/>
      <c r="K196" s="28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  <c r="AA196" s="9"/>
      <c r="AB196" s="9"/>
      <c r="AC196" s="9"/>
      <c r="AD196" s="9"/>
      <c r="AE196" s="9"/>
      <c r="AF196" s="9"/>
    </row>
    <row r="197" spans="1:32" s="2" customFormat="1" ht="33" customHeight="1" x14ac:dyDescent="0.25">
      <c r="A197" s="650" t="s">
        <v>64</v>
      </c>
      <c r="B197" s="650"/>
      <c r="C197" s="650" t="s">
        <v>65</v>
      </c>
      <c r="D197" s="650"/>
      <c r="E197" s="727"/>
      <c r="F197" s="728"/>
      <c r="G197" s="52"/>
      <c r="H197" s="53" t="s">
        <v>66</v>
      </c>
      <c r="I197" s="54"/>
      <c r="J197" s="28"/>
      <c r="K197" s="1"/>
    </row>
    <row r="198" spans="1:32" s="2" customFormat="1" ht="12.75" x14ac:dyDescent="0.2">
      <c r="A198" s="621">
        <f>SUM(I171:J175)</f>
        <v>462.31849999999991</v>
      </c>
      <c r="B198" s="621"/>
      <c r="C198" s="621">
        <f>SUM(I176:J182)</f>
        <v>468.77509365055647</v>
      </c>
      <c r="D198" s="621"/>
      <c r="E198" s="622">
        <f>A198/C198</f>
        <v>0.98622667087477656</v>
      </c>
      <c r="F198" s="624"/>
      <c r="G198" s="4" t="str">
        <f>IF(E198&lt;H198,"&lt;","&gt;")</f>
        <v>&lt;</v>
      </c>
      <c r="H198" s="76">
        <v>1.2</v>
      </c>
      <c r="I198" s="5" t="str">
        <f>IF(G198="&gt;","O.K.","not O.K.")</f>
        <v>not O.K.</v>
      </c>
      <c r="J198" s="7"/>
      <c r="K198" s="7"/>
    </row>
    <row r="199" spans="1:32" s="2" customFormat="1" ht="12.75" hidden="1" customHeight="1" x14ac:dyDescent="0.2">
      <c r="A199" s="622">
        <f>+A198+I186</f>
        <v>462.31849999999991</v>
      </c>
      <c r="B199" s="623"/>
      <c r="C199" s="621">
        <f>+C198</f>
        <v>468.77509365055647</v>
      </c>
      <c r="D199" s="621"/>
      <c r="E199" s="622">
        <f>A199/C199</f>
        <v>0.98622667087477656</v>
      </c>
      <c r="F199" s="624"/>
      <c r="G199" s="4" t="str">
        <f>IF(E199&lt;H199,"&lt;","&gt;")</f>
        <v>&lt;</v>
      </c>
      <c r="H199" s="76">
        <v>1.2</v>
      </c>
      <c r="I199" s="5" t="str">
        <f>IF(G199="&gt;","O.K.","not O.K.")</f>
        <v>not O.K.</v>
      </c>
      <c r="J199" s="28" t="s">
        <v>327</v>
      </c>
      <c r="K199" s="28"/>
    </row>
    <row r="200" spans="1:32" s="2" customFormat="1" ht="15" customHeight="1" x14ac:dyDescent="0.2">
      <c r="A200" s="28"/>
      <c r="B200" s="28"/>
      <c r="C200" s="28"/>
      <c r="D200" s="28"/>
      <c r="E200" s="310"/>
      <c r="F200" s="28"/>
      <c r="G200" s="28"/>
      <c r="H200" s="29"/>
      <c r="I200" s="30"/>
      <c r="J200" s="28"/>
      <c r="K200" s="28"/>
    </row>
    <row r="201" spans="1:32" s="2" customFormat="1" x14ac:dyDescent="0.2">
      <c r="A201" s="22" t="s">
        <v>70</v>
      </c>
      <c r="B201" s="28"/>
      <c r="C201" s="28"/>
      <c r="D201" s="28"/>
      <c r="E201" s="310"/>
      <c r="F201" s="28"/>
      <c r="G201" s="28"/>
      <c r="H201" s="29"/>
      <c r="I201" s="30"/>
      <c r="J201" s="28"/>
      <c r="K201" s="28"/>
    </row>
    <row r="202" spans="1:32" s="2" customFormat="1" ht="31.5" customHeight="1" x14ac:dyDescent="0.2">
      <c r="A202" s="650" t="s">
        <v>67</v>
      </c>
      <c r="B202" s="650"/>
      <c r="C202" s="650" t="s">
        <v>68</v>
      </c>
      <c r="D202" s="650"/>
      <c r="E202" s="294" t="s">
        <v>11</v>
      </c>
      <c r="F202" s="741"/>
      <c r="G202" s="742"/>
      <c r="H202" s="53"/>
      <c r="I202" s="53" t="s">
        <v>66</v>
      </c>
      <c r="J202" s="56"/>
      <c r="K202" s="10"/>
    </row>
    <row r="203" spans="1:32" s="2" customFormat="1" ht="12.75" x14ac:dyDescent="0.2">
      <c r="A203" s="621">
        <f>SUM(E176:E182)-E184-E185</f>
        <v>61.459489807546859</v>
      </c>
      <c r="B203" s="621"/>
      <c r="C203" s="621">
        <f>SUM(E171:E175)</f>
        <v>105.94799999999998</v>
      </c>
      <c r="D203" s="621"/>
      <c r="E203" s="298">
        <f>I47</f>
        <v>0.65</v>
      </c>
      <c r="F203" s="622">
        <f>C203*E203/A203</f>
        <v>1.1205136947222694</v>
      </c>
      <c r="G203" s="624"/>
      <c r="H203" s="4" t="str">
        <f>IF(F203&lt;I203,"&lt;","&gt;")</f>
        <v>&lt;</v>
      </c>
      <c r="I203" s="76">
        <v>1.2</v>
      </c>
      <c r="J203" s="5" t="str">
        <f>IF(H203="&gt;","O.K.","not O.K.")</f>
        <v>not O.K.</v>
      </c>
      <c r="K203" s="8"/>
    </row>
    <row r="204" spans="1:32" s="2" customFormat="1" ht="12.75" hidden="1" customHeight="1" x14ac:dyDescent="0.2">
      <c r="A204" s="643">
        <f>+A203</f>
        <v>61.459489807546859</v>
      </c>
      <c r="B204" s="643"/>
      <c r="C204" s="643">
        <f>+C203+E186</f>
        <v>105.94799999999998</v>
      </c>
      <c r="D204" s="643"/>
      <c r="E204" s="298">
        <f>I47</f>
        <v>0.65</v>
      </c>
      <c r="F204" s="622">
        <f>C204*E204/A204</f>
        <v>1.1205136947222694</v>
      </c>
      <c r="G204" s="624"/>
      <c r="H204" s="4" t="str">
        <f>IF(F204&lt;I204,"&lt;","&gt;")</f>
        <v>&lt;</v>
      </c>
      <c r="I204" s="76">
        <v>1.2</v>
      </c>
      <c r="J204" s="5" t="str">
        <f>IF(H204="&gt;","O.K.","not O.K.")</f>
        <v>not O.K.</v>
      </c>
      <c r="K204" s="8" t="s">
        <v>327</v>
      </c>
    </row>
    <row r="205" spans="1:32" s="2" customFormat="1" ht="9.75" customHeight="1" x14ac:dyDescent="0.2">
      <c r="A205" s="28"/>
      <c r="B205" s="28"/>
      <c r="C205" s="28"/>
      <c r="D205" s="28"/>
      <c r="E205" s="310"/>
      <c r="F205" s="28"/>
      <c r="G205" s="28"/>
      <c r="H205" s="29"/>
      <c r="I205" s="30"/>
      <c r="J205" s="28"/>
      <c r="K205" s="28"/>
    </row>
    <row r="206" spans="1:32" s="2" customFormat="1" ht="9.75" customHeight="1" x14ac:dyDescent="0.2">
      <c r="A206" s="28"/>
      <c r="B206" s="28"/>
      <c r="C206" s="28"/>
      <c r="D206" s="28"/>
      <c r="E206" s="310"/>
      <c r="F206" s="28"/>
      <c r="G206" s="28"/>
      <c r="H206" s="29"/>
      <c r="I206" s="30"/>
      <c r="J206" s="28"/>
      <c r="K206" s="28"/>
    </row>
    <row r="207" spans="1:32" s="2" customFormat="1" ht="15" x14ac:dyDescent="0.25">
      <c r="A207" s="715" t="s">
        <v>343</v>
      </c>
      <c r="B207" s="715"/>
      <c r="C207" s="715"/>
      <c r="D207" s="715"/>
      <c r="E207" s="715"/>
      <c r="F207" s="715"/>
      <c r="G207" s="715"/>
      <c r="H207" s="715"/>
      <c r="I207" s="715"/>
      <c r="J207" s="715"/>
      <c r="K207" s="715"/>
    </row>
    <row r="208" spans="1:32" s="2" customFormat="1" x14ac:dyDescent="0.2">
      <c r="A208" s="28"/>
      <c r="B208" s="28"/>
      <c r="C208" s="28"/>
      <c r="D208" s="28"/>
      <c r="E208" s="310"/>
      <c r="F208" s="28"/>
      <c r="G208" s="28"/>
      <c r="H208" s="28"/>
      <c r="I208" s="28"/>
      <c r="J208" s="28"/>
      <c r="K208" s="28"/>
    </row>
    <row r="209" spans="1:11" s="2" customFormat="1" ht="26.25" customHeight="1" x14ac:dyDescent="0.2">
      <c r="A209" s="28"/>
      <c r="B209" s="28"/>
      <c r="C209" s="28"/>
      <c r="D209" s="28"/>
      <c r="E209" s="310"/>
      <c r="F209" s="28"/>
      <c r="G209" s="28"/>
      <c r="H209" s="29"/>
      <c r="I209" s="30"/>
      <c r="J209" s="28"/>
      <c r="K209" s="28"/>
    </row>
    <row r="210" spans="1:11" s="2" customFormat="1" ht="26.25" customHeight="1" x14ac:dyDescent="0.2">
      <c r="A210" s="28"/>
      <c r="B210" s="28"/>
      <c r="C210" s="28"/>
      <c r="D210" s="28"/>
      <c r="E210" s="310"/>
      <c r="F210" s="28"/>
      <c r="G210" s="28"/>
      <c r="H210" s="29"/>
      <c r="I210" s="30"/>
      <c r="J210" s="28"/>
      <c r="K210" s="28"/>
    </row>
    <row r="211" spans="1:11" s="2" customFormat="1" x14ac:dyDescent="0.2">
      <c r="A211" s="28"/>
      <c r="B211" s="28"/>
      <c r="C211" s="28"/>
      <c r="D211" s="28"/>
      <c r="E211" s="310"/>
      <c r="F211" s="28"/>
      <c r="G211" s="28"/>
      <c r="H211" s="29"/>
      <c r="I211" s="30"/>
      <c r="J211" s="28"/>
      <c r="K211" s="28"/>
    </row>
    <row r="212" spans="1:11" s="2" customFormat="1" x14ac:dyDescent="0.2">
      <c r="A212" s="28"/>
      <c r="B212" s="28"/>
      <c r="C212" s="28"/>
      <c r="D212" s="28"/>
      <c r="E212" s="310"/>
      <c r="F212" s="28"/>
      <c r="G212" s="28"/>
      <c r="H212" s="29"/>
      <c r="I212" s="30"/>
      <c r="J212" s="28"/>
      <c r="K212" s="28"/>
    </row>
    <row r="213" spans="1:11" s="2" customFormat="1" x14ac:dyDescent="0.2">
      <c r="A213" s="28"/>
      <c r="B213" s="28"/>
      <c r="C213" s="28"/>
      <c r="D213" s="28"/>
      <c r="E213" s="310"/>
      <c r="F213" s="28"/>
      <c r="G213" s="28"/>
      <c r="H213" s="29"/>
      <c r="I213" s="30"/>
      <c r="J213" s="28"/>
      <c r="K213" s="28"/>
    </row>
    <row r="214" spans="1:11" s="2" customFormat="1" x14ac:dyDescent="0.2">
      <c r="A214" s="28"/>
      <c r="B214" s="28"/>
      <c r="C214" s="28"/>
      <c r="D214" s="28"/>
      <c r="E214" s="310"/>
      <c r="F214" s="28"/>
      <c r="G214" s="28"/>
      <c r="H214" s="29"/>
      <c r="I214" s="30"/>
      <c r="J214" s="28"/>
      <c r="K214" s="28"/>
    </row>
    <row r="215" spans="1:11" s="2" customFormat="1" x14ac:dyDescent="0.2">
      <c r="A215" s="28"/>
      <c r="B215" s="28"/>
      <c r="C215" s="28"/>
      <c r="D215" s="28"/>
      <c r="E215" s="310"/>
      <c r="F215" s="28"/>
      <c r="G215" s="28"/>
      <c r="H215" s="29"/>
      <c r="I215" s="30"/>
      <c r="J215" s="28"/>
      <c r="K215" s="28"/>
    </row>
    <row r="216" spans="1:11" s="2" customFormat="1" x14ac:dyDescent="0.2">
      <c r="A216" s="28"/>
      <c r="B216" s="28"/>
      <c r="C216" s="28"/>
      <c r="D216" s="28"/>
      <c r="E216" s="310"/>
      <c r="F216" s="28"/>
      <c r="G216" s="28"/>
      <c r="H216" s="29"/>
      <c r="I216" s="30"/>
      <c r="J216" s="28"/>
      <c r="K216" s="28"/>
    </row>
    <row r="217" spans="1:11" s="2" customFormat="1" x14ac:dyDescent="0.2">
      <c r="A217" s="28"/>
      <c r="B217" s="28"/>
      <c r="C217" s="28"/>
      <c r="D217" s="28"/>
      <c r="E217" s="310"/>
      <c r="F217" s="28"/>
      <c r="G217" s="28"/>
      <c r="H217" s="29"/>
      <c r="I217" s="30"/>
      <c r="J217" s="28"/>
      <c r="K217" s="28"/>
    </row>
    <row r="218" spans="1:11" s="2" customFormat="1" x14ac:dyDescent="0.2">
      <c r="A218" s="28"/>
      <c r="B218" s="28"/>
      <c r="C218" s="28"/>
      <c r="D218" s="28"/>
      <c r="E218" s="310"/>
      <c r="F218" s="28"/>
      <c r="G218" s="28"/>
      <c r="H218" s="29"/>
      <c r="I218" s="30"/>
      <c r="J218" s="28"/>
      <c r="K218" s="28"/>
    </row>
    <row r="219" spans="1:11" s="2" customFormat="1" x14ac:dyDescent="0.2">
      <c r="A219" s="28"/>
      <c r="B219" s="28"/>
      <c r="C219" s="28"/>
      <c r="D219" s="28"/>
      <c r="E219" s="310"/>
      <c r="F219" s="28"/>
      <c r="G219" s="28"/>
      <c r="H219" s="29"/>
      <c r="I219" s="30"/>
      <c r="J219" s="28"/>
      <c r="K219" s="28"/>
    </row>
    <row r="220" spans="1:11" s="2" customFormat="1" x14ac:dyDescent="0.2">
      <c r="A220" s="28"/>
      <c r="B220" s="28"/>
      <c r="C220" s="28"/>
      <c r="D220" s="28"/>
      <c r="E220" s="310"/>
      <c r="F220" s="28"/>
      <c r="G220" s="28"/>
      <c r="H220" s="29"/>
      <c r="I220" s="30"/>
      <c r="J220" s="28"/>
      <c r="K220" s="28"/>
    </row>
    <row r="221" spans="1:11" s="2" customFormat="1" x14ac:dyDescent="0.2">
      <c r="A221" s="28"/>
      <c r="B221" s="28"/>
      <c r="C221" s="28"/>
      <c r="D221" s="28"/>
      <c r="E221" s="310"/>
      <c r="F221" s="28"/>
      <c r="G221" s="28"/>
      <c r="H221" s="29"/>
      <c r="I221" s="30"/>
      <c r="J221" s="28"/>
      <c r="K221" s="28"/>
    </row>
    <row r="222" spans="1:11" s="2" customFormat="1" x14ac:dyDescent="0.2">
      <c r="A222" s="28"/>
      <c r="B222" s="28"/>
      <c r="C222" s="28"/>
      <c r="D222" s="28"/>
      <c r="E222" s="310"/>
      <c r="F222" s="28"/>
      <c r="G222" s="28"/>
      <c r="H222" s="29"/>
      <c r="I222" s="30"/>
      <c r="J222" s="28"/>
      <c r="K222" s="28"/>
    </row>
    <row r="223" spans="1:11" s="2" customFormat="1" x14ac:dyDescent="0.2">
      <c r="A223" s="28"/>
      <c r="B223" s="28"/>
      <c r="C223" s="28"/>
      <c r="D223" s="28"/>
      <c r="E223" s="310"/>
      <c r="F223" s="28"/>
      <c r="G223" s="28"/>
      <c r="H223" s="29"/>
      <c r="I223" s="30"/>
      <c r="J223" s="28"/>
      <c r="K223" s="28"/>
    </row>
    <row r="224" spans="1:11" s="2" customFormat="1" x14ac:dyDescent="0.2">
      <c r="A224" s="28"/>
      <c r="B224" s="28"/>
      <c r="C224" s="28"/>
      <c r="D224" s="28"/>
      <c r="E224" s="310"/>
      <c r="F224" s="28"/>
      <c r="G224" s="28"/>
      <c r="H224" s="29"/>
      <c r="I224" s="30"/>
      <c r="J224" s="28"/>
      <c r="K224" s="28"/>
    </row>
    <row r="225" spans="1:32" s="2" customFormat="1" x14ac:dyDescent="0.2">
      <c r="A225" s="28"/>
      <c r="B225" s="28"/>
      <c r="C225" s="28"/>
      <c r="D225" s="28"/>
      <c r="E225" s="310"/>
      <c r="F225" s="28"/>
      <c r="G225" s="28"/>
      <c r="H225" s="29"/>
      <c r="I225" s="30"/>
      <c r="J225" s="28"/>
      <c r="K225" s="28"/>
    </row>
    <row r="226" spans="1:32" s="2" customFormat="1" ht="28.5" customHeight="1" thickBot="1" x14ac:dyDescent="0.25">
      <c r="A226" s="627" t="s">
        <v>56</v>
      </c>
      <c r="B226" s="627"/>
      <c r="C226" s="627"/>
      <c r="D226" s="627"/>
      <c r="E226" s="627"/>
      <c r="F226" s="627" t="s">
        <v>54</v>
      </c>
      <c r="G226" s="627"/>
      <c r="H226" s="627"/>
      <c r="I226" s="628" t="s">
        <v>55</v>
      </c>
      <c r="J226" s="628"/>
      <c r="K226" s="628"/>
    </row>
    <row r="227" spans="1:32" s="2" customFormat="1" ht="16.5" thickTop="1" x14ac:dyDescent="0.2">
      <c r="A227" s="31" t="s">
        <v>57</v>
      </c>
      <c r="B227" s="629" t="str">
        <f>" "&amp;ROUND((bw-bt),2)&amp;"x"&amp;hw&amp;"x"&amp;gc&amp;"/2="</f>
        <v xml:space="preserve"> 3.55x7.1x2.4/2=</v>
      </c>
      <c r="C227" s="630"/>
      <c r="D227" s="631"/>
      <c r="E227" s="461">
        <f>(bw-bt)*hw*gc/2</f>
        <v>30.245999999999995</v>
      </c>
      <c r="F227" s="716">
        <f>(bw-bt)/3+bt+bf</f>
        <v>4.1833333333333336</v>
      </c>
      <c r="G227" s="717"/>
      <c r="H227" s="32"/>
      <c r="I227" s="617">
        <f>E227*F227</f>
        <v>126.52909999999999</v>
      </c>
      <c r="J227" s="618"/>
      <c r="K227" s="500"/>
    </row>
    <row r="228" spans="1:32" s="2" customFormat="1" ht="15.75" x14ac:dyDescent="0.2">
      <c r="A228" s="34" t="s">
        <v>58</v>
      </c>
      <c r="B228" s="601" t="str">
        <f>" " &amp;hw&amp; "x"&amp;bt&amp; "x"&amp;gc&amp;"="</f>
        <v xml:space="preserve"> 7.1x1x2.4=</v>
      </c>
      <c r="C228" s="602"/>
      <c r="D228" s="603"/>
      <c r="E228" s="511">
        <f>hw*bt*gc</f>
        <v>17.04</v>
      </c>
      <c r="F228" s="625">
        <f>bt*0.5+bf</f>
        <v>2.5</v>
      </c>
      <c r="G228" s="626"/>
      <c r="H228" s="35"/>
      <c r="I228" s="643">
        <f>E228*F228</f>
        <v>42.599999999999994</v>
      </c>
      <c r="J228" s="644"/>
      <c r="K228" s="483"/>
    </row>
    <row r="229" spans="1:32" s="2" customFormat="1" ht="15.75" x14ac:dyDescent="0.2">
      <c r="A229" s="34" t="s">
        <v>59</v>
      </c>
      <c r="B229" s="601" t="str">
        <f>" " &amp;ROUND(b,2)&amp;"x"&amp;hs&amp;"x"&amp;gc&amp;"="</f>
        <v xml:space="preserve"> 7.55x1.5x2.4=</v>
      </c>
      <c r="C229" s="602"/>
      <c r="D229" s="603"/>
      <c r="E229" s="511">
        <f>ROUND(b*hs*gc,2)</f>
        <v>27.18</v>
      </c>
      <c r="F229" s="625">
        <f>b/2</f>
        <v>3.7749999999999999</v>
      </c>
      <c r="G229" s="626"/>
      <c r="H229" s="35"/>
      <c r="I229" s="643">
        <f>E229*F229</f>
        <v>102.6045</v>
      </c>
      <c r="J229" s="644"/>
      <c r="K229" s="483"/>
    </row>
    <row r="230" spans="1:32" s="2" customFormat="1" ht="15.75" x14ac:dyDescent="0.2">
      <c r="A230" s="34" t="s">
        <v>60</v>
      </c>
      <c r="B230" s="601" t="str">
        <f>ROUND((hw-0.5-L54),2)&amp;"x"&amp;ROUND((b-bt-bf-0.5*TAN(beta/180*PI())-(hw-0.5-L54)*TAN(beta/180*PI())),2)&amp;"x"&amp;ROUND(gnor,2)&amp;" ="</f>
        <v>1.48x3.56x1.8 =</v>
      </c>
      <c r="C230" s="602"/>
      <c r="D230" s="603"/>
      <c r="E230" s="511">
        <f>(hw-0.5-L54)*(b-bt-bf-0.5*TAN(beta/180*PI())-(hw-0.5-L54)*TAN(beta/180*PI()))*gnor</f>
        <v>9.4838399999999989</v>
      </c>
      <c r="F230" s="625">
        <f>b-(b-bt-bf-0.5*TAN(beta/180*PI())-(hw-0.5-L54)*TAN(beta/180*PI()))/2</f>
        <v>5.77</v>
      </c>
      <c r="G230" s="626"/>
      <c r="H230" s="35"/>
      <c r="I230" s="643">
        <f t="shared" ref="I230:I236" si="9">E230*F230</f>
        <v>54.721756799999987</v>
      </c>
      <c r="J230" s="644"/>
      <c r="K230" s="483"/>
    </row>
    <row r="231" spans="1:32" s="2" customFormat="1" ht="15.75" x14ac:dyDescent="0.2">
      <c r="A231" s="34" t="s">
        <v>61</v>
      </c>
      <c r="B231" s="601" t="str">
        <f>ROUND((hw-0.5-L54),2)&amp;"x"&amp;ROUND((hw-0.5-L54)*TAN(beta/180*PI()),2)&amp;"/2x"&amp;ROUND(gnor,2)&amp;" ="</f>
        <v>1.48x0.74/2x1.8 =</v>
      </c>
      <c r="C231" s="602"/>
      <c r="D231" s="603"/>
      <c r="E231" s="511">
        <f>(hw-0.5-L54)*(hw-0.5-L54)*TAN(PI()/180*beta)/2*gnor</f>
        <v>0.98567999999999922</v>
      </c>
      <c r="F231" s="625">
        <f>b-(b-bt-bf-0.5*TAN(beta/180*PI())-(hw-0.5-L54)*TAN(beta/180*PI()))-(hw-0.5-L54)*TAN(PI()/180*beta)/3</f>
        <v>3.7433333333333332</v>
      </c>
      <c r="G231" s="626"/>
      <c r="H231" s="35"/>
      <c r="I231" s="643">
        <f>E231*F231</f>
        <v>3.689728799999997</v>
      </c>
      <c r="J231" s="644"/>
      <c r="K231" s="483"/>
    </row>
    <row r="232" spans="1:32" s="2" customFormat="1" ht="15.75" x14ac:dyDescent="0.2">
      <c r="A232" s="34" t="s">
        <v>83</v>
      </c>
      <c r="B232" s="601" t="str">
        <f>ROUND(L54,2)&amp;"x"&amp;br&amp;"x"&amp;ROUND(gdoy,2)&amp;" ="</f>
        <v>5.12x1x2 =</v>
      </c>
      <c r="C232" s="602"/>
      <c r="D232" s="603"/>
      <c r="E232" s="511">
        <f>L54*br*gdoy</f>
        <v>10.24</v>
      </c>
      <c r="F232" s="625">
        <f>b-br/2</f>
        <v>7.05</v>
      </c>
      <c r="G232" s="626"/>
      <c r="H232" s="35"/>
      <c r="I232" s="643">
        <f t="shared" si="9"/>
        <v>72.191999999999993</v>
      </c>
      <c r="J232" s="644"/>
      <c r="K232" s="483"/>
    </row>
    <row r="233" spans="1:32" s="2" customFormat="1" ht="15.75" x14ac:dyDescent="0.2">
      <c r="A233" s="34" t="s">
        <v>84</v>
      </c>
      <c r="B233" s="601" t="str">
        <f>ROUND(L54,2)&amp;"x"&amp;ROUND(L54*TAN(1/180*PI()*beta),2)&amp;"/2"&amp;"x"&amp;ROUND(gdoy,2)&amp;" ="</f>
        <v>5.12x2.56/2x2 =</v>
      </c>
      <c r="C233" s="602"/>
      <c r="D233" s="603"/>
      <c r="E233" s="511">
        <f>L54*L54*TAN(1/180*PI()*beta)/2*gdoy</f>
        <v>13.107199999999999</v>
      </c>
      <c r="F233" s="625">
        <f>L54*TAN(1/180*PI()*beta)*1/3*-1+bf+bw</f>
        <v>5.6966666666666672</v>
      </c>
      <c r="G233" s="626"/>
      <c r="H233" s="35"/>
      <c r="I233" s="643">
        <f>E233*F233</f>
        <v>74.667349333333334</v>
      </c>
      <c r="J233" s="644"/>
      <c r="K233" s="483"/>
    </row>
    <row r="234" spans="1:32" s="2" customFormat="1" ht="15.75" x14ac:dyDescent="0.2">
      <c r="A234" s="34" t="s">
        <v>87</v>
      </c>
      <c r="B234" s="601" t="str">
        <f>" "&amp;bf&amp;"x"&amp;ROUND(hsuf-hs,2)&amp;"x"&amp;gw&amp;"="</f>
        <v xml:space="preserve"> 2x5.12x1=</v>
      </c>
      <c r="C234" s="602"/>
      <c r="D234" s="603"/>
      <c r="E234" s="511">
        <f>bf*(hsuf-hs)*gw</f>
        <v>10.24</v>
      </c>
      <c r="F234" s="625">
        <f>bf/2</f>
        <v>1</v>
      </c>
      <c r="G234" s="626"/>
      <c r="H234" s="35"/>
      <c r="I234" s="643">
        <f>E234*F234</f>
        <v>10.24</v>
      </c>
      <c r="J234" s="644"/>
      <c r="K234" s="483"/>
    </row>
    <row r="235" spans="1:32" s="2" customFormat="1" ht="15" customHeight="1" x14ac:dyDescent="0.2">
      <c r="A235" s="34" t="s">
        <v>82</v>
      </c>
      <c r="B235" s="601" t="str">
        <f>" "&amp;ROUND(b,2)&amp;"x"&amp;hsuf&amp;"x"&amp;gw&amp;"="</f>
        <v xml:space="preserve"> 7.55x6.62x1=</v>
      </c>
      <c r="C235" s="602"/>
      <c r="D235" s="603"/>
      <c r="E235" s="511">
        <f>b*hsuf*gw</f>
        <v>49.981000000000002</v>
      </c>
      <c r="F235" s="625">
        <f>b/2</f>
        <v>3.7749999999999999</v>
      </c>
      <c r="G235" s="626"/>
      <c r="H235" s="35"/>
      <c r="I235" s="643">
        <f t="shared" si="9"/>
        <v>188.67827500000001</v>
      </c>
      <c r="J235" s="644"/>
      <c r="K235" s="483"/>
    </row>
    <row r="236" spans="1:32" s="2" customFormat="1" ht="15.75" x14ac:dyDescent="0.2">
      <c r="A236" s="220" t="s">
        <v>85</v>
      </c>
      <c r="B236" s="601" t="str">
        <f>" "&amp;ROUND(kas,3)&amp;"x"&amp;ROUND(h-0.5-hsuf,3)&amp;"²x"&amp;ROUND(gnor,2)&amp;"/2="</f>
        <v xml:space="preserve"> 0.585x1.48²x1.8/2=</v>
      </c>
      <c r="C236" s="602"/>
      <c r="D236" s="603"/>
      <c r="E236" s="511">
        <f>kas*(h-0.5-hsuf)^2*gnor/2</f>
        <v>1.1528542240949915</v>
      </c>
      <c r="F236" s="625">
        <f>(hw-0.5-L54)/3+L54+hs</f>
        <v>7.1133333333333333</v>
      </c>
      <c r="G236" s="626"/>
      <c r="H236" s="35"/>
      <c r="I236" s="643">
        <f t="shared" si="9"/>
        <v>8.2006363807290388</v>
      </c>
      <c r="J236" s="644"/>
      <c r="K236" s="483"/>
    </row>
    <row r="237" spans="1:32" s="2" customFormat="1" ht="15.75" x14ac:dyDescent="0.2">
      <c r="A237" s="34" t="s">
        <v>86</v>
      </c>
      <c r="B237" s="698" t="str">
        <f>ROUND(kas,3)&amp;"x"&amp;"("&amp;ROUND(gnor*(hw-0.5-L54),2)&amp;"+"&amp;ROUND((gnor*(hw-0.5-L54)+gdoy*hsuf),2)&amp;")"&amp;"/2"&amp;"x"&amp;hsuf&amp;" ="</f>
        <v>0.585x(2.66+15.9)/2x6.62 =</v>
      </c>
      <c r="C237" s="699"/>
      <c r="D237" s="700"/>
      <c r="E237" s="511">
        <f>kas*(gnor*(hw-0.5-L54)+(gnor*(hw-0.5-L54)+gdoy*hsuf))/2*hsuf</f>
        <v>35.941945074068734</v>
      </c>
      <c r="F237" s="753">
        <f>(gnor*(hw-0.5-L54)*hsuf^2/2+gdoy*hsuf*hsuf/2*hsuf/3)/(gnor*(hw-0.5-L54)*hsuf+gdoy*hsuf*hsuf/2)</f>
        <v>2.5232629613672266</v>
      </c>
      <c r="G237" s="753"/>
      <c r="H237" s="35"/>
      <c r="I237" s="643">
        <f>E237*F237</f>
        <v>90.690978764892876</v>
      </c>
      <c r="J237" s="644"/>
      <c r="K237" s="483"/>
    </row>
    <row r="238" spans="1:32" s="193" customFormat="1" ht="15.75" x14ac:dyDescent="0.3">
      <c r="A238" s="506" t="s">
        <v>330</v>
      </c>
      <c r="B238" s="698" t="str">
        <f>+B183</f>
        <v xml:space="preserve"> 3.4x0x2.4+3.4x3.4/2/2x2x2.4=</v>
      </c>
      <c r="C238" s="699"/>
      <c r="D238" s="700"/>
      <c r="E238" s="511">
        <f>+E183</f>
        <v>13.871999999999998</v>
      </c>
      <c r="F238" s="642">
        <f>+F183</f>
        <v>3.3499999999999996</v>
      </c>
      <c r="G238" s="646"/>
      <c r="H238" s="346"/>
      <c r="I238" s="644">
        <f>E238*F238</f>
        <v>46.471199999999989</v>
      </c>
      <c r="J238" s="645"/>
      <c r="K238" s="345"/>
      <c r="P238" s="183"/>
      <c r="Q238" s="493"/>
      <c r="R238" s="493"/>
      <c r="S238" s="493"/>
      <c r="T238" s="181"/>
      <c r="U238" s="494"/>
      <c r="V238" s="494"/>
      <c r="W238" s="505"/>
      <c r="X238" s="495"/>
      <c r="Y238" s="495"/>
      <c r="Z238" s="493"/>
      <c r="AA238" s="168"/>
      <c r="AB238" s="168"/>
      <c r="AC238" s="168"/>
      <c r="AD238" s="168"/>
      <c r="AE238" s="168"/>
      <c r="AF238" s="168"/>
    </row>
    <row r="239" spans="1:32" s="193" customFormat="1" ht="15.75" x14ac:dyDescent="0.2">
      <c r="A239" s="34" t="s">
        <v>212</v>
      </c>
      <c r="B239" s="601" t="str">
        <f>" "&amp;ROUND($J$87,3)&amp;"x"&amp;hs&amp;"x"&amp;$I$30&amp;"x"&amp;gnor&amp;"="</f>
        <v xml:space="preserve"> 2.671x1.5x3.4x1.8=</v>
      </c>
      <c r="C239" s="602"/>
      <c r="D239" s="603"/>
      <c r="E239" s="511">
        <f>gnor*$J$87*hs*$I$30</f>
        <v>24.519974254864334</v>
      </c>
      <c r="F239" s="642">
        <f>$I$30/2</f>
        <v>1.7</v>
      </c>
      <c r="G239" s="646"/>
      <c r="H239" s="346"/>
      <c r="I239" s="644">
        <f>E239*F239</f>
        <v>41.683956233269363</v>
      </c>
      <c r="J239" s="645"/>
      <c r="K239" s="483"/>
      <c r="P239" s="183"/>
      <c r="Q239" s="493"/>
      <c r="R239" s="493"/>
      <c r="S239" s="493"/>
      <c r="T239" s="181"/>
      <c r="U239" s="494"/>
      <c r="V239" s="494"/>
      <c r="W239" s="505"/>
      <c r="X239" s="495"/>
      <c r="Y239" s="495"/>
      <c r="Z239" s="493"/>
      <c r="AA239" s="168"/>
      <c r="AB239" s="168"/>
      <c r="AC239" s="168"/>
      <c r="AD239" s="168"/>
      <c r="AE239" s="168"/>
      <c r="AF239" s="168"/>
    </row>
    <row r="240" spans="1:32" s="193" customFormat="1" ht="15.75" x14ac:dyDescent="0.3">
      <c r="A240" s="438" t="s">
        <v>213</v>
      </c>
      <c r="B240" s="746" t="str">
        <f>" "&amp;ROUND($J$87,3)&amp;"x"&amp;$I$30&amp;"x"&amp;$I$30&amp;"x"&amp;gnor&amp;"/2="</f>
        <v xml:space="preserve"> 2.671x3.4x3.4x1.8/2=</v>
      </c>
      <c r="C240" s="747"/>
      <c r="D240" s="748"/>
      <c r="E240" s="466">
        <f>$J$87*$I$30*$I$30*gnor/2</f>
        <v>27.789304155512909</v>
      </c>
      <c r="F240" s="749">
        <f>$I$30*2/3</f>
        <v>2.2666666666666666</v>
      </c>
      <c r="G240" s="750"/>
      <c r="H240" s="440"/>
      <c r="I240" s="751">
        <f>E240*F240</f>
        <v>62.989089419162589</v>
      </c>
      <c r="J240" s="752"/>
      <c r="K240" s="488"/>
      <c r="N240" s="347"/>
      <c r="P240" s="183"/>
      <c r="Q240" s="493"/>
      <c r="R240" s="493"/>
      <c r="S240" s="493"/>
      <c r="T240" s="181"/>
      <c r="U240" s="494"/>
      <c r="V240" s="494"/>
      <c r="W240" s="505"/>
      <c r="X240" s="495"/>
      <c r="Y240" s="495"/>
      <c r="Z240" s="493"/>
      <c r="AA240" s="168"/>
      <c r="AB240" s="168"/>
      <c r="AC240" s="168"/>
      <c r="AD240" s="168"/>
      <c r="AE240" s="168"/>
      <c r="AF240" s="168"/>
    </row>
    <row r="241" spans="1:32" s="193" customFormat="1" ht="15.75" x14ac:dyDescent="0.3">
      <c r="A241" s="439" t="s">
        <v>333</v>
      </c>
      <c r="B241" s="661"/>
      <c r="C241" s="661"/>
      <c r="D241" s="661"/>
      <c r="E241" s="463">
        <f>+E186</f>
        <v>0</v>
      </c>
      <c r="F241" s="642">
        <f>+b/2</f>
        <v>3.7749999999999999</v>
      </c>
      <c r="G241" s="646"/>
      <c r="H241" s="346"/>
      <c r="I241" s="645">
        <f>+E241*F241</f>
        <v>0</v>
      </c>
      <c r="J241" s="645"/>
      <c r="K241" s="483"/>
      <c r="N241" s="347"/>
      <c r="P241" s="183"/>
      <c r="Q241" s="493"/>
      <c r="R241" s="493"/>
      <c r="S241" s="493"/>
      <c r="T241" s="181"/>
      <c r="U241" s="494"/>
      <c r="V241" s="494"/>
      <c r="W241" s="505"/>
      <c r="X241" s="495"/>
      <c r="Y241" s="495"/>
      <c r="Z241" s="493"/>
      <c r="AA241" s="168"/>
      <c r="AB241" s="168"/>
      <c r="AC241" s="168"/>
      <c r="AD241" s="168"/>
      <c r="AE241" s="168"/>
      <c r="AF241" s="168"/>
    </row>
    <row r="242" spans="1:32" s="2" customFormat="1" x14ac:dyDescent="0.2">
      <c r="A242" s="28"/>
      <c r="E242" s="310"/>
      <c r="F242" s="662"/>
      <c r="G242" s="662"/>
      <c r="H242" s="29"/>
      <c r="I242" s="30"/>
      <c r="J242" s="28"/>
      <c r="K242" s="28"/>
    </row>
    <row r="243" spans="1:32" s="2" customFormat="1" ht="12.75" x14ac:dyDescent="0.2">
      <c r="A243" s="58" t="s">
        <v>71</v>
      </c>
      <c r="B243" s="8"/>
      <c r="C243" s="8"/>
      <c r="D243" s="37"/>
      <c r="E243" s="465"/>
      <c r="F243" s="8"/>
      <c r="G243" s="8"/>
      <c r="H243" s="16"/>
      <c r="K243" s="8"/>
    </row>
    <row r="244" spans="1:32" s="2" customFormat="1" ht="32.25" customHeight="1" x14ac:dyDescent="0.25">
      <c r="A244" s="632"/>
      <c r="B244" s="632"/>
      <c r="C244" s="633"/>
      <c r="D244" s="633"/>
      <c r="E244" s="464"/>
      <c r="F244" s="39"/>
      <c r="G244" s="496"/>
      <c r="H244" s="41"/>
      <c r="I244" s="9"/>
      <c r="J244" s="9"/>
      <c r="K244" s="496"/>
    </row>
    <row r="245" spans="1:32" s="2" customFormat="1" ht="19.5" customHeight="1" x14ac:dyDescent="0.2">
      <c r="A245" s="9"/>
      <c r="B245" s="42"/>
      <c r="C245" s="9"/>
      <c r="D245" s="43"/>
      <c r="E245" s="464"/>
      <c r="F245" s="496"/>
      <c r="G245" s="496"/>
      <c r="H245" s="41"/>
      <c r="I245" s="9"/>
      <c r="J245" s="9"/>
      <c r="K245" s="496"/>
    </row>
    <row r="246" spans="1:32" s="2" customFormat="1" ht="19.5" customHeight="1" x14ac:dyDescent="0.2">
      <c r="A246" s="496"/>
      <c r="B246" s="496"/>
      <c r="C246" s="496"/>
      <c r="D246" s="44"/>
      <c r="E246" s="465"/>
      <c r="F246" s="8"/>
      <c r="G246" s="8"/>
      <c r="H246" s="16"/>
      <c r="K246" s="8"/>
      <c r="L246" s="1"/>
      <c r="M246" s="1"/>
      <c r="N246" s="1"/>
      <c r="O246" s="1"/>
      <c r="P246" s="1"/>
      <c r="Q246" s="1"/>
      <c r="R246" s="1"/>
      <c r="S246" s="1"/>
      <c r="T246" s="1"/>
      <c r="U246" s="1"/>
    </row>
    <row r="247" spans="1:32" s="2" customFormat="1" ht="15" x14ac:dyDescent="0.25">
      <c r="A247" s="8"/>
      <c r="B247" s="8"/>
      <c r="C247" s="39"/>
      <c r="D247" s="37"/>
      <c r="E247" s="465"/>
      <c r="F247" s="8"/>
      <c r="G247" s="8"/>
      <c r="H247" s="16"/>
      <c r="K247" s="8"/>
      <c r="L247" s="1"/>
      <c r="M247" s="1"/>
      <c r="N247" s="1"/>
      <c r="O247" s="1"/>
      <c r="P247" s="1"/>
      <c r="Q247" s="1"/>
      <c r="R247" s="1"/>
      <c r="S247" s="1"/>
      <c r="T247" s="1"/>
      <c r="U247" s="1"/>
    </row>
    <row r="248" spans="1:32" s="2" customFormat="1" ht="31.5" customHeight="1" x14ac:dyDescent="0.2">
      <c r="A248" s="484"/>
      <c r="B248" s="649"/>
      <c r="C248" s="649"/>
      <c r="D248" s="46" t="s">
        <v>72</v>
      </c>
      <c r="E248" s="181">
        <f>IF((SUM(E227:E234)-E235)/b*(1+6*B249/b),2/3*(SUM(E227:E234)-E235)/(b/2-B249))</f>
        <v>15.685415770124486</v>
      </c>
      <c r="F248" s="48" t="s">
        <v>25</v>
      </c>
      <c r="G248" s="48" t="str">
        <f>IF(E248&lt;I248,"&lt;","&gt;")</f>
        <v>&lt;</v>
      </c>
      <c r="H248" s="46" t="s">
        <v>75</v>
      </c>
      <c r="I248" s="49">
        <f>I49</f>
        <v>400</v>
      </c>
      <c r="J248" s="48" t="s">
        <v>25</v>
      </c>
      <c r="K248" s="50" t="str">
        <f>IF(G248="&lt;","O.K.","not O.K.")</f>
        <v>O.K.</v>
      </c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</row>
    <row r="249" spans="1:32" s="2" customFormat="1" ht="18" x14ac:dyDescent="0.2">
      <c r="A249" s="487">
        <f>(SUM(I227:J234)-SUM(I235:J237))/(SUM(E227:E234)-E235)</f>
        <v>2.913182581174087</v>
      </c>
      <c r="B249" s="622">
        <f>b/2-A249</f>
        <v>0.8618174188259129</v>
      </c>
      <c r="C249" s="623"/>
      <c r="D249" s="46" t="s">
        <v>73</v>
      </c>
      <c r="E249" s="181">
        <f>IF((SUM(E227:E234)-E235)/b*(1-6*B249/b),0)</f>
        <v>0</v>
      </c>
      <c r="F249" s="48" t="s">
        <v>25</v>
      </c>
      <c r="G249" s="48" t="str">
        <f>IF(E249&lt;I249,"&lt;","&gt;")</f>
        <v>&gt;</v>
      </c>
      <c r="H249" s="46" t="s">
        <v>74</v>
      </c>
      <c r="I249" s="49">
        <v>0</v>
      </c>
      <c r="J249" s="48" t="s">
        <v>25</v>
      </c>
      <c r="K249" s="50" t="str">
        <f>IF(E249&lt;I249,"not O.K.","O.K.")</f>
        <v>O.K.</v>
      </c>
      <c r="V249" s="1"/>
      <c r="W249" s="1"/>
      <c r="X249" s="1"/>
      <c r="Y249" s="1"/>
      <c r="Z249" s="1"/>
      <c r="AA249" s="1"/>
    </row>
    <row r="250" spans="1:32" s="2" customFormat="1" ht="14.25" customHeight="1" x14ac:dyDescent="0.2">
      <c r="E250" s="193"/>
      <c r="I250" s="7"/>
      <c r="V250" s="1"/>
      <c r="W250" s="1"/>
      <c r="X250" s="1"/>
      <c r="Y250" s="1"/>
      <c r="Z250" s="1"/>
      <c r="AA250" s="1"/>
    </row>
    <row r="251" spans="1:32" s="2" customFormat="1" ht="12.75" x14ac:dyDescent="0.2">
      <c r="A251" s="58" t="s">
        <v>69</v>
      </c>
      <c r="B251" s="8"/>
      <c r="C251" s="8"/>
      <c r="D251" s="8"/>
      <c r="E251" s="299"/>
      <c r="F251" s="8"/>
      <c r="G251" s="8"/>
      <c r="H251" s="16"/>
      <c r="I251" s="26"/>
      <c r="J251" s="8"/>
      <c r="K251" s="8"/>
    </row>
    <row r="252" spans="1:32" s="2" customFormat="1" ht="33.75" customHeight="1" x14ac:dyDescent="0.25">
      <c r="A252" s="650" t="s">
        <v>64</v>
      </c>
      <c r="B252" s="650"/>
      <c r="C252" s="650" t="s">
        <v>65</v>
      </c>
      <c r="D252" s="650"/>
      <c r="E252" s="727"/>
      <c r="F252" s="728"/>
      <c r="G252" s="52"/>
      <c r="H252" s="53" t="s">
        <v>66</v>
      </c>
      <c r="I252" s="54"/>
      <c r="J252" s="28"/>
      <c r="K252" s="1"/>
    </row>
    <row r="253" spans="1:32" s="2" customFormat="1" ht="12.75" x14ac:dyDescent="0.2">
      <c r="A253" s="621">
        <f>SUM(I227:J234)</f>
        <v>487.24443493333337</v>
      </c>
      <c r="B253" s="621"/>
      <c r="C253" s="621">
        <f>SUM(I235:J237)</f>
        <v>287.56989014562191</v>
      </c>
      <c r="D253" s="621"/>
      <c r="E253" s="622">
        <f>A253/C253</f>
        <v>1.6943513616345531</v>
      </c>
      <c r="F253" s="624"/>
      <c r="G253" s="4" t="str">
        <f>IF(E253&lt;H253,"&lt;","&gt;")</f>
        <v>&gt;</v>
      </c>
      <c r="H253" s="76">
        <v>1.5</v>
      </c>
      <c r="I253" s="5" t="str">
        <f>IF(G253="&gt;","O.K.","not O.K.")</f>
        <v>O.K.</v>
      </c>
      <c r="J253" s="7"/>
      <c r="K253" s="7"/>
    </row>
    <row r="254" spans="1:32" s="2" customFormat="1" ht="12.75" x14ac:dyDescent="0.2">
      <c r="A254" s="8"/>
      <c r="B254" s="8"/>
      <c r="C254" s="8"/>
      <c r="D254" s="8"/>
      <c r="E254" s="299"/>
      <c r="F254" s="8"/>
      <c r="G254" s="8"/>
      <c r="H254" s="16"/>
      <c r="I254" s="26"/>
      <c r="J254" s="8"/>
      <c r="K254" s="8"/>
    </row>
    <row r="255" spans="1:32" s="2" customFormat="1" ht="12.75" x14ac:dyDescent="0.2">
      <c r="A255" s="58" t="s">
        <v>70</v>
      </c>
      <c r="B255" s="8"/>
      <c r="C255" s="8"/>
      <c r="D255" s="8"/>
      <c r="E255" s="299"/>
      <c r="F255" s="8"/>
      <c r="G255" s="8"/>
      <c r="H255" s="16"/>
      <c r="I255" s="26"/>
      <c r="J255" s="8"/>
      <c r="K255" s="8"/>
    </row>
    <row r="256" spans="1:32" ht="33.75" customHeight="1" x14ac:dyDescent="0.2">
      <c r="A256" s="714" t="s">
        <v>67</v>
      </c>
      <c r="B256" s="714"/>
      <c r="C256" s="702" t="s">
        <v>68</v>
      </c>
      <c r="D256" s="702"/>
      <c r="E256" s="294" t="s">
        <v>11</v>
      </c>
      <c r="F256" s="703"/>
      <c r="G256" s="704"/>
      <c r="H256" s="295"/>
      <c r="I256" s="295" t="s">
        <v>66</v>
      </c>
      <c r="J256" s="296"/>
      <c r="K256" s="297"/>
      <c r="L256" s="193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</row>
    <row r="257" spans="1:27" x14ac:dyDescent="0.2">
      <c r="A257" s="621">
        <f>IF((SUM(E236:E237)-E239-E240)&lt;0,-(SUM(E236:E237)-E239-E240),(SUM(E236:E237)-E239-E240))</f>
        <v>15.214479112213514</v>
      </c>
      <c r="B257" s="621"/>
      <c r="C257" s="701">
        <f>SUM(E227:E234)-E235</f>
        <v>68.54171999999997</v>
      </c>
      <c r="D257" s="701"/>
      <c r="E257" s="298">
        <f>I47</f>
        <v>0.65</v>
      </c>
      <c r="F257" s="656">
        <f>C257*E257/A257</f>
        <v>2.9282710023398368</v>
      </c>
      <c r="G257" s="657"/>
      <c r="H257" s="290" t="str">
        <f>IF(F257&lt;I257,"&lt;","&gt;")</f>
        <v>&gt;</v>
      </c>
      <c r="I257" s="291">
        <v>1.5</v>
      </c>
      <c r="J257" s="292" t="str">
        <f>IF(H257="&gt;","O.K.","not O.K.")</f>
        <v>O.K.</v>
      </c>
      <c r="K257" s="299"/>
      <c r="L257" s="193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</row>
    <row r="258" spans="1:27" ht="10.5" customHeight="1" x14ac:dyDescent="0.2">
      <c r="A258" s="47"/>
      <c r="B258" s="47"/>
      <c r="C258" s="181"/>
      <c r="D258" s="181"/>
      <c r="E258" s="303" t="s">
        <v>188</v>
      </c>
      <c r="F258" s="181"/>
      <c r="G258" s="181"/>
      <c r="H258" s="183"/>
      <c r="I258" s="300"/>
      <c r="J258" s="301"/>
      <c r="K258" s="299"/>
      <c r="L258" s="193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</row>
    <row r="259" spans="1:27" s="2" customFormat="1" ht="12.75" x14ac:dyDescent="0.2">
      <c r="A259" s="8"/>
      <c r="B259" s="8"/>
      <c r="C259" s="299"/>
      <c r="D259" s="299"/>
      <c r="E259" s="299"/>
      <c r="F259" s="299"/>
      <c r="G259" s="299"/>
      <c r="H259" s="196"/>
      <c r="I259" s="302"/>
      <c r="J259" s="299"/>
      <c r="K259" s="299"/>
      <c r="L259" s="193"/>
    </row>
    <row r="260" spans="1:27" s="2" customFormat="1" ht="15" x14ac:dyDescent="0.25">
      <c r="A260" s="715" t="s">
        <v>344</v>
      </c>
      <c r="B260" s="715"/>
      <c r="C260" s="715"/>
      <c r="D260" s="715"/>
      <c r="E260" s="715"/>
      <c r="F260" s="715"/>
      <c r="G260" s="715"/>
      <c r="H260" s="715"/>
      <c r="I260" s="715"/>
      <c r="J260" s="715"/>
      <c r="K260" s="715"/>
    </row>
    <row r="261" spans="1:27" s="2" customFormat="1" x14ac:dyDescent="0.2">
      <c r="A261" s="28"/>
      <c r="B261" s="28"/>
      <c r="C261" s="28"/>
      <c r="D261" s="28"/>
      <c r="E261" s="310"/>
      <c r="F261" s="28"/>
      <c r="G261" s="28"/>
      <c r="H261" s="28"/>
      <c r="I261" s="28"/>
      <c r="J261" s="28"/>
      <c r="K261" s="28"/>
    </row>
    <row r="262" spans="1:27" s="2" customFormat="1" x14ac:dyDescent="0.2">
      <c r="A262" s="28"/>
      <c r="B262" s="28"/>
      <c r="C262" s="28"/>
      <c r="D262" s="28"/>
      <c r="E262" s="310"/>
      <c r="F262" s="28"/>
      <c r="G262" s="28"/>
      <c r="H262" s="29"/>
      <c r="I262" s="30"/>
      <c r="J262" s="28"/>
      <c r="K262" s="28"/>
    </row>
    <row r="263" spans="1:27" s="2" customFormat="1" x14ac:dyDescent="0.2">
      <c r="A263" s="28"/>
      <c r="B263" s="28"/>
      <c r="C263" s="28"/>
      <c r="D263" s="28"/>
      <c r="E263" s="310"/>
      <c r="F263" s="28"/>
      <c r="G263" s="28"/>
      <c r="H263" s="29"/>
      <c r="I263" s="30"/>
      <c r="J263" s="28"/>
      <c r="K263" s="28"/>
    </row>
    <row r="264" spans="1:27" s="2" customFormat="1" ht="30.75" customHeight="1" x14ac:dyDescent="0.2">
      <c r="A264" s="28"/>
      <c r="B264" s="28"/>
      <c r="C264" s="28"/>
      <c r="D264" s="28"/>
      <c r="E264" s="310"/>
      <c r="F264" s="28"/>
      <c r="G264" s="28"/>
      <c r="H264" s="29"/>
      <c r="I264" s="30"/>
      <c r="J264" s="28"/>
      <c r="K264" s="28"/>
    </row>
    <row r="265" spans="1:27" s="2" customFormat="1" ht="30.75" customHeight="1" x14ac:dyDescent="0.2">
      <c r="A265" s="28"/>
      <c r="B265" s="28"/>
      <c r="C265" s="28"/>
      <c r="D265" s="28"/>
      <c r="E265" s="310"/>
      <c r="F265" s="28"/>
      <c r="G265" s="28"/>
      <c r="H265" s="29"/>
      <c r="I265" s="30"/>
      <c r="J265" s="28"/>
      <c r="K265" s="28"/>
    </row>
    <row r="266" spans="1:27" s="2" customFormat="1" ht="30.75" customHeight="1" x14ac:dyDescent="0.2">
      <c r="A266" s="28"/>
      <c r="B266" s="28"/>
      <c r="C266" s="28"/>
      <c r="D266" s="28"/>
      <c r="E266" s="310"/>
      <c r="F266" s="28"/>
      <c r="G266" s="28"/>
      <c r="H266" s="29"/>
      <c r="I266" s="30"/>
      <c r="J266" s="28"/>
      <c r="K266" s="28"/>
    </row>
    <row r="267" spans="1:27" s="2" customFormat="1" ht="30.75" customHeight="1" x14ac:dyDescent="0.2">
      <c r="A267" s="28"/>
      <c r="B267" s="28"/>
      <c r="C267" s="28"/>
      <c r="D267" s="28"/>
      <c r="E267" s="310"/>
      <c r="F267" s="28"/>
      <c r="G267" s="28"/>
      <c r="H267" s="29"/>
      <c r="I267" s="30"/>
      <c r="J267" s="28"/>
      <c r="K267" s="28"/>
    </row>
    <row r="268" spans="1:27" s="2" customFormat="1" ht="30.75" customHeight="1" x14ac:dyDescent="0.2">
      <c r="A268" s="28"/>
      <c r="B268" s="28"/>
      <c r="C268" s="28"/>
      <c r="D268" s="28"/>
      <c r="E268" s="310"/>
      <c r="F268" s="28"/>
      <c r="G268" s="28"/>
      <c r="H268" s="29"/>
      <c r="I268" s="30"/>
      <c r="J268" s="28"/>
      <c r="K268" s="28"/>
    </row>
    <row r="269" spans="1:27" s="2" customFormat="1" ht="30.75" customHeight="1" x14ac:dyDescent="0.2">
      <c r="A269" s="28"/>
      <c r="B269" s="28"/>
      <c r="C269" s="28"/>
      <c r="D269" s="28"/>
      <c r="E269" s="310"/>
      <c r="F269" s="28"/>
      <c r="G269" s="28"/>
      <c r="H269" s="29"/>
      <c r="I269" s="30"/>
      <c r="J269" s="28"/>
      <c r="K269" s="28"/>
    </row>
    <row r="270" spans="1:27" s="2" customFormat="1" ht="30.75" customHeight="1" x14ac:dyDescent="0.2">
      <c r="A270" s="28"/>
      <c r="B270" s="28"/>
      <c r="C270" s="28"/>
      <c r="D270" s="28"/>
      <c r="E270" s="310"/>
      <c r="F270" s="28"/>
      <c r="G270" s="28"/>
      <c r="H270" s="29"/>
      <c r="I270" s="30"/>
      <c r="J270" s="28"/>
      <c r="K270" s="28"/>
    </row>
    <row r="271" spans="1:27" s="2" customFormat="1" ht="30.75" customHeight="1" x14ac:dyDescent="0.2">
      <c r="A271" s="28"/>
      <c r="B271" s="28"/>
      <c r="C271" s="28"/>
      <c r="D271" s="28"/>
      <c r="E271" s="310"/>
      <c r="F271" s="28"/>
      <c r="G271" s="28"/>
      <c r="H271" s="29"/>
      <c r="I271" s="30"/>
      <c r="J271" s="28"/>
      <c r="K271" s="28"/>
    </row>
    <row r="272" spans="1:27" s="2" customFormat="1" x14ac:dyDescent="0.2">
      <c r="A272" s="28"/>
      <c r="B272" s="28"/>
      <c r="C272" s="28"/>
      <c r="D272" s="28"/>
      <c r="E272" s="310"/>
      <c r="F272" s="28"/>
      <c r="G272" s="28"/>
      <c r="H272" s="29"/>
      <c r="I272" s="30"/>
      <c r="J272" s="28"/>
      <c r="K272" s="28"/>
    </row>
    <row r="273" spans="1:32" s="2" customFormat="1" ht="26.25" customHeight="1" thickBot="1" x14ac:dyDescent="0.25">
      <c r="A273" s="627" t="s">
        <v>56</v>
      </c>
      <c r="B273" s="627"/>
      <c r="C273" s="627"/>
      <c r="D273" s="627"/>
      <c r="E273" s="627"/>
      <c r="F273" s="627" t="s">
        <v>54</v>
      </c>
      <c r="G273" s="627"/>
      <c r="H273" s="627"/>
      <c r="I273" s="628" t="s">
        <v>55</v>
      </c>
      <c r="J273" s="628"/>
      <c r="K273" s="628"/>
    </row>
    <row r="274" spans="1:32" s="2" customFormat="1" ht="16.5" thickTop="1" x14ac:dyDescent="0.2">
      <c r="A274" s="31" t="s">
        <v>57</v>
      </c>
      <c r="B274" s="629" t="str">
        <f>" "&amp;ROUND((bw-bt),2)&amp;"x"&amp;hw&amp;"x"&amp;gc&amp;"/2="</f>
        <v xml:space="preserve"> 3.55x7.1x2.4/2=</v>
      </c>
      <c r="C274" s="630"/>
      <c r="D274" s="631"/>
      <c r="E274" s="461">
        <f>(bw-bt)*hw*gc/2</f>
        <v>30.245999999999995</v>
      </c>
      <c r="F274" s="615">
        <f>(bw-bt)/3+bt+bf</f>
        <v>4.1833333333333336</v>
      </c>
      <c r="G274" s="616"/>
      <c r="H274" s="32"/>
      <c r="I274" s="617">
        <f>E274*F274</f>
        <v>126.52909999999999</v>
      </c>
      <c r="J274" s="618"/>
      <c r="K274" s="500"/>
    </row>
    <row r="275" spans="1:32" s="2" customFormat="1" ht="15.75" x14ac:dyDescent="0.2">
      <c r="A275" s="34" t="s">
        <v>58</v>
      </c>
      <c r="B275" s="601" t="str">
        <f>" " &amp;hw&amp; "x"&amp;bt&amp; "x"&amp;gc&amp;"="</f>
        <v xml:space="preserve"> 7.1x1x2.4=</v>
      </c>
      <c r="C275" s="602"/>
      <c r="D275" s="603"/>
      <c r="E275" s="467">
        <f>hw*bt*gc</f>
        <v>17.04</v>
      </c>
      <c r="F275" s="712">
        <f>bt*0.5+bf</f>
        <v>2.5</v>
      </c>
      <c r="G275" s="713"/>
      <c r="H275" s="35"/>
      <c r="I275" s="643">
        <f t="shared" ref="I275:I290" si="10">E275*F275</f>
        <v>42.599999999999994</v>
      </c>
      <c r="J275" s="644"/>
      <c r="K275" s="483"/>
    </row>
    <row r="276" spans="1:32" s="2" customFormat="1" ht="15.75" x14ac:dyDescent="0.2">
      <c r="A276" s="34" t="s">
        <v>59</v>
      </c>
      <c r="B276" s="601" t="str">
        <f>" " &amp;ROUND(b,2)&amp;"x"&amp;hs&amp;"x"&amp;gc&amp;"="</f>
        <v xml:space="preserve"> 7.55x1.5x2.4=</v>
      </c>
      <c r="C276" s="602"/>
      <c r="D276" s="603"/>
      <c r="E276" s="511">
        <f>b*hs*gc</f>
        <v>27.179999999999996</v>
      </c>
      <c r="F276" s="641">
        <f>b/2</f>
        <v>3.7749999999999999</v>
      </c>
      <c r="G276" s="642"/>
      <c r="H276" s="35"/>
      <c r="I276" s="643">
        <f t="shared" si="10"/>
        <v>102.60449999999999</v>
      </c>
      <c r="J276" s="644"/>
      <c r="K276" s="483"/>
    </row>
    <row r="277" spans="1:32" s="2" customFormat="1" ht="15.75" x14ac:dyDescent="0.2">
      <c r="A277" s="34" t="s">
        <v>60</v>
      </c>
      <c r="B277" s="663" t="str">
        <f>ROUND((h-0.5-hsus),2)&amp;"x"&amp;ROUND((br+bw-bt)-0.5*TAN(beta/180*PI())-(h-0.5-hsus)*TAN(beta/180*PI()),2)&amp;"x"&amp;ROUND(gnor,2)&amp;" ="</f>
        <v>4.89x1.86x1.8 =</v>
      </c>
      <c r="C277" s="663"/>
      <c r="D277" s="663"/>
      <c r="E277" s="511">
        <f>(h-0.5-hsus)*((br+bw-bt)-0.5*TAN(beta/180*PI())-(h-0.5-hsus)*TAN(beta/180*PI()))*(gnor)</f>
        <v>16.32771</v>
      </c>
      <c r="F277" s="642">
        <f>((br+bw-bt)-0.5*TAN(beta/180*PI()))/2+(h-0.5-hsus)*TAN(beta/180*PI())+bt+bf</f>
        <v>7.5949999999999998</v>
      </c>
      <c r="G277" s="646"/>
      <c r="H277" s="35"/>
      <c r="I277" s="644">
        <f t="shared" si="10"/>
        <v>124.00895745</v>
      </c>
      <c r="J277" s="645"/>
      <c r="K277" s="483"/>
    </row>
    <row r="278" spans="1:32" s="2" customFormat="1" ht="15.75" x14ac:dyDescent="0.2">
      <c r="A278" s="34" t="s">
        <v>61</v>
      </c>
      <c r="B278" s="661" t="str">
        <f>(h-0.5-hsus)&amp;"x"&amp;ROUND((h-0.5-hsus)*TAN(beta/180*PI()),2)&amp;"x"&amp;ROUND(gnor,2)&amp;"/2="</f>
        <v>4.89x2.45x1.8/2=</v>
      </c>
      <c r="C278" s="661"/>
      <c r="D278" s="661"/>
      <c r="E278" s="511">
        <f>(h-0.5-hsus)*((h-0.5-hsus)*TAN(beta/180*PI()))*(gnor)/2</f>
        <v>10.760444999999999</v>
      </c>
      <c r="F278" s="642">
        <f>((h-0.5-hsus)*TAN(beta/180*PI()))*2/3+bt+bf</f>
        <v>4.63</v>
      </c>
      <c r="G278" s="646"/>
      <c r="H278" s="35"/>
      <c r="I278" s="644">
        <f t="shared" si="10"/>
        <v>49.820860349999997</v>
      </c>
      <c r="J278" s="645"/>
      <c r="K278" s="483"/>
    </row>
    <row r="279" spans="1:32" s="2" customFormat="1" ht="15.75" x14ac:dyDescent="0.2">
      <c r="A279" s="34" t="s">
        <v>83</v>
      </c>
      <c r="B279" s="661" t="str">
        <f>ROUND(hsus-hs,2)&amp;"x"&amp;br&amp;"x"&amp;ROUND(gdoy,2)&amp;" ="</f>
        <v>1.71x1x2 =</v>
      </c>
      <c r="C279" s="661"/>
      <c r="D279" s="661"/>
      <c r="E279" s="511">
        <f>(hsus-hs)*br*gdoy</f>
        <v>3.42</v>
      </c>
      <c r="F279" s="642">
        <f>b-br/2</f>
        <v>7.05</v>
      </c>
      <c r="G279" s="646"/>
      <c r="H279" s="35"/>
      <c r="I279" s="644">
        <f t="shared" si="10"/>
        <v>24.111000000000001</v>
      </c>
      <c r="J279" s="645"/>
      <c r="K279" s="483"/>
    </row>
    <row r="280" spans="1:32" s="2" customFormat="1" ht="15.75" x14ac:dyDescent="0.2">
      <c r="A280" s="34" t="s">
        <v>84</v>
      </c>
      <c r="B280" s="661" t="str">
        <f>ROUND(hsus-hs,2)&amp;"x"&amp;ROUND((hsus-hs)*TAN(1/180*PI()*beta),2)&amp;"/2"&amp;"x"&amp;ROUND(gdoy,2)&amp;" ="</f>
        <v>1.71x0.86/2x2 =</v>
      </c>
      <c r="C280" s="661"/>
      <c r="D280" s="661"/>
      <c r="E280" s="511">
        <f>(hsus-hs)^2*TAN(1/180*PI()*beta)/2*gdoy</f>
        <v>1.4620499999999996</v>
      </c>
      <c r="F280" s="642">
        <f>(hsus-hs)*TAN(1/180*PI()*beta)*2/3*-1+bf+bw</f>
        <v>5.98</v>
      </c>
      <c r="G280" s="646"/>
      <c r="H280" s="35"/>
      <c r="I280" s="644">
        <f t="shared" si="10"/>
        <v>8.7430589999999988</v>
      </c>
      <c r="J280" s="645"/>
      <c r="K280" s="483"/>
      <c r="M280" s="2">
        <f>gdoy*(hsus-hsui)+gnor*(h-0.5-hsus)</f>
        <v>12.222</v>
      </c>
    </row>
    <row r="281" spans="1:32" s="2" customFormat="1" ht="15.75" x14ac:dyDescent="0.2">
      <c r="A281" s="34" t="s">
        <v>87</v>
      </c>
      <c r="B281" s="601" t="str">
        <f>bf&amp;"x"&amp;ROUND(p,2)&amp;"x"&amp;ROUND(gw,2)</f>
        <v>2x1.1x1</v>
      </c>
      <c r="C281" s="602"/>
      <c r="D281" s="603"/>
      <c r="E281" s="511">
        <f>bf*p*gw</f>
        <v>2.2000000000000002</v>
      </c>
      <c r="F281" s="625">
        <f>bf/2</f>
        <v>1</v>
      </c>
      <c r="G281" s="626"/>
      <c r="H281" s="35"/>
      <c r="I281" s="643">
        <f t="shared" si="10"/>
        <v>2.2000000000000002</v>
      </c>
      <c r="J281" s="644"/>
      <c r="K281" s="483"/>
    </row>
    <row r="282" spans="1:32" s="2" customFormat="1" ht="15" customHeight="1" x14ac:dyDescent="0.2">
      <c r="A282" s="34" t="s">
        <v>82</v>
      </c>
      <c r="B282" s="601" t="str">
        <f>" "&amp;gw&amp;"x("&amp;ROUND(hsus,2)&amp;"+"&amp;hsui&amp;")x"&amp;ROUND(b,2)&amp;"/2="</f>
        <v xml:space="preserve"> 1x(3.21+1.5)x7.55/2=</v>
      </c>
      <c r="C282" s="602"/>
      <c r="D282" s="603"/>
      <c r="E282" s="511">
        <f>gw*(hsus+hsui)*b/2</f>
        <v>17.780249999999999</v>
      </c>
      <c r="F282" s="641">
        <f>((hsus-hsui)*b/2*2*b/3+hsui*b*b/2)/((hsus+hsui)*b/2)</f>
        <v>4.2318471337579622</v>
      </c>
      <c r="G282" s="642"/>
      <c r="H282" s="35"/>
      <c r="I282" s="643">
        <f t="shared" si="10"/>
        <v>75.243300000000005</v>
      </c>
      <c r="J282" s="644"/>
      <c r="K282" s="483"/>
      <c r="M282" s="2">
        <f>hsui*(gdoy-gw)</f>
        <v>1.5</v>
      </c>
    </row>
    <row r="283" spans="1:32" s="2" customFormat="1" ht="15.75" x14ac:dyDescent="0.2">
      <c r="A283" s="34" t="s">
        <v>85</v>
      </c>
      <c r="B283" s="601" t="str">
        <f>" "&amp;ROUND(kas,3)&amp;"x"&amp;ROUND(h-0.5-hsus,3)&amp;"²x"&amp;ROUND(gnor,2)&amp;"/2="</f>
        <v xml:space="preserve"> 0.585x4.89²x1.8/2=</v>
      </c>
      <c r="C283" s="602"/>
      <c r="D283" s="603"/>
      <c r="E283" s="511">
        <f>kas*(h-0.5-hsus)^2*gnor/2</f>
        <v>12.58544808801217</v>
      </c>
      <c r="F283" s="641">
        <f>(h-0.5-hsus)/3+hsus</f>
        <v>4.84</v>
      </c>
      <c r="G283" s="642"/>
      <c r="H283" s="35"/>
      <c r="I283" s="643">
        <f t="shared" si="10"/>
        <v>60.9135687459789</v>
      </c>
      <c r="J283" s="644"/>
      <c r="K283" s="483"/>
    </row>
    <row r="284" spans="1:32" s="2" customFormat="1" ht="15.75" x14ac:dyDescent="0.2">
      <c r="A284" s="34" t="s">
        <v>86</v>
      </c>
      <c r="B284" s="601" t="str">
        <f>" "&amp;ROUND(kas,3)&amp;"x("&amp;ROUND(gnor*(h-0.5-hsus),2)&amp;"+"&amp;ROUND((gdoy*(hsus-hsui)+gnor*(h-0.5-hsus)),2)&amp;")x"&amp;ROUND(hsus-hsui,2)&amp;"/2="</f>
        <v xml:space="preserve"> 0.585x(8.8+12.22)x1.71/2=</v>
      </c>
      <c r="C284" s="602"/>
      <c r="D284" s="603"/>
      <c r="E284" s="511">
        <f>kas*((gnor*(h-0.5-hsus))+((gdoy*(hsus-hsui)+gnor*(h-0.5-hsus))))*(hsus-hsui)/2</f>
        <v>10.512110503563029</v>
      </c>
      <c r="F284" s="641">
        <f>hsui+(gnor*(h-0.5-hsus)*(hsus-hsui)^2/2+((gdoy*(hsus-hsui)))*(hsus-hsui)^2/6)/(gnor*(h-0.5-hsus)*(hsus-hsui)+((gdoy*(hsus-hsui)))*(hsus-hsui)/2)</f>
        <v>2.308638698630137</v>
      </c>
      <c r="G284" s="642"/>
      <c r="H284" s="35"/>
      <c r="I284" s="643">
        <f t="shared" si="10"/>
        <v>24.268665112801948</v>
      </c>
      <c r="J284" s="644"/>
      <c r="K284" s="483"/>
    </row>
    <row r="285" spans="1:32" s="2" customFormat="1" ht="15.75" x14ac:dyDescent="0.2">
      <c r="A285" s="34" t="s">
        <v>189</v>
      </c>
      <c r="B285" s="601" t="str">
        <f>ROUND(kas,3)&amp;"x("&amp;ROUND(((gdoy*(hsus-hsui)+gnor*(h-0.5-hsus))),2)&amp;"+"&amp;ROUND(gdoy*(hsus-hsui)+gnor*(h-0.5-hsus)+hsui*(gdoy-gw),2)&amp;")/2X"&amp;(hsui)</f>
        <v>0.585x(12.22+13.72)/2X1.5</v>
      </c>
      <c r="C285" s="602"/>
      <c r="D285" s="603"/>
      <c r="E285" s="511">
        <f>kas*((((gdoy*(hsus-hsui)+gnor*(h-0.5-hsus))))+(gdoy*(hsus-hsui)+gnor*(h-0.5-hsus)+hsui*(gdoy-gw)))/2*hsui</f>
        <v>11.379066985451848</v>
      </c>
      <c r="F285" s="641">
        <f>((gdoy*(hsus-hsui)+gnor*(h-0.5-hsus))*hsui^2/2+hsui*(gdoy-gw)*hsui^2/6)/((gdoy*(hsus-hsui)+gnor*(h-0.5-hsus))*hsui+hsui*(gdoy-gw)*hsui/2)</f>
        <v>0.73554579093432004</v>
      </c>
      <c r="G285" s="642"/>
      <c r="H285" s="35"/>
      <c r="I285" s="643">
        <f t="shared" si="10"/>
        <v>8.369824825908788</v>
      </c>
      <c r="J285" s="644"/>
      <c r="K285" s="483"/>
    </row>
    <row r="286" spans="1:32" s="2" customFormat="1" ht="15.75" x14ac:dyDescent="0.2">
      <c r="A286" s="34" t="s">
        <v>92</v>
      </c>
      <c r="B286" s="601" t="str">
        <f>" "&amp;gw&amp;"x"&amp;ROUND(hsus,2)&amp;"²/2="</f>
        <v xml:space="preserve"> 1x3.21²/2=</v>
      </c>
      <c r="C286" s="602"/>
      <c r="D286" s="603"/>
      <c r="E286" s="511">
        <f>0.5*hsus^2*gw</f>
        <v>5.15205</v>
      </c>
      <c r="F286" s="641">
        <f>hsus/3</f>
        <v>1.07</v>
      </c>
      <c r="G286" s="642"/>
      <c r="H286" s="35"/>
      <c r="I286" s="643">
        <f t="shared" si="10"/>
        <v>5.5126935000000001</v>
      </c>
      <c r="J286" s="644"/>
      <c r="K286" s="483"/>
    </row>
    <row r="287" spans="1:32" s="2" customFormat="1" ht="15.75" x14ac:dyDescent="0.2">
      <c r="A287" s="34" t="s">
        <v>93</v>
      </c>
      <c r="B287" s="601" t="str">
        <f>" "&amp;gw&amp;"x"&amp;(hsui)&amp;"²/2="</f>
        <v xml:space="preserve"> 1x1.5²/2=</v>
      </c>
      <c r="C287" s="602"/>
      <c r="D287" s="603"/>
      <c r="E287" s="511">
        <f>0.5*(hsui)^2*gw</f>
        <v>1.125</v>
      </c>
      <c r="F287" s="641">
        <f>(hsui)/3</f>
        <v>0.5</v>
      </c>
      <c r="G287" s="642"/>
      <c r="H287" s="35"/>
      <c r="I287" s="643">
        <f t="shared" si="10"/>
        <v>0.5625</v>
      </c>
      <c r="J287" s="644"/>
      <c r="K287" s="483"/>
    </row>
    <row r="288" spans="1:32" s="193" customFormat="1" ht="15.75" x14ac:dyDescent="0.3">
      <c r="A288" s="506" t="s">
        <v>330</v>
      </c>
      <c r="B288" s="698" t="str">
        <f>+B183</f>
        <v xml:space="preserve"> 3.4x0x2.4+3.4x3.4/2/2x2x2.4=</v>
      </c>
      <c r="C288" s="699"/>
      <c r="D288" s="700"/>
      <c r="E288" s="511">
        <f>+E238</f>
        <v>13.871999999999998</v>
      </c>
      <c r="F288" s="642">
        <f>+F238</f>
        <v>3.3499999999999996</v>
      </c>
      <c r="G288" s="646"/>
      <c r="H288" s="346"/>
      <c r="I288" s="644">
        <f t="shared" si="10"/>
        <v>46.471199999999989</v>
      </c>
      <c r="J288" s="645"/>
      <c r="K288" s="345"/>
      <c r="P288" s="183"/>
      <c r="Q288" s="493"/>
      <c r="R288" s="493"/>
      <c r="S288" s="493"/>
      <c r="T288" s="181"/>
      <c r="U288" s="494"/>
      <c r="V288" s="494"/>
      <c r="W288" s="505"/>
      <c r="X288" s="495"/>
      <c r="Y288" s="495"/>
      <c r="Z288" s="493"/>
      <c r="AA288" s="168"/>
      <c r="AB288" s="168"/>
      <c r="AC288" s="168"/>
      <c r="AD288" s="168"/>
      <c r="AE288" s="168"/>
      <c r="AF288" s="168"/>
    </row>
    <row r="289" spans="1:32" s="193" customFormat="1" ht="15.75" x14ac:dyDescent="0.2">
      <c r="A289" s="34" t="s">
        <v>212</v>
      </c>
      <c r="B289" s="601" t="str">
        <f>" "&amp;ROUND($J$87,3)&amp;"x"&amp;hs&amp;"x"&amp;$I$30&amp;"x"&amp;gnor&amp;"="</f>
        <v xml:space="preserve"> 2.671x1.5x3.4x1.8=</v>
      </c>
      <c r="C289" s="602"/>
      <c r="D289" s="603"/>
      <c r="E289" s="511">
        <f>gnor*$J$87*hs*$I$30</f>
        <v>24.519974254864334</v>
      </c>
      <c r="F289" s="642">
        <f>$I$30/2</f>
        <v>1.7</v>
      </c>
      <c r="G289" s="646"/>
      <c r="H289" s="346"/>
      <c r="I289" s="644">
        <f t="shared" si="10"/>
        <v>41.683956233269363</v>
      </c>
      <c r="J289" s="645"/>
      <c r="K289" s="483"/>
      <c r="P289" s="183"/>
      <c r="Q289" s="493"/>
      <c r="R289" s="493"/>
      <c r="S289" s="493"/>
      <c r="T289" s="181"/>
      <c r="U289" s="494"/>
      <c r="V289" s="494"/>
      <c r="W289" s="505"/>
      <c r="X289" s="495"/>
      <c r="Y289" s="495"/>
      <c r="Z289" s="493"/>
      <c r="AA289" s="168"/>
      <c r="AB289" s="168"/>
      <c r="AC289" s="168"/>
      <c r="AD289" s="168"/>
      <c r="AE289" s="168"/>
      <c r="AF289" s="168"/>
    </row>
    <row r="290" spans="1:32" s="193" customFormat="1" ht="15.75" x14ac:dyDescent="0.3">
      <c r="A290" s="438" t="s">
        <v>213</v>
      </c>
      <c r="B290" s="746" t="str">
        <f>" "&amp;ROUND($J$87,3)&amp;"x"&amp;$I$30&amp;"x"&amp;$I$30&amp;"x"&amp;gnor&amp;"/2="</f>
        <v xml:space="preserve"> 2.671x3.4x3.4x1.8/2=</v>
      </c>
      <c r="C290" s="747"/>
      <c r="D290" s="748"/>
      <c r="E290" s="466">
        <f>$J$87*$I$30*$I$30*gnor/2</f>
        <v>27.789304155512909</v>
      </c>
      <c r="F290" s="749">
        <f>$I$30*2/3</f>
        <v>2.2666666666666666</v>
      </c>
      <c r="G290" s="750"/>
      <c r="H290" s="440"/>
      <c r="I290" s="751">
        <f t="shared" si="10"/>
        <v>62.989089419162589</v>
      </c>
      <c r="J290" s="752"/>
      <c r="K290" s="488"/>
      <c r="N290" s="347"/>
      <c r="P290" s="183"/>
      <c r="Q290" s="493"/>
      <c r="R290" s="493"/>
      <c r="S290" s="493"/>
      <c r="T290" s="181"/>
      <c r="U290" s="494"/>
      <c r="V290" s="494"/>
      <c r="W290" s="505"/>
      <c r="X290" s="495"/>
      <c r="Y290" s="495"/>
      <c r="Z290" s="493"/>
      <c r="AA290" s="168"/>
      <c r="AB290" s="168"/>
      <c r="AC290" s="168"/>
      <c r="AD290" s="168"/>
      <c r="AE290" s="168"/>
      <c r="AF290" s="168"/>
    </row>
    <row r="291" spans="1:32" s="193" customFormat="1" ht="15.75" x14ac:dyDescent="0.3">
      <c r="A291" s="439" t="s">
        <v>333</v>
      </c>
      <c r="B291" s="661"/>
      <c r="C291" s="661"/>
      <c r="D291" s="661"/>
      <c r="E291" s="463">
        <f>+E241</f>
        <v>0</v>
      </c>
      <c r="F291" s="642">
        <f>+b/2</f>
        <v>3.7749999999999999</v>
      </c>
      <c r="G291" s="646"/>
      <c r="H291" s="346"/>
      <c r="I291" s="645">
        <f>+E291*F291</f>
        <v>0</v>
      </c>
      <c r="J291" s="645"/>
      <c r="K291" s="483"/>
      <c r="N291" s="347"/>
      <c r="P291" s="183"/>
      <c r="Q291" s="493"/>
      <c r="R291" s="493"/>
      <c r="S291" s="493"/>
      <c r="T291" s="181"/>
      <c r="U291" s="494"/>
      <c r="V291" s="494"/>
      <c r="W291" s="505"/>
      <c r="X291" s="495"/>
      <c r="Y291" s="495"/>
      <c r="Z291" s="493"/>
      <c r="AA291" s="168"/>
      <c r="AB291" s="168"/>
      <c r="AC291" s="168"/>
      <c r="AD291" s="168"/>
      <c r="AE291" s="168"/>
      <c r="AF291" s="168"/>
    </row>
    <row r="292" spans="1:32" s="2" customFormat="1" ht="10.5" customHeight="1" x14ac:dyDescent="0.2">
      <c r="A292" s="28"/>
      <c r="B292" s="28"/>
      <c r="C292" s="28"/>
      <c r="D292" s="28"/>
      <c r="E292" s="310"/>
      <c r="F292" s="662"/>
      <c r="G292" s="662"/>
      <c r="H292" s="29"/>
      <c r="I292" s="30"/>
      <c r="J292" s="28"/>
      <c r="K292" s="28"/>
    </row>
    <row r="293" spans="1:32" s="2" customFormat="1" ht="12.75" x14ac:dyDescent="0.2">
      <c r="A293" s="58" t="s">
        <v>71</v>
      </c>
      <c r="B293" s="8"/>
      <c r="C293" s="8"/>
      <c r="D293" s="37"/>
      <c r="E293" s="465"/>
      <c r="F293" s="8"/>
      <c r="G293" s="8"/>
      <c r="H293" s="16"/>
      <c r="K293" s="8"/>
    </row>
    <row r="294" spans="1:32" s="2" customFormat="1" ht="29.25" customHeight="1" x14ac:dyDescent="0.25">
      <c r="A294" s="632"/>
      <c r="B294" s="632"/>
      <c r="C294" s="633"/>
      <c r="D294" s="633"/>
      <c r="E294" s="464"/>
      <c r="F294" s="39"/>
      <c r="G294" s="496"/>
      <c r="H294" s="41"/>
      <c r="I294" s="9"/>
      <c r="J294" s="9"/>
      <c r="K294" s="496"/>
    </row>
    <row r="295" spans="1:32" s="2" customFormat="1" ht="18" customHeight="1" x14ac:dyDescent="0.2">
      <c r="A295" s="9"/>
      <c r="B295" s="42"/>
      <c r="C295" s="9"/>
      <c r="D295" s="43"/>
      <c r="E295" s="464"/>
      <c r="F295" s="496"/>
      <c r="G295" s="496"/>
      <c r="H295" s="41"/>
      <c r="I295" s="9"/>
      <c r="J295" s="9"/>
      <c r="K295" s="496"/>
    </row>
    <row r="296" spans="1:32" s="2" customFormat="1" ht="18" customHeight="1" x14ac:dyDescent="0.2">
      <c r="A296" s="496"/>
      <c r="B296" s="496"/>
      <c r="C296" s="496"/>
      <c r="D296" s="44"/>
      <c r="E296" s="465"/>
      <c r="F296" s="8"/>
      <c r="G296" s="8"/>
      <c r="H296" s="16"/>
      <c r="K296" s="8"/>
    </row>
    <row r="297" spans="1:32" s="2" customFormat="1" ht="14.25" customHeight="1" x14ac:dyDescent="0.25">
      <c r="A297" s="8"/>
      <c r="B297" s="8"/>
      <c r="C297" s="39"/>
      <c r="D297" s="37"/>
      <c r="E297" s="465"/>
      <c r="F297" s="8"/>
      <c r="G297" s="8"/>
      <c r="H297" s="16"/>
      <c r="K297" s="8"/>
    </row>
    <row r="298" spans="1:32" s="2" customFormat="1" ht="30" customHeight="1" x14ac:dyDescent="0.2">
      <c r="A298" s="484"/>
      <c r="B298" s="649"/>
      <c r="C298" s="649"/>
      <c r="D298" s="46" t="s">
        <v>72</v>
      </c>
      <c r="E298" s="181">
        <f>IF(B299&lt;b/6,((SUM(E274:E280)-E282)/b)*(1+6*B299/b),2*(SUM(E274:E280)-E282)/(3*(b/2-B299)))</f>
        <v>15.451289957580684</v>
      </c>
      <c r="F298" s="48" t="s">
        <v>25</v>
      </c>
      <c r="G298" s="48" t="str">
        <f>IF(E298&lt;I298,"&lt;","&gt;")</f>
        <v>&lt;</v>
      </c>
      <c r="H298" s="46" t="s">
        <v>75</v>
      </c>
      <c r="I298" s="49">
        <f>I49</f>
        <v>400</v>
      </c>
      <c r="J298" s="48" t="s">
        <v>25</v>
      </c>
      <c r="K298" s="50" t="str">
        <f>IF(G298="&lt;","O.K.","not O.K.")</f>
        <v>O.K.</v>
      </c>
    </row>
    <row r="299" spans="1:32" s="2" customFormat="1" ht="14.25" customHeight="1" x14ac:dyDescent="0.2">
      <c r="A299" s="491">
        <f>(SUM(I274:J281,I287)-SUM(I282:J286))/(SUM(E274:E281)-E282)</f>
        <v>3.3775653408222963</v>
      </c>
      <c r="B299" s="656">
        <f>b/2-A299</f>
        <v>0.3974346591777036</v>
      </c>
      <c r="C299" s="660"/>
      <c r="D299" s="304" t="s">
        <v>73</v>
      </c>
      <c r="E299" s="181">
        <f>IF(B299&lt;b/6,((SUM(E274:E280)-E282)/b)*(1-6*B299/b),0)</f>
        <v>8.0337312344722971</v>
      </c>
      <c r="F299" s="183" t="s">
        <v>25</v>
      </c>
      <c r="G299" s="183" t="str">
        <f>IF(E299&lt;I299,"&lt;","&gt;")</f>
        <v>&gt;</v>
      </c>
      <c r="H299" s="304" t="s">
        <v>74</v>
      </c>
      <c r="I299" s="305">
        <v>0</v>
      </c>
      <c r="J299" s="183" t="s">
        <v>25</v>
      </c>
      <c r="K299" s="306" t="str">
        <f>IF(E299&lt;I299,"not O.K.","O.K.")</f>
        <v>O.K.</v>
      </c>
      <c r="L299" s="193"/>
      <c r="M299" s="193"/>
      <c r="N299" s="236"/>
      <c r="O299" s="236"/>
      <c r="P299" s="236"/>
    </row>
    <row r="300" spans="1:32" s="2" customFormat="1" ht="14.25" customHeight="1" x14ac:dyDescent="0.2">
      <c r="A300" s="193"/>
      <c r="B300" s="193"/>
      <c r="C300" s="193"/>
      <c r="D300" s="193"/>
      <c r="E300" s="193"/>
      <c r="F300" s="193"/>
      <c r="G300" s="193"/>
      <c r="H300" s="193"/>
      <c r="I300" s="293"/>
      <c r="J300" s="193"/>
      <c r="K300" s="193"/>
      <c r="L300" s="193"/>
      <c r="M300" s="193"/>
      <c r="N300" s="236"/>
      <c r="O300" s="236"/>
      <c r="P300" s="236"/>
    </row>
    <row r="301" spans="1:32" s="2" customFormat="1" ht="14.25" customHeight="1" x14ac:dyDescent="0.2">
      <c r="A301" s="307" t="s">
        <v>69</v>
      </c>
      <c r="B301" s="299"/>
      <c r="C301" s="299"/>
      <c r="D301" s="299"/>
      <c r="E301" s="299"/>
      <c r="F301" s="299"/>
      <c r="G301" s="299"/>
      <c r="H301" s="196"/>
      <c r="I301" s="302"/>
      <c r="J301" s="299"/>
      <c r="K301" s="299"/>
      <c r="L301" s="193"/>
      <c r="M301" s="193"/>
      <c r="N301" s="236"/>
      <c r="O301" s="236"/>
      <c r="P301" s="236"/>
    </row>
    <row r="302" spans="1:32" s="2" customFormat="1" ht="30" customHeight="1" x14ac:dyDescent="0.25">
      <c r="A302" s="702" t="s">
        <v>64</v>
      </c>
      <c r="B302" s="702"/>
      <c r="C302" s="702" t="s">
        <v>65</v>
      </c>
      <c r="D302" s="702"/>
      <c r="E302" s="710"/>
      <c r="F302" s="711"/>
      <c r="G302" s="308"/>
      <c r="H302" s="295" t="s">
        <v>66</v>
      </c>
      <c r="I302" s="309"/>
      <c r="J302" s="310"/>
      <c r="K302" s="261"/>
      <c r="L302" s="193"/>
      <c r="M302" s="193"/>
      <c r="N302" s="236"/>
      <c r="O302" s="236"/>
      <c r="P302" s="236"/>
    </row>
    <row r="303" spans="1:32" s="2" customFormat="1" ht="14.25" customHeight="1" x14ac:dyDescent="0.2">
      <c r="A303" s="701">
        <f>SUM(I274:J281)+I287</f>
        <v>481.17997679999991</v>
      </c>
      <c r="B303" s="701"/>
      <c r="C303" s="701">
        <f>SUM(I282:J286)</f>
        <v>174.30805218468964</v>
      </c>
      <c r="D303" s="701"/>
      <c r="E303" s="656">
        <f>A303/C303</f>
        <v>2.7605149089163215</v>
      </c>
      <c r="F303" s="657"/>
      <c r="G303" s="290" t="str">
        <f>IF(ROUND(E303,1)&lt;H303,"&lt;","&gt;")</f>
        <v>&gt;</v>
      </c>
      <c r="H303" s="291">
        <v>1.5</v>
      </c>
      <c r="I303" s="292" t="str">
        <f>IF(G303="&gt;","O.K.","not O.K.")</f>
        <v>O.K.</v>
      </c>
      <c r="J303" s="293"/>
      <c r="K303" s="293"/>
      <c r="L303" s="168"/>
      <c r="M303" s="168"/>
      <c r="N303" s="729"/>
      <c r="O303" s="729"/>
      <c r="P303" s="237"/>
      <c r="Q303" s="9"/>
      <c r="R303" s="9"/>
    </row>
    <row r="304" spans="1:32" s="2" customFormat="1" ht="14.25" customHeight="1" x14ac:dyDescent="0.2">
      <c r="A304" s="299"/>
      <c r="B304" s="299"/>
      <c r="C304" s="299"/>
      <c r="D304" s="299"/>
      <c r="E304" s="299"/>
      <c r="F304" s="299"/>
      <c r="G304" s="299"/>
      <c r="H304" s="196"/>
      <c r="I304" s="302"/>
      <c r="J304" s="299"/>
      <c r="K304" s="299"/>
      <c r="L304" s="168"/>
      <c r="M304" s="168"/>
      <c r="N304" s="233"/>
      <c r="O304" s="233"/>
      <c r="P304" s="238"/>
      <c r="Q304" s="223"/>
      <c r="R304" s="9"/>
    </row>
    <row r="305" spans="1:27" s="2" customFormat="1" ht="14.25" customHeight="1" x14ac:dyDescent="0.2">
      <c r="A305" s="307" t="s">
        <v>70</v>
      </c>
      <c r="B305" s="299"/>
      <c r="C305" s="299"/>
      <c r="D305" s="299"/>
      <c r="E305" s="299"/>
      <c r="F305" s="299"/>
      <c r="G305" s="299"/>
      <c r="H305" s="196"/>
      <c r="I305" s="302"/>
      <c r="J305" s="299"/>
      <c r="K305" s="299"/>
      <c r="L305" s="671"/>
      <c r="M305" s="671"/>
      <c r="N305" s="234"/>
      <c r="O305" s="234"/>
      <c r="P305" s="234"/>
      <c r="Q305" s="47"/>
      <c r="R305" s="9"/>
    </row>
    <row r="306" spans="1:27" s="2" customFormat="1" ht="30" customHeight="1" x14ac:dyDescent="0.2">
      <c r="A306" s="702" t="s">
        <v>67</v>
      </c>
      <c r="B306" s="702"/>
      <c r="C306" s="702" t="s">
        <v>68</v>
      </c>
      <c r="D306" s="702"/>
      <c r="E306" s="294" t="s">
        <v>11</v>
      </c>
      <c r="F306" s="703"/>
      <c r="G306" s="704"/>
      <c r="H306" s="295"/>
      <c r="I306" s="295" t="s">
        <v>66</v>
      </c>
      <c r="J306" s="296"/>
      <c r="K306" s="297"/>
      <c r="L306" s="671"/>
      <c r="M306" s="671"/>
      <c r="N306" s="235"/>
      <c r="O306" s="234"/>
      <c r="P306" s="234"/>
      <c r="Q306" s="224"/>
      <c r="R306" s="9"/>
    </row>
    <row r="307" spans="1:27" s="2" customFormat="1" ht="14.25" customHeight="1" x14ac:dyDescent="0.2">
      <c r="A307" s="656">
        <f>IF((SUM(E283:E286)-E287-E289-E290)&lt;0,-(SUM(E283:E286)-E287-E289-E290),(SUM(E283:E286)-E287-E289-E290))</f>
        <v>13.805602833350189</v>
      </c>
      <c r="B307" s="660"/>
      <c r="C307" s="701">
        <f>SUM(E274:E281)-E282</f>
        <v>90.855955000000009</v>
      </c>
      <c r="D307" s="701"/>
      <c r="E307" s="298">
        <f>I47</f>
        <v>0.65</v>
      </c>
      <c r="F307" s="656">
        <f>C307*E307/A307</f>
        <v>4.2777103950388575</v>
      </c>
      <c r="G307" s="657"/>
      <c r="H307" s="290" t="str">
        <f>IF(ROUND(F307,1)&lt;I307,"&lt;","&gt;")</f>
        <v>&gt;</v>
      </c>
      <c r="I307" s="291">
        <v>1.5</v>
      </c>
      <c r="J307" s="292" t="str">
        <f>IF(H307="&gt;","O.K.","not O.K.")</f>
        <v>O.K.</v>
      </c>
      <c r="K307" s="299"/>
      <c r="L307" s="671"/>
      <c r="M307" s="671"/>
      <c r="N307" s="234"/>
      <c r="O307" s="234"/>
      <c r="P307" s="234"/>
      <c r="Q307" s="224"/>
      <c r="R307" s="9"/>
    </row>
    <row r="308" spans="1:27" s="2" customFormat="1" ht="14.25" customHeight="1" x14ac:dyDescent="0.2">
      <c r="A308" s="193"/>
      <c r="B308" s="193"/>
      <c r="C308" s="193"/>
      <c r="D308" s="193"/>
      <c r="E308" s="193"/>
      <c r="F308" s="193"/>
      <c r="G308" s="193"/>
      <c r="H308" s="193"/>
      <c r="I308" s="193"/>
      <c r="J308" s="193"/>
      <c r="K308" s="193"/>
      <c r="L308" s="671"/>
      <c r="M308" s="671"/>
      <c r="N308" s="234"/>
      <c r="O308" s="234"/>
      <c r="P308" s="234"/>
      <c r="Q308" s="47"/>
      <c r="R308" s="9"/>
    </row>
    <row r="309" spans="1:27" s="2" customFormat="1" ht="12.75" x14ac:dyDescent="0.2">
      <c r="A309" s="193"/>
      <c r="B309" s="193"/>
      <c r="C309" s="193"/>
      <c r="D309" s="193"/>
      <c r="E309" s="193"/>
      <c r="F309" s="193"/>
      <c r="G309" s="193"/>
      <c r="H309" s="193"/>
      <c r="I309" s="193"/>
      <c r="J309" s="193"/>
      <c r="K309" s="193"/>
      <c r="L309" s="168"/>
      <c r="M309" s="168"/>
      <c r="N309" s="237"/>
      <c r="O309" s="237"/>
      <c r="P309" s="237"/>
      <c r="Q309" s="9"/>
      <c r="R309" s="9"/>
    </row>
    <row r="310" spans="1:27" s="2" customFormat="1" ht="12.75" x14ac:dyDescent="0.2">
      <c r="A310" s="311" t="s">
        <v>180</v>
      </c>
      <c r="B310" s="193"/>
      <c r="C310" s="193"/>
      <c r="D310" s="193"/>
      <c r="E310" s="193"/>
      <c r="F310" s="193"/>
      <c r="G310" s="193"/>
      <c r="H310" s="193"/>
      <c r="I310" s="193"/>
      <c r="J310" s="193"/>
      <c r="K310" s="193"/>
      <c r="L310" s="168"/>
      <c r="M310" s="168"/>
      <c r="N310" s="237"/>
      <c r="O310" s="237"/>
      <c r="P310" s="237"/>
      <c r="Q310" s="9"/>
      <c r="R310" s="9"/>
    </row>
    <row r="311" spans="1:27" s="2" customFormat="1" ht="12.75" x14ac:dyDescent="0.2">
      <c r="A311" s="193"/>
      <c r="B311" s="193"/>
      <c r="C311" s="193"/>
      <c r="D311" s="193"/>
      <c r="E311" s="193"/>
      <c r="F311" s="193"/>
      <c r="G311" s="193"/>
      <c r="H311" s="193"/>
      <c r="I311" s="193"/>
      <c r="J311" s="193"/>
      <c r="K311" s="193"/>
      <c r="L311" s="193"/>
      <c r="M311" s="193"/>
      <c r="N311" s="193"/>
      <c r="O311" s="193"/>
      <c r="P311" s="236"/>
    </row>
    <row r="312" spans="1:27" s="2" customFormat="1" ht="12.75" x14ac:dyDescent="0.2">
      <c r="A312" s="312" t="s">
        <v>199</v>
      </c>
      <c r="B312" s="193"/>
      <c r="C312" s="193"/>
      <c r="D312" s="193"/>
      <c r="E312" s="193"/>
      <c r="F312" s="193"/>
      <c r="G312" s="193"/>
      <c r="H312" s="193"/>
      <c r="I312" s="193"/>
      <c r="J312" s="193"/>
      <c r="K312" s="193"/>
      <c r="L312" s="193"/>
      <c r="M312" s="193"/>
      <c r="N312" s="193"/>
      <c r="O312" s="193"/>
    </row>
    <row r="313" spans="1:27" s="2" customFormat="1" x14ac:dyDescent="0.2">
      <c r="E313" s="193"/>
      <c r="L313" s="1"/>
      <c r="M313" s="1"/>
      <c r="N313" s="1"/>
      <c r="O313" s="1"/>
      <c r="P313" s="1"/>
      <c r="Q313" s="1"/>
      <c r="R313" s="1"/>
      <c r="S313" s="1"/>
      <c r="T313" s="1"/>
      <c r="U313" s="1"/>
    </row>
    <row r="314" spans="1:27" s="2" customFormat="1" x14ac:dyDescent="0.2">
      <c r="E314" s="193"/>
      <c r="L314" s="1"/>
      <c r="M314" s="1"/>
      <c r="N314" s="1"/>
      <c r="O314" s="1"/>
      <c r="P314" s="1"/>
      <c r="Q314" s="1"/>
      <c r="R314" s="1"/>
      <c r="S314" s="1"/>
      <c r="T314" s="1"/>
      <c r="U314" s="1"/>
    </row>
    <row r="315" spans="1:27" s="2" customFormat="1" x14ac:dyDescent="0.2">
      <c r="E315" s="193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</row>
    <row r="316" spans="1:27" s="2" customFormat="1" x14ac:dyDescent="0.2">
      <c r="E316" s="193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</row>
    <row r="317" spans="1:27" s="2" customFormat="1" x14ac:dyDescent="0.2">
      <c r="E317" s="193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</row>
    <row r="318" spans="1:27" s="2" customFormat="1" x14ac:dyDescent="0.2">
      <c r="E318" s="193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</row>
    <row r="319" spans="1:27" s="2" customFormat="1" x14ac:dyDescent="0.2">
      <c r="E319" s="193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</row>
    <row r="320" spans="1:27" s="2" customFormat="1" x14ac:dyDescent="0.2">
      <c r="E320" s="193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</row>
    <row r="321" spans="1:27" s="2" customFormat="1" x14ac:dyDescent="0.2">
      <c r="E321" s="193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</row>
    <row r="322" spans="1:27" s="2" customFormat="1" x14ac:dyDescent="0.2">
      <c r="E322" s="193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</row>
    <row r="326" spans="1:27" x14ac:dyDescent="0.2">
      <c r="A326" s="261"/>
    </row>
    <row r="327" spans="1:27" x14ac:dyDescent="0.2">
      <c r="A327" s="261"/>
    </row>
    <row r="328" spans="1:27" x14ac:dyDescent="0.2">
      <c r="A328" s="261"/>
    </row>
    <row r="329" spans="1:27" x14ac:dyDescent="0.2">
      <c r="A329" s="261"/>
      <c r="Q329" s="12"/>
      <c r="R329" s="12"/>
      <c r="S329" s="12"/>
      <c r="T329" s="12"/>
      <c r="U329" s="12"/>
      <c r="V329" s="12"/>
      <c r="W329" s="12"/>
      <c r="X329" s="12"/>
      <c r="Y329" s="12"/>
      <c r="Z329" s="12"/>
      <c r="AA329" s="12"/>
    </row>
    <row r="330" spans="1:27" x14ac:dyDescent="0.2">
      <c r="Q330" s="12"/>
      <c r="R330" s="12"/>
      <c r="S330" s="12"/>
      <c r="T330" s="12"/>
      <c r="U330" s="12"/>
      <c r="V330" s="12"/>
      <c r="W330" s="12"/>
      <c r="X330" s="12"/>
      <c r="Y330" s="12"/>
      <c r="Z330" s="12"/>
      <c r="AA330" s="12"/>
    </row>
    <row r="331" spans="1:27" ht="31.5" customHeight="1" thickBot="1" x14ac:dyDescent="0.25">
      <c r="B331" s="160"/>
      <c r="C331" s="160"/>
      <c r="D331" s="160"/>
      <c r="E331" s="666" t="s">
        <v>174</v>
      </c>
      <c r="F331" s="667"/>
      <c r="G331" s="666" t="s">
        <v>54</v>
      </c>
      <c r="H331" s="667"/>
      <c r="I331" s="628" t="s">
        <v>55</v>
      </c>
      <c r="J331" s="628"/>
      <c r="K331" s="628"/>
      <c r="Q331" s="12"/>
      <c r="R331" s="12"/>
      <c r="S331" s="12"/>
      <c r="T331" s="12"/>
      <c r="U331" s="12"/>
      <c r="V331" s="12"/>
      <c r="W331" s="12"/>
      <c r="X331" s="12"/>
      <c r="Y331" s="12"/>
      <c r="Z331" s="12"/>
      <c r="AA331" s="12"/>
    </row>
    <row r="332" spans="1:27" ht="15.75" thickTop="1" x14ac:dyDescent="0.25">
      <c r="A332" s="159" t="s">
        <v>173</v>
      </c>
      <c r="Q332" s="47"/>
      <c r="R332" s="653"/>
      <c r="S332" s="653"/>
      <c r="T332" s="41"/>
      <c r="U332" s="653"/>
      <c r="V332" s="653"/>
      <c r="W332" s="496"/>
      <c r="X332" s="12"/>
      <c r="Y332" s="12"/>
      <c r="Z332" s="12"/>
      <c r="AA332" s="12"/>
    </row>
    <row r="333" spans="1:27" x14ac:dyDescent="0.2">
      <c r="A333" s="697" t="str">
        <f>"1.6 x PS= 1.6x"&amp;ROUND(kas,3)&amp;"x"&amp;(hw-0.5)&amp;"x"&amp;q</f>
        <v>1.6 x PS= 1.6x0.585x6.6x1.14</v>
      </c>
      <c r="B333" s="697"/>
      <c r="C333" s="697"/>
      <c r="D333" s="697"/>
      <c r="E333" s="665">
        <f>1.6*kas*(hw-0.5)*q</f>
        <v>7.0400740054303386</v>
      </c>
      <c r="F333" s="665"/>
      <c r="G333" s="665">
        <f>(hw-0.5)/2</f>
        <v>3.3</v>
      </c>
      <c r="H333" s="665"/>
      <c r="J333" s="60">
        <f>+G333*E333</f>
        <v>23.232244217920115</v>
      </c>
      <c r="L333" s="48"/>
      <c r="M333" s="647"/>
      <c r="N333" s="647"/>
      <c r="O333" s="647"/>
      <c r="P333" s="647"/>
      <c r="Q333" s="47"/>
      <c r="R333" s="653"/>
      <c r="S333" s="653"/>
      <c r="T333" s="41"/>
      <c r="U333" s="653"/>
      <c r="V333" s="653"/>
      <c r="W333" s="496"/>
      <c r="X333" s="12"/>
      <c r="Y333" s="12"/>
      <c r="Z333" s="12"/>
      <c r="AA333" s="12"/>
    </row>
    <row r="334" spans="1:27" x14ac:dyDescent="0.2">
      <c r="A334" s="697" t="str">
        <f>"1.6 x PA= 1.6x"&amp;ROUND(kas,3)&amp;"x"&amp;(hw-0.5)&amp;"x"&amp;(hw-0.5)&amp;"x"&amp;ROUND(gnor,2)&amp;"/2="</f>
        <v>1.6 x PA= 1.6x0.585x6.6x6.6x1.8/2=</v>
      </c>
      <c r="B334" s="697"/>
      <c r="C334" s="697"/>
      <c r="D334" s="697"/>
      <c r="E334" s="665">
        <f>1.6*kas*(hw-0.5)^2*gnor/2</f>
        <v>36.682490870400187</v>
      </c>
      <c r="F334" s="665"/>
      <c r="G334" s="665">
        <f>(hw-0.5)/3</f>
        <v>2.1999999999999997</v>
      </c>
      <c r="H334" s="665"/>
      <c r="J334" s="60">
        <f>+G334*E334</f>
        <v>80.701479914880409</v>
      </c>
      <c r="L334" s="48"/>
      <c r="M334" s="496"/>
      <c r="N334" s="496"/>
      <c r="O334" s="496"/>
      <c r="P334" s="496"/>
      <c r="Q334" s="47"/>
      <c r="R334" s="508"/>
      <c r="S334" s="508"/>
      <c r="T334" s="41"/>
      <c r="U334" s="508"/>
      <c r="V334" s="508"/>
      <c r="W334" s="496"/>
      <c r="X334" s="12"/>
      <c r="Y334" s="12"/>
      <c r="Z334" s="12"/>
      <c r="AA334" s="12"/>
    </row>
    <row r="335" spans="1:27" ht="5.0999999999999996" customHeight="1" thickBot="1" x14ac:dyDescent="0.25">
      <c r="A335" s="697"/>
      <c r="B335" s="697"/>
      <c r="C335" s="697"/>
      <c r="D335" s="697"/>
      <c r="E335" s="709"/>
      <c r="F335" s="709"/>
      <c r="G335" s="696"/>
      <c r="H335" s="696"/>
      <c r="I335" s="163"/>
      <c r="J335" s="164"/>
      <c r="K335" s="163"/>
      <c r="L335" s="48"/>
      <c r="M335" s="647"/>
      <c r="N335" s="647"/>
      <c r="O335" s="647"/>
      <c r="P335" s="647"/>
      <c r="Q335" s="47"/>
      <c r="R335" s="669"/>
      <c r="S335" s="669"/>
      <c r="T335" s="41"/>
      <c r="U335" s="653"/>
      <c r="V335" s="653"/>
      <c r="W335" s="496"/>
      <c r="X335" s="12"/>
      <c r="Y335" s="12"/>
      <c r="Z335" s="12"/>
      <c r="AA335" s="12"/>
    </row>
    <row r="336" spans="1:27" ht="5.0999999999999996" customHeight="1" thickTop="1" x14ac:dyDescent="0.2">
      <c r="A336" s="505"/>
      <c r="B336" s="505"/>
      <c r="C336" s="505"/>
      <c r="D336" s="505"/>
      <c r="E336" s="501"/>
      <c r="F336" s="509"/>
      <c r="G336" s="498"/>
      <c r="H336" s="498"/>
      <c r="I336" s="12"/>
      <c r="J336" s="165"/>
      <c r="K336" s="12"/>
      <c r="L336" s="48"/>
      <c r="M336" s="496"/>
      <c r="N336" s="496"/>
      <c r="O336" s="496"/>
      <c r="P336" s="496"/>
      <c r="Q336" s="47"/>
      <c r="R336" s="509"/>
      <c r="S336" s="509"/>
      <c r="T336" s="41"/>
      <c r="U336" s="508"/>
      <c r="V336" s="508"/>
      <c r="W336" s="496"/>
      <c r="X336" s="12"/>
      <c r="Y336" s="12"/>
      <c r="Z336" s="12"/>
      <c r="AA336" s="12"/>
    </row>
    <row r="337" spans="1:27" ht="15" x14ac:dyDescent="0.25">
      <c r="B337" s="12"/>
      <c r="C337" s="12"/>
      <c r="D337" s="94" t="s">
        <v>175</v>
      </c>
      <c r="E337" s="707">
        <f>+E333+E334</f>
        <v>43.722564875830528</v>
      </c>
      <c r="F337" s="707"/>
      <c r="H337" s="94"/>
      <c r="I337" s="94"/>
      <c r="J337" s="162">
        <f>+J334+J333</f>
        <v>103.93372413280052</v>
      </c>
      <c r="K337" s="12"/>
      <c r="L337" s="48"/>
      <c r="M337" s="647"/>
      <c r="N337" s="647"/>
      <c r="O337" s="647"/>
      <c r="P337" s="647"/>
      <c r="Q337" s="47"/>
      <c r="R337" s="653"/>
      <c r="S337" s="653"/>
      <c r="T337" s="41"/>
      <c r="U337" s="653"/>
      <c r="V337" s="653"/>
      <c r="W337" s="496"/>
      <c r="X337" s="12"/>
      <c r="Y337" s="12"/>
      <c r="Z337" s="12"/>
      <c r="AA337" s="12"/>
    </row>
    <row r="338" spans="1:27" ht="17.25" customHeight="1" x14ac:dyDescent="0.2">
      <c r="L338" s="48"/>
      <c r="M338" s="647"/>
      <c r="N338" s="647"/>
      <c r="O338" s="647"/>
      <c r="P338" s="647"/>
      <c r="Q338" s="47"/>
      <c r="R338" s="12"/>
      <c r="S338" s="12"/>
      <c r="T338" s="41"/>
      <c r="U338" s="653"/>
      <c r="V338" s="653"/>
      <c r="W338" s="496"/>
      <c r="X338" s="12"/>
      <c r="Y338" s="12"/>
      <c r="Z338" s="12"/>
      <c r="AA338" s="12"/>
    </row>
    <row r="339" spans="1:27" ht="15" customHeight="1" x14ac:dyDescent="0.25">
      <c r="A339" s="159" t="s">
        <v>176</v>
      </c>
      <c r="L339" s="12"/>
      <c r="M339" s="12"/>
      <c r="N339" s="12"/>
      <c r="O339" s="12"/>
      <c r="P339" s="12"/>
      <c r="Q339" s="47"/>
      <c r="R339" s="653"/>
      <c r="S339" s="653"/>
      <c r="T339" s="41"/>
      <c r="U339" s="653"/>
      <c r="V339" s="653"/>
      <c r="W339" s="496"/>
      <c r="X339" s="12"/>
      <c r="Y339" s="12"/>
      <c r="Z339" s="12"/>
      <c r="AA339" s="12"/>
    </row>
    <row r="340" spans="1:27" ht="15" customHeight="1" x14ac:dyDescent="0.2">
      <c r="A340" s="697" t="str">
        <f>"PA = "&amp;ROUND(kas,3)&amp;"x"&amp;(hw-0.5)&amp;"²x"&amp;ROUND(gnor,2)&amp;"/2= "</f>
        <v xml:space="preserve">PA = 0.585x6.6²x1.8/2= </v>
      </c>
      <c r="B340" s="697"/>
      <c r="C340" s="697"/>
      <c r="D340" s="697"/>
      <c r="E340" s="633">
        <f>ROUND(kas*(hw-0.5)*(hw-0.5)*gnor/2,2)</f>
        <v>22.93</v>
      </c>
      <c r="F340" s="633"/>
      <c r="G340" s="665">
        <f>+(hw-0.5)/3</f>
        <v>2.1999999999999997</v>
      </c>
      <c r="H340" s="665"/>
      <c r="J340" s="60">
        <f>+G340*E340</f>
        <v>50.445999999999991</v>
      </c>
      <c r="L340" s="12"/>
      <c r="M340" s="12"/>
      <c r="N340" s="12"/>
      <c r="O340" s="12"/>
      <c r="P340" s="12"/>
      <c r="Q340" s="47"/>
      <c r="R340" s="508"/>
      <c r="S340" s="508"/>
      <c r="T340" s="41"/>
      <c r="U340" s="508"/>
      <c r="V340" s="508"/>
      <c r="W340" s="496"/>
      <c r="X340" s="12"/>
      <c r="Y340" s="12"/>
      <c r="Z340" s="12"/>
      <c r="AA340" s="12"/>
    </row>
    <row r="341" spans="1:27" ht="15" customHeight="1" x14ac:dyDescent="0.2">
      <c r="A341" s="697" t="str">
        <f>"PAD = "&amp;ROUND(MAX(J82:K83),3)&amp;"x"&amp;(hw-0.5)&amp;"²x"&amp;ROUND(gnor,2)&amp;"/2="</f>
        <v>PAD = 0.939x6.6²x1.8/2=</v>
      </c>
      <c r="B341" s="697"/>
      <c r="C341" s="697"/>
      <c r="D341" s="697"/>
      <c r="E341" s="665">
        <f>(MAX(J82:K83))*(hw-0.5)^2*(gnor)/2</f>
        <v>36.829800732432147</v>
      </c>
      <c r="F341" s="665"/>
      <c r="G341" s="665">
        <f>2*(hw-0.5)/3</f>
        <v>4.3999999999999995</v>
      </c>
      <c r="H341" s="665"/>
      <c r="J341" s="60">
        <f>+G341*E341</f>
        <v>162.05112322270142</v>
      </c>
      <c r="L341" s="12"/>
      <c r="M341" s="12"/>
      <c r="N341" s="12"/>
      <c r="O341" s="12"/>
      <c r="P341" s="12"/>
      <c r="Q341" s="47"/>
      <c r="R341" s="508"/>
      <c r="S341" s="508"/>
      <c r="T341" s="41"/>
      <c r="U341" s="508"/>
      <c r="V341" s="508"/>
      <c r="W341" s="496"/>
      <c r="X341" s="12"/>
      <c r="Y341" s="12"/>
      <c r="Z341" s="12"/>
      <c r="AA341" s="12"/>
    </row>
    <row r="342" spans="1:27" ht="15" customHeight="1" x14ac:dyDescent="0.2">
      <c r="A342" s="697" t="str">
        <f>"WB1D = "&amp;ROUND((bw-bt),2)&amp;"x"&amp;hw&amp;"x"&amp;ROUND(gc,2)&amp;"x"&amp;ROUND(I38,3)&amp;"/2="</f>
        <v>WB1D = 3.55x7.1x2.4x0.297/2=</v>
      </c>
      <c r="B342" s="697"/>
      <c r="C342" s="697"/>
      <c r="D342" s="697"/>
      <c r="E342" s="665">
        <f>((bw-bt))*hw*gc*I38/2</f>
        <v>8.9931439999999991</v>
      </c>
      <c r="F342" s="665"/>
      <c r="G342" s="665">
        <f>hw/3</f>
        <v>2.3666666666666667</v>
      </c>
      <c r="H342" s="665"/>
      <c r="J342" s="60">
        <f>+G342*E342</f>
        <v>21.283774133333331</v>
      </c>
      <c r="L342" s="12"/>
      <c r="M342" s="12"/>
      <c r="N342" s="12"/>
      <c r="O342" s="12"/>
      <c r="P342" s="12"/>
      <c r="Q342" s="47"/>
      <c r="R342" s="508"/>
      <c r="S342" s="508"/>
      <c r="T342" s="41"/>
      <c r="U342" s="508"/>
      <c r="V342" s="508"/>
      <c r="W342" s="496"/>
      <c r="X342" s="12"/>
      <c r="Y342" s="12"/>
      <c r="Z342" s="12"/>
      <c r="AA342" s="12"/>
    </row>
    <row r="343" spans="1:27" ht="15" customHeight="1" thickBot="1" x14ac:dyDescent="0.25">
      <c r="A343" s="697" t="str">
        <f>"WB2D ="&amp;hw&amp;"x"&amp;bt&amp;"x"&amp;gc&amp;"x"&amp;ROUND(I38,3)&amp;"="</f>
        <v>WB2D =7.1x1x2.4x0.297=</v>
      </c>
      <c r="B343" s="697"/>
      <c r="C343" s="697"/>
      <c r="D343" s="697"/>
      <c r="E343" s="708">
        <f>hw*bt*gc*I38</f>
        <v>5.06656</v>
      </c>
      <c r="F343" s="708"/>
      <c r="G343" s="665">
        <f>hw/2</f>
        <v>3.55</v>
      </c>
      <c r="H343" s="665"/>
      <c r="I343" s="163"/>
      <c r="J343" s="164">
        <f>+G343*E343</f>
        <v>17.986287999999998</v>
      </c>
      <c r="K343" s="163"/>
      <c r="L343" s="12"/>
      <c r="Q343" s="47"/>
      <c r="R343" s="508"/>
      <c r="S343" s="508"/>
      <c r="T343" s="41"/>
      <c r="U343" s="508"/>
      <c r="V343" s="508"/>
      <c r="W343" s="496"/>
      <c r="X343" s="12"/>
      <c r="Y343" s="12"/>
      <c r="Z343" s="12"/>
      <c r="AA343" s="12"/>
    </row>
    <row r="344" spans="1:27" ht="15" customHeight="1" thickTop="1" x14ac:dyDescent="0.25">
      <c r="B344" s="12"/>
      <c r="C344" s="12"/>
      <c r="D344" s="94" t="s">
        <v>175</v>
      </c>
      <c r="E344" s="707">
        <f>SUM(E340:F343)</f>
        <v>73.819504732432137</v>
      </c>
      <c r="F344" s="707"/>
      <c r="H344" s="94"/>
      <c r="I344" s="94"/>
      <c r="J344" s="162">
        <f>+J343+J340+J341+J342</f>
        <v>251.76718535603476</v>
      </c>
      <c r="K344" s="94"/>
      <c r="L344" s="12"/>
      <c r="Q344" s="47"/>
      <c r="R344" s="508"/>
      <c r="S344" s="508"/>
      <c r="T344" s="41"/>
      <c r="U344" s="508"/>
      <c r="V344" s="508"/>
      <c r="W344" s="496"/>
      <c r="X344" s="12"/>
      <c r="Y344" s="12"/>
      <c r="Z344" s="12"/>
      <c r="AA344" s="12"/>
    </row>
    <row r="345" spans="1:27" ht="15" customHeight="1" x14ac:dyDescent="0.25">
      <c r="B345" s="12"/>
      <c r="C345" s="12"/>
      <c r="D345" s="94"/>
      <c r="E345" s="468"/>
      <c r="F345" s="497"/>
      <c r="H345" s="94"/>
      <c r="I345" s="94"/>
      <c r="J345" s="162"/>
      <c r="K345" s="12"/>
      <c r="L345" s="12"/>
      <c r="N345" s="1" t="s">
        <v>200</v>
      </c>
      <c r="Q345" s="47"/>
      <c r="R345" s="508"/>
      <c r="S345" s="508"/>
      <c r="T345" s="41"/>
      <c r="U345" s="508"/>
      <c r="V345" s="508"/>
      <c r="W345" s="496"/>
    </row>
    <row r="346" spans="1:27" ht="15" customHeight="1" x14ac:dyDescent="0.25">
      <c r="A346" s="159" t="s">
        <v>201</v>
      </c>
      <c r="L346" s="12"/>
      <c r="Q346" s="47"/>
      <c r="R346" s="508"/>
      <c r="S346" s="508"/>
      <c r="T346" s="41"/>
      <c r="U346" s="508"/>
      <c r="V346" s="508"/>
      <c r="W346" s="496"/>
    </row>
    <row r="347" spans="1:27" ht="15" customHeight="1" x14ac:dyDescent="0.2">
      <c r="A347" s="697" t="str">
        <f>"1.6xPA1 = 1.6x"&amp;ROUND(kas,3)&amp;"x"&amp;(hw-0.5-L54)&amp;"²x"&amp;ROUND(gnor,2)&amp;"/2= "</f>
        <v xml:space="preserve">1.6xPA1 = 1.6x0.585x1.48²x1.8/2= </v>
      </c>
      <c r="B347" s="697"/>
      <c r="C347" s="697"/>
      <c r="D347" s="697"/>
      <c r="E347" s="665">
        <f>1.6*kas*(hw-0.5-L54)^2*gnor/2</f>
        <v>1.8445667585519863</v>
      </c>
      <c r="F347" s="665"/>
      <c r="G347" s="665">
        <f>(hw-0.5-L54)/3+L54</f>
        <v>5.6133333333333333</v>
      </c>
      <c r="H347" s="665"/>
      <c r="J347" s="60">
        <f>+G347*E347</f>
        <v>10.354168071338483</v>
      </c>
      <c r="L347" s="12"/>
      <c r="Q347" s="47"/>
      <c r="R347" s="508"/>
      <c r="S347" s="508"/>
      <c r="T347" s="41"/>
      <c r="U347" s="508"/>
      <c r="V347" s="508"/>
      <c r="W347" s="496"/>
    </row>
    <row r="348" spans="1:27" ht="15" customHeight="1" thickBot="1" x14ac:dyDescent="0.25">
      <c r="A348" s="697" t="str">
        <f>"1.6xPA2= 1.6x"&amp;ROUND(kas,3)&amp;"x("&amp;ROUND(gnor*(h-0.5-hsuf),2)&amp;"+"&amp;ROUND((gdoy*(L54)+gnor*((h-0.5-hsuf))),2)&amp;")x"&amp;L54&amp;"/2="</f>
        <v>1.6xPA2= 1.6x0.585x(2.66+12.9)x5.12/2=</v>
      </c>
      <c r="B348" s="697"/>
      <c r="C348" s="697"/>
      <c r="D348" s="697"/>
      <c r="E348" s="708">
        <f>1.6*kas*(gnor*(hw-0.5-L54)+gnor*(hw-0.5-L54)+gdoy*L54)/2*L54</f>
        <v>37.290759252836409</v>
      </c>
      <c r="F348" s="708"/>
      <c r="G348" s="665">
        <f>(gnor*(hw-0.5-L54)*L54*L54/2+gdoy*L54*L54*L54/3/2)/(gnor*(hw-0.5-L54)*L54+gdoy*L54*L54/2)</f>
        <v>1.9987118876327512</v>
      </c>
      <c r="H348" s="665"/>
      <c r="I348" s="164"/>
      <c r="J348" s="164">
        <f>G348*E348</f>
        <v>74.533483817495139</v>
      </c>
      <c r="K348" s="164"/>
      <c r="L348" s="12"/>
      <c r="Q348" s="47"/>
      <c r="R348" s="508"/>
      <c r="S348" s="508"/>
      <c r="T348" s="41"/>
      <c r="U348" s="508"/>
      <c r="V348" s="508"/>
      <c r="W348" s="496"/>
    </row>
    <row r="349" spans="1:27" ht="15" customHeight="1" thickTop="1" x14ac:dyDescent="0.25">
      <c r="B349" s="12"/>
      <c r="C349" s="12"/>
      <c r="D349" s="94" t="s">
        <v>175</v>
      </c>
      <c r="E349" s="707">
        <f>SUM(E347:F348)</f>
        <v>39.135326011388393</v>
      </c>
      <c r="F349" s="707"/>
      <c r="H349" s="94"/>
      <c r="I349" s="94"/>
      <c r="J349" s="249">
        <f>SUM(J347:J348)</f>
        <v>84.887651888833616</v>
      </c>
      <c r="K349" s="249"/>
      <c r="L349" s="12"/>
      <c r="Q349" s="47"/>
      <c r="R349" s="508"/>
      <c r="S349" s="508"/>
      <c r="T349" s="41"/>
      <c r="U349" s="508"/>
      <c r="V349" s="508"/>
      <c r="W349" s="496"/>
    </row>
    <row r="350" spans="1:27" ht="15" customHeight="1" x14ac:dyDescent="0.25">
      <c r="B350" s="12"/>
      <c r="C350" s="12"/>
      <c r="D350" s="94"/>
      <c r="E350" s="468"/>
      <c r="F350" s="497"/>
      <c r="H350" s="94"/>
      <c r="Q350" s="47"/>
      <c r="R350" s="508"/>
      <c r="S350" s="508"/>
      <c r="T350" s="41"/>
      <c r="U350" s="508"/>
      <c r="V350" s="508"/>
      <c r="W350" s="496"/>
    </row>
    <row r="351" spans="1:27" ht="15" customHeight="1" x14ac:dyDescent="0.25">
      <c r="A351" s="159" t="s">
        <v>202</v>
      </c>
      <c r="Q351" s="47"/>
      <c r="R351" s="508"/>
      <c r="S351" s="508"/>
      <c r="T351" s="41"/>
      <c r="U351" s="508"/>
      <c r="V351" s="508"/>
      <c r="W351" s="496"/>
    </row>
    <row r="352" spans="1:27" ht="15" customHeight="1" x14ac:dyDescent="0.2">
      <c r="A352" s="697" t="str">
        <f>"1.6xPA1 = 1.6x"&amp;ROUND(kas,3)&amp;"x"&amp;(hw-0.5-L54)&amp;"²x"&amp;ROUND(gnor,2)&amp;"/2= "</f>
        <v xml:space="preserve">1.6xPA1 = 1.6x0.585x1.48²x1.8/2= </v>
      </c>
      <c r="B352" s="697"/>
      <c r="C352" s="697"/>
      <c r="D352" s="697"/>
      <c r="E352" s="665">
        <f>1.6*kas*(hw-0.5-L54)^2*gnor/2</f>
        <v>1.8445667585519863</v>
      </c>
      <c r="F352" s="665"/>
      <c r="G352" s="665">
        <f>(hw-0.5-L54)/3+L54</f>
        <v>5.6133333333333333</v>
      </c>
      <c r="H352" s="665"/>
      <c r="J352" s="60">
        <f>+G352*E352</f>
        <v>10.354168071338483</v>
      </c>
      <c r="Q352" s="47"/>
      <c r="R352" s="508"/>
      <c r="S352" s="508"/>
      <c r="T352" s="41"/>
      <c r="U352" s="508"/>
      <c r="V352" s="508"/>
      <c r="W352" s="496"/>
    </row>
    <row r="353" spans="1:23" ht="15" customHeight="1" x14ac:dyDescent="0.2">
      <c r="A353" s="697" t="str">
        <f>"1.6xPA2= 1.6x"&amp;ROUND(kas,3)&amp;"x("&amp;ROUND(gnor*(h-0.5-hsuf),2)&amp;"+"&amp;ROUND((gdoy*(hsuf-hsus)+gnor*(h-0.5-hsuf)),2)&amp;")x"&amp;(hsuf-hsus)&amp;"/2="</f>
        <v>1.6xPA2= 1.6x0.585x(2.66+9.48)x3.41/2=</v>
      </c>
      <c r="B353" s="697"/>
      <c r="C353" s="697"/>
      <c r="D353" s="697"/>
      <c r="E353" s="665">
        <f>1.6*kas*((gnor*(h-0.5-hsuf))+(gdoy*(hsuf-hsus)+gnor*(h-0.5-hsuf)))*(hsuf-hsus)/2</f>
        <v>19.380170976293865</v>
      </c>
      <c r="F353" s="665"/>
      <c r="G353" s="665">
        <f>((gnor*(h-0.5-hsuf))*(hsuf-hsus)^2/2+(gdoy*(hsuf-hsus)*(hsuf-hsus)^2/6))/((gnor*(h-0.5-hsuf))*(hsuf-hsus)+(gdoy*(hsuf-hsus)*(hsuf-hsus)/2))</f>
        <v>1.3859323894193833</v>
      </c>
      <c r="H353" s="665"/>
      <c r="J353" s="60">
        <f>+G353*E353</f>
        <v>26.859606668531139</v>
      </c>
      <c r="Q353" s="47"/>
      <c r="R353" s="508"/>
      <c r="S353" s="508"/>
      <c r="T353" s="41"/>
      <c r="U353" s="508"/>
      <c r="V353" s="508"/>
      <c r="W353" s="496"/>
    </row>
    <row r="354" spans="1:23" s="261" customFormat="1" ht="15" customHeight="1" x14ac:dyDescent="0.2">
      <c r="A354" s="697" t="str">
        <f>"1.6xPA3=1.6X"&amp;ROUND(kas,3)&amp;"x("&amp;ROUND((gdoy*(hsuf-hsus)+gnor*(h-0.5-hsuf)),2)&amp;"+"&amp;ROUND((gdoy*(hsuf-hsus)+gnor*(h-0.5-hsuf))+p*(gdoy-gw),2)&amp;")/2"&amp;"x"&amp;p&amp;"="</f>
        <v>1.6xPA3=1.6X0.585x(9.48+10.58)/2x1.1=</v>
      </c>
      <c r="B354" s="697"/>
      <c r="C354" s="697"/>
      <c r="D354" s="697"/>
      <c r="E354" s="665">
        <f>1.6*kas*(gdoy*(hsuf-hsus)+gnor*(h-0.5-hsuf)+gdoy*(hsuf-hsus)+gnor*(h-0.5-hsuf)+p*(gdoy-gw))/2*p</f>
        <v>10.327500375802344</v>
      </c>
      <c r="F354" s="665"/>
      <c r="G354" s="665">
        <f>((gdoy*(hsuf-hsus)+gnor*(h-0.5-hsuf)+gdoy*(hsuf-hsus)+gnor*(h-0.5-hsuf))*p*p/2+(p*(gdoy-gw))*p/2*p/3)/((gdoy*(hsuf-hsus)+gnor*(h-0.5-hsuf)+gdoy*(hsuf-hsus)+gnor*(h-0.5-hsuf))*p+(p*(gdoy-gw))*p/2)</f>
        <v>0.54483382860265739</v>
      </c>
      <c r="H354" s="665"/>
      <c r="J354" s="441">
        <f>+G354*E354</f>
        <v>5.6267715696437746</v>
      </c>
      <c r="Q354" s="181"/>
      <c r="R354" s="495"/>
      <c r="S354" s="495"/>
      <c r="T354" s="505"/>
      <c r="U354" s="495"/>
      <c r="V354" s="495"/>
      <c r="W354" s="493"/>
    </row>
    <row r="355" spans="1:23" ht="15" customHeight="1" x14ac:dyDescent="0.2">
      <c r="A355" s="697" t="str">
        <f>"1.6xPW = 1.6x"&amp;ROUND(L54,2)&amp;"²x"&amp;gw&amp;"x/2="</f>
        <v>1.6xPW = 1.6x5.12²x1x/2=</v>
      </c>
      <c r="B355" s="697"/>
      <c r="C355" s="697"/>
      <c r="D355" s="697"/>
      <c r="E355" s="653">
        <f>1.6*(L54)^2*gw/2</f>
        <v>20.971520000000002</v>
      </c>
      <c r="F355" s="653"/>
      <c r="G355" s="706">
        <f>L54/3</f>
        <v>1.7066666666666668</v>
      </c>
      <c r="H355" s="706"/>
      <c r="I355" s="12"/>
      <c r="J355" s="165">
        <f>+G355*E355</f>
        <v>35.791394133333341</v>
      </c>
      <c r="K355" s="12"/>
      <c r="Q355" s="47"/>
      <c r="R355" s="508"/>
      <c r="S355" s="508"/>
      <c r="T355" s="41"/>
      <c r="U355" s="508"/>
      <c r="V355" s="508"/>
      <c r="W355" s="496"/>
    </row>
    <row r="356" spans="1:23" ht="15" customHeight="1" thickBot="1" x14ac:dyDescent="0.25">
      <c r="A356" s="697" t="str">
        <f>"1.6xPWP = 1.6x"&amp;ROUND(p,2)&amp;"²x"&amp;gw&amp;"x/2="</f>
        <v>1.6xPWP = 1.6x1.1²x1x/2=</v>
      </c>
      <c r="B356" s="697"/>
      <c r="C356" s="697"/>
      <c r="D356" s="697"/>
      <c r="E356" s="708">
        <f>1.6*(hsus-hs)^2*gw/2</f>
        <v>2.33928</v>
      </c>
      <c r="F356" s="708"/>
      <c r="G356" s="665">
        <f>p/3</f>
        <v>0.3666666666666667</v>
      </c>
      <c r="H356" s="665"/>
      <c r="I356" s="164"/>
      <c r="J356" s="164">
        <f>+G356*E356</f>
        <v>0.85773600000000005</v>
      </c>
      <c r="K356" s="164"/>
      <c r="Q356" s="47"/>
      <c r="R356" s="508"/>
      <c r="S356" s="508"/>
      <c r="T356" s="41"/>
      <c r="U356" s="508"/>
      <c r="V356" s="508"/>
      <c r="W356" s="496"/>
    </row>
    <row r="357" spans="1:23" ht="15" customHeight="1" thickTop="1" x14ac:dyDescent="0.25">
      <c r="B357" s="12"/>
      <c r="C357" s="12"/>
      <c r="D357" s="94" t="s">
        <v>175</v>
      </c>
      <c r="E357" s="707">
        <f>SUM(E352:F355)-E356</f>
        <v>50.1844781106482</v>
      </c>
      <c r="F357" s="707"/>
      <c r="H357" s="94"/>
      <c r="I357" s="94"/>
      <c r="J357" s="162">
        <f>SUM(J352:J355)-J356</f>
        <v>77.774204442846738</v>
      </c>
      <c r="K357" s="12"/>
      <c r="L357" s="12"/>
      <c r="Q357" s="47"/>
      <c r="R357" s="508"/>
      <c r="S357" s="508"/>
      <c r="T357" s="41"/>
      <c r="U357" s="508"/>
      <c r="V357" s="508"/>
      <c r="W357" s="496"/>
    </row>
    <row r="358" spans="1:23" ht="15" customHeight="1" x14ac:dyDescent="0.2">
      <c r="Q358" s="47"/>
      <c r="R358" s="508"/>
      <c r="S358" s="508"/>
      <c r="T358" s="41"/>
      <c r="U358" s="508"/>
      <c r="V358" s="508"/>
      <c r="W358" s="496"/>
    </row>
    <row r="359" spans="1:23" ht="11.25" customHeight="1" x14ac:dyDescent="0.2">
      <c r="D359" s="29" t="s">
        <v>110</v>
      </c>
      <c r="E359" s="469">
        <f>MAX(E337,E344,E349,E357)</f>
        <v>73.819504732432137</v>
      </c>
      <c r="F359" s="1" t="s">
        <v>113</v>
      </c>
      <c r="I359" s="29"/>
      <c r="J359" s="30"/>
    </row>
    <row r="360" spans="1:23" x14ac:dyDescent="0.2">
      <c r="A360" s="680" t="s">
        <v>145</v>
      </c>
      <c r="B360" s="680"/>
      <c r="C360" s="680" t="s">
        <v>146</v>
      </c>
      <c r="D360" s="680"/>
      <c r="I360" s="1" t="s">
        <v>179</v>
      </c>
      <c r="J360" s="60">
        <f>MAX(J337,J344,J349,J357,)</f>
        <v>251.76718535603476</v>
      </c>
    </row>
    <row r="361" spans="1:23" x14ac:dyDescent="0.2">
      <c r="A361" s="705">
        <v>100</v>
      </c>
      <c r="B361" s="705"/>
      <c r="C361" s="705">
        <f>(bw-pp)*100</f>
        <v>450</v>
      </c>
      <c r="D361" s="705"/>
    </row>
    <row r="362" spans="1:23" ht="6.75" customHeight="1" x14ac:dyDescent="0.2"/>
    <row r="363" spans="1:23" ht="15" customHeight="1" x14ac:dyDescent="0.2">
      <c r="A363" s="88" t="s">
        <v>142</v>
      </c>
      <c r="B363" s="12"/>
      <c r="C363" s="12"/>
      <c r="D363" s="12"/>
      <c r="E363" s="170"/>
      <c r="F363" s="12"/>
      <c r="G363" s="12"/>
      <c r="H363" s="12"/>
      <c r="I363" s="12"/>
      <c r="J363" s="12"/>
      <c r="K363" s="12"/>
    </row>
    <row r="364" spans="1:23" ht="18" x14ac:dyDescent="0.35">
      <c r="A364" s="86" t="s">
        <v>144</v>
      </c>
      <c r="B364" s="12"/>
      <c r="C364" s="12"/>
      <c r="D364" s="508">
        <f>0.65*fctd*A361*C361</f>
        <v>336.375</v>
      </c>
      <c r="E364" s="170" t="s">
        <v>113</v>
      </c>
      <c r="F364" s="250" t="str">
        <f>" "&amp;IF(D364&lt;H364,"&lt;","&gt;")&amp;"      Vd ="</f>
        <v xml:space="preserve"> &gt;      Vd =</v>
      </c>
      <c r="G364" s="12"/>
      <c r="H364" s="92">
        <f>E359</f>
        <v>73.819504732432137</v>
      </c>
      <c r="I364" s="12" t="str">
        <f>F359</f>
        <v>t/m</v>
      </c>
      <c r="J364" s="94" t="str">
        <f>IF(D364&lt;H364,"not O.K.","O.K.")</f>
        <v>O.K.</v>
      </c>
      <c r="K364" s="12"/>
    </row>
    <row r="365" spans="1:23" ht="15" customHeight="1" x14ac:dyDescent="0.35">
      <c r="A365" s="89" t="s">
        <v>143</v>
      </c>
      <c r="B365" s="12"/>
      <c r="C365" s="12"/>
      <c r="D365" s="508">
        <f>0.9*0.22*fcd*A361*C361</f>
        <v>1514.7</v>
      </c>
      <c r="E365" s="170" t="s">
        <v>113</v>
      </c>
      <c r="F365" s="250" t="str">
        <f>" "&amp;IF(D365&lt;H365,"&lt;","&gt;")&amp;"      Vd ="</f>
        <v xml:space="preserve"> &gt;      Vd =</v>
      </c>
      <c r="G365" s="12"/>
      <c r="H365" s="92">
        <f>H364</f>
        <v>73.819504732432137</v>
      </c>
      <c r="I365" s="12" t="str">
        <f>I364</f>
        <v>t/m</v>
      </c>
      <c r="J365" s="94" t="str">
        <f>IF(D365&lt;H365,"not O.K.","O.K.")</f>
        <v>O.K.</v>
      </c>
      <c r="K365" s="165">
        <f>J360</f>
        <v>251.76718535603476</v>
      </c>
    </row>
    <row r="366" spans="1:23" ht="15" customHeight="1" x14ac:dyDescent="0.2">
      <c r="A366" s="12"/>
      <c r="B366" s="12"/>
      <c r="C366" s="12"/>
      <c r="D366" s="12"/>
      <c r="E366" s="170"/>
      <c r="F366" s="12"/>
      <c r="G366" s="12"/>
      <c r="H366" s="12"/>
      <c r="I366" s="12"/>
      <c r="J366" s="12"/>
      <c r="K366" s="12"/>
    </row>
    <row r="367" spans="1:23" ht="15" customHeight="1" x14ac:dyDescent="0.2">
      <c r="A367" s="12"/>
      <c r="B367" s="12"/>
      <c r="C367" s="12"/>
      <c r="D367" s="12"/>
      <c r="E367" s="170"/>
      <c r="F367" s="12"/>
      <c r="G367" s="12"/>
      <c r="H367" s="12"/>
      <c r="I367" s="12"/>
      <c r="J367" s="12"/>
      <c r="K367" s="12"/>
    </row>
    <row r="368" spans="1:23" ht="15" customHeight="1" x14ac:dyDescent="0.25">
      <c r="A368" s="88" t="s">
        <v>203</v>
      </c>
      <c r="B368" s="12"/>
      <c r="C368" s="12"/>
      <c r="D368" s="12"/>
      <c r="E368" s="498"/>
      <c r="F368" s="510"/>
      <c r="G368" s="250"/>
      <c r="H368" s="510"/>
      <c r="I368" s="156"/>
      <c r="J368" s="510"/>
      <c r="K368" s="258"/>
      <c r="L368" s="259"/>
      <c r="M368" s="259"/>
      <c r="N368" s="259"/>
    </row>
    <row r="369" spans="1:14" s="2" customFormat="1" x14ac:dyDescent="0.2">
      <c r="A369" s="648" t="str">
        <f>"A= "&amp;ROUND(bw,2)&amp;"x1.00="</f>
        <v>A= 4.55x1.00=</v>
      </c>
      <c r="B369" s="648"/>
      <c r="C369" s="648"/>
      <c r="D369" s="508">
        <f>bw</f>
        <v>4.55</v>
      </c>
      <c r="E369" s="493" t="s">
        <v>205</v>
      </c>
      <c r="F369" s="508"/>
      <c r="G369" s="508"/>
      <c r="H369" s="508"/>
      <c r="I369" s="508"/>
      <c r="J369" s="508"/>
      <c r="K369" s="253"/>
      <c r="L369" s="260"/>
      <c r="M369" s="260"/>
      <c r="N369" s="260"/>
    </row>
    <row r="370" spans="1:14" s="2" customFormat="1" ht="16.5" customHeight="1" x14ac:dyDescent="0.2">
      <c r="A370" s="648" t="str">
        <f>"W= ("&amp;ROUND(bw,2)&amp;"x"&amp;ROUND(bw,2)&amp;"x1.00)/6="</f>
        <v>W= (4.55x4.55x1.00)/6=</v>
      </c>
      <c r="B370" s="648"/>
      <c r="C370" s="648"/>
      <c r="D370" s="508">
        <f>bw^2/6</f>
        <v>3.450416666666666</v>
      </c>
      <c r="E370" s="464" t="s">
        <v>204</v>
      </c>
      <c r="F370" s="508"/>
      <c r="G370" s="508"/>
      <c r="H370" s="508"/>
      <c r="I370" s="508"/>
      <c r="J370" s="508"/>
      <c r="K370" s="253"/>
      <c r="L370" s="260"/>
      <c r="M370" s="260"/>
      <c r="N370" s="260"/>
    </row>
    <row r="371" spans="1:14" s="2" customFormat="1" ht="16.5" customHeight="1" x14ac:dyDescent="0.25">
      <c r="A371"/>
      <c r="B371" s="495"/>
      <c r="C371" s="262"/>
      <c r="D371" s="262"/>
      <c r="E371" s="262"/>
      <c r="F371" s="262"/>
      <c r="G371" s="262"/>
      <c r="H371" s="262"/>
      <c r="I371" s="262"/>
      <c r="J371" s="253"/>
      <c r="K371" s="253"/>
      <c r="L371" s="260"/>
      <c r="M371" s="260"/>
      <c r="N371" s="260"/>
    </row>
    <row r="372" spans="1:14" s="2" customFormat="1" ht="16.5" customHeight="1" x14ac:dyDescent="0.25">
      <c r="A372" s="144"/>
      <c r="B372" s="278"/>
      <c r="C372" s="263" t="s">
        <v>206</v>
      </c>
      <c r="D372" s="264">
        <f>E274+E275</f>
        <v>47.285999999999994</v>
      </c>
      <c r="E372" s="265" t="s">
        <v>207</v>
      </c>
      <c r="F372" s="264">
        <f>+J360</f>
        <v>251.76718535603476</v>
      </c>
      <c r="G372" s="265" t="s">
        <v>206</v>
      </c>
      <c r="H372" s="273">
        <f>ABS(D372/D373-F372/F373)</f>
        <v>62.574655821094495</v>
      </c>
      <c r="I372" s="275" t="s">
        <v>209</v>
      </c>
      <c r="J372" s="276" t="str">
        <f>IF(H372&lt;fctd*10000," &lt; fctd (100 t/m2)  OK"," NOT OK")</f>
        <v xml:space="preserve"> &lt; fctd (100 t/m2)  OK</v>
      </c>
      <c r="K372" s="277"/>
      <c r="L372" s="260"/>
      <c r="M372" s="260"/>
      <c r="N372" s="260"/>
    </row>
    <row r="373" spans="1:14" s="2" customFormat="1" ht="15" x14ac:dyDescent="0.25">
      <c r="A373" s="144"/>
      <c r="B373" s="278"/>
      <c r="C373" s="265"/>
      <c r="D373" s="266">
        <f>D369</f>
        <v>4.55</v>
      </c>
      <c r="E373" s="265"/>
      <c r="F373" s="266">
        <f>D370</f>
        <v>3.450416666666666</v>
      </c>
      <c r="G373" s="265"/>
      <c r="H373" s="265"/>
      <c r="I373" s="265"/>
      <c r="J373" s="276" t="str">
        <f>IF(H373&lt;fctd*10000,"Donatı Gerekmez","Donatı Gerekir")</f>
        <v>Donatı Gerekmez</v>
      </c>
      <c r="K373"/>
      <c r="L373" s="260"/>
      <c r="M373" s="260"/>
      <c r="N373" s="260"/>
    </row>
    <row r="374" spans="1:14" s="2" customFormat="1" ht="12.75" x14ac:dyDescent="0.2">
      <c r="A374" s="144"/>
      <c r="B374" s="278"/>
      <c r="C374" s="265"/>
      <c r="D374" s="265"/>
      <c r="E374" s="265"/>
      <c r="F374" s="265"/>
      <c r="G374" s="265"/>
      <c r="H374" s="265"/>
      <c r="I374" s="265"/>
      <c r="J374" s="252"/>
      <c r="K374" s="254"/>
    </row>
    <row r="375" spans="1:14" ht="29.25" customHeight="1" x14ac:dyDescent="0.2">
      <c r="A375" s="695" t="s">
        <v>123</v>
      </c>
      <c r="B375" s="695"/>
      <c r="C375" s="695"/>
      <c r="D375" s="695"/>
      <c r="E375" s="695"/>
      <c r="F375" s="695"/>
      <c r="G375" s="695"/>
      <c r="H375" s="695"/>
      <c r="I375" s="695"/>
      <c r="J375" s="695"/>
      <c r="K375" s="695"/>
    </row>
    <row r="385" spans="1:29" ht="15" x14ac:dyDescent="0.25">
      <c r="L385" s="13"/>
      <c r="M385" s="13"/>
      <c r="N385" s="13"/>
      <c r="O385" s="13"/>
      <c r="P385" s="13"/>
      <c r="Q385" s="13"/>
      <c r="R385" s="13"/>
      <c r="S385" s="13"/>
      <c r="T385" s="13"/>
      <c r="U385" s="13"/>
    </row>
    <row r="387" spans="1:29" ht="15" x14ac:dyDescent="0.25">
      <c r="V387" s="13"/>
      <c r="W387" s="13"/>
      <c r="X387" s="13"/>
      <c r="Y387" s="13"/>
      <c r="Z387" s="13"/>
      <c r="AA387" s="13"/>
    </row>
    <row r="388" spans="1:29" x14ac:dyDescent="0.2"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/>
      <c r="AB388" s="12"/>
      <c r="AC388" s="12"/>
    </row>
    <row r="389" spans="1:29" x14ac:dyDescent="0.2"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  <c r="AA389" s="12"/>
      <c r="AB389" s="12"/>
      <c r="AC389" s="12"/>
    </row>
    <row r="390" spans="1:29" x14ac:dyDescent="0.2"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  <c r="AA390" s="12"/>
      <c r="AB390" s="12"/>
      <c r="AC390" s="12"/>
    </row>
    <row r="391" spans="1:29" x14ac:dyDescent="0.2"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  <c r="AA391" s="12"/>
      <c r="AB391" s="12"/>
      <c r="AC391" s="12"/>
    </row>
    <row r="392" spans="1:29" x14ac:dyDescent="0.2">
      <c r="M392" s="670"/>
      <c r="N392" s="670"/>
      <c r="O392" s="670"/>
      <c r="P392" s="670"/>
      <c r="Q392" s="670"/>
      <c r="R392" s="670"/>
      <c r="S392" s="670"/>
      <c r="T392" s="670"/>
      <c r="U392" s="670"/>
      <c r="V392" s="668"/>
      <c r="W392" s="668"/>
      <c r="X392" s="668"/>
      <c r="Y392" s="12"/>
      <c r="Z392" s="12"/>
      <c r="AA392" s="12"/>
      <c r="AB392" s="12"/>
      <c r="AC392" s="12"/>
    </row>
    <row r="393" spans="1:29" x14ac:dyDescent="0.2">
      <c r="M393" s="48"/>
      <c r="N393" s="647"/>
      <c r="O393" s="647"/>
      <c r="P393" s="647"/>
      <c r="Q393" s="647"/>
      <c r="R393" s="47"/>
      <c r="S393" s="653"/>
      <c r="T393" s="653"/>
      <c r="U393" s="41"/>
      <c r="V393" s="653"/>
      <c r="W393" s="653"/>
      <c r="X393" s="496"/>
      <c r="Y393" s="12"/>
      <c r="Z393" s="12"/>
      <c r="AA393" s="12"/>
      <c r="AB393" s="12"/>
      <c r="AC393" s="12"/>
    </row>
    <row r="394" spans="1:29" x14ac:dyDescent="0.2">
      <c r="M394" s="48"/>
      <c r="N394" s="647"/>
      <c r="O394" s="647"/>
      <c r="P394" s="647"/>
      <c r="Q394" s="647"/>
      <c r="R394" s="47"/>
      <c r="S394" s="669"/>
      <c r="T394" s="669"/>
      <c r="U394" s="41"/>
      <c r="V394" s="653"/>
      <c r="W394" s="653"/>
      <c r="X394" s="496"/>
      <c r="Y394" s="12"/>
      <c r="Z394" s="12"/>
      <c r="AA394" s="12"/>
      <c r="AB394" s="12"/>
      <c r="AC394" s="12"/>
    </row>
    <row r="395" spans="1:29" s="13" customFormat="1" ht="35.25" customHeight="1" x14ac:dyDescent="0.25">
      <c r="C395" s="61" t="s">
        <v>118</v>
      </c>
      <c r="D395" s="61" t="s">
        <v>119</v>
      </c>
      <c r="E395" s="470" t="s">
        <v>120</v>
      </c>
      <c r="F395" s="693" t="s">
        <v>136</v>
      </c>
      <c r="G395" s="694"/>
      <c r="H395" s="693" t="s">
        <v>121</v>
      </c>
      <c r="I395" s="694"/>
      <c r="J395" s="693" t="s">
        <v>135</v>
      </c>
      <c r="K395" s="694"/>
      <c r="L395" s="1"/>
      <c r="M395" s="48"/>
      <c r="N395" s="647"/>
      <c r="O395" s="647"/>
      <c r="P395" s="647"/>
      <c r="Q395" s="647"/>
      <c r="R395" s="48"/>
      <c r="S395" s="653"/>
      <c r="T395" s="653"/>
      <c r="U395" s="41"/>
      <c r="V395" s="653"/>
      <c r="W395" s="653"/>
      <c r="X395" s="496"/>
      <c r="Y395" s="12"/>
      <c r="Z395" s="12"/>
      <c r="AA395" s="12"/>
      <c r="AB395" s="94"/>
      <c r="AC395" s="94"/>
    </row>
    <row r="396" spans="1:29" x14ac:dyDescent="0.2">
      <c r="A396" s="680" t="s">
        <v>114</v>
      </c>
      <c r="B396" s="736"/>
      <c r="C396" s="499">
        <f>E140</f>
        <v>9.9690708484758463</v>
      </c>
      <c r="D396" s="499">
        <f>E139</f>
        <v>19.395167562120179</v>
      </c>
      <c r="E396" s="489">
        <f>(D396-C396)*(br+bw)/b+C396</f>
        <v>16.898188300227641</v>
      </c>
      <c r="F396" s="644">
        <f>(E396+D396)*bf/2</f>
        <v>36.293355862347823</v>
      </c>
      <c r="G396" s="674"/>
      <c r="H396" s="730">
        <f>((E396*bf^2/2)+(D396-E396)*bf^2/3)/F396</f>
        <v>1.0229333000725438</v>
      </c>
      <c r="I396" s="731"/>
      <c r="J396" s="644">
        <f>F396*H396</f>
        <v>37.125682282978666</v>
      </c>
      <c r="K396" s="674"/>
      <c r="M396" s="48"/>
      <c r="N396" s="647"/>
      <c r="O396" s="647"/>
      <c r="P396" s="647"/>
      <c r="Q396" s="647"/>
      <c r="R396" s="47"/>
      <c r="S396" s="653"/>
      <c r="T396" s="653"/>
      <c r="U396" s="41"/>
      <c r="V396" s="653"/>
      <c r="W396" s="653"/>
      <c r="X396" s="496"/>
      <c r="Y396" s="12"/>
      <c r="Z396" s="12"/>
      <c r="AA396" s="12"/>
      <c r="AB396" s="12"/>
      <c r="AC396" s="12"/>
    </row>
    <row r="397" spans="1:29" x14ac:dyDescent="0.2">
      <c r="A397" s="680" t="s">
        <v>115</v>
      </c>
      <c r="B397" s="736"/>
      <c r="C397" s="499">
        <f>E194</f>
        <v>0</v>
      </c>
      <c r="D397" s="63">
        <f>E193</f>
        <v>-1159.0196845290018</v>
      </c>
      <c r="E397" s="489">
        <f>(D397-C397)*(br+bw)/b+C397</f>
        <v>-851.99460253456414</v>
      </c>
      <c r="F397" s="644">
        <f>(E397+D397)*bf/2</f>
        <v>-2011.0142870635659</v>
      </c>
      <c r="G397" s="674"/>
      <c r="H397" s="730">
        <f>((E397*bf^2/2)+(D397-E397)*bf^2/3)/F397</f>
        <v>1.0508905852417303</v>
      </c>
      <c r="I397" s="731"/>
      <c r="J397" s="644">
        <f>F397*H397</f>
        <v>-2113.3559810617116</v>
      </c>
      <c r="K397" s="674"/>
      <c r="M397" s="48"/>
      <c r="N397" s="647"/>
      <c r="O397" s="647"/>
      <c r="P397" s="647"/>
      <c r="Q397" s="647"/>
      <c r="R397" s="47"/>
      <c r="S397" s="653"/>
      <c r="T397" s="653"/>
      <c r="U397" s="41"/>
      <c r="V397" s="653"/>
      <c r="W397" s="653"/>
      <c r="X397" s="496"/>
      <c r="Y397" s="12"/>
      <c r="Z397" s="12"/>
      <c r="AA397" s="12"/>
      <c r="AB397" s="12"/>
      <c r="AC397" s="12"/>
    </row>
    <row r="398" spans="1:29" x14ac:dyDescent="0.2">
      <c r="A398" s="680" t="s">
        <v>116</v>
      </c>
      <c r="B398" s="736"/>
      <c r="C398" s="499">
        <f>E249</f>
        <v>0</v>
      </c>
      <c r="D398" s="499">
        <f>E248</f>
        <v>15.685415770124486</v>
      </c>
      <c r="E398" s="489">
        <f>(D398-C398)*(br+bw)/b+C398</f>
        <v>11.530338744925947</v>
      </c>
      <c r="F398" s="644">
        <f>(E398+D398)*bf/2</f>
        <v>27.215754515050435</v>
      </c>
      <c r="G398" s="674"/>
      <c r="H398" s="730">
        <f>((E398*bf^2/2)+(D398-E398)*bf^2/3)/F398</f>
        <v>1.0508905852417303</v>
      </c>
      <c r="I398" s="731"/>
      <c r="J398" s="644">
        <f>F398*H398</f>
        <v>28.600780190116616</v>
      </c>
      <c r="K398" s="674"/>
      <c r="M398" s="48"/>
      <c r="N398" s="647"/>
      <c r="O398" s="647"/>
      <c r="P398" s="647"/>
      <c r="Q398" s="647"/>
      <c r="R398" s="47"/>
      <c r="S398" s="653"/>
      <c r="T398" s="653"/>
      <c r="U398" s="41"/>
      <c r="V398" s="653"/>
      <c r="W398" s="653"/>
      <c r="X398" s="496"/>
      <c r="Y398" s="12"/>
      <c r="Z398" s="12"/>
      <c r="AA398" s="12"/>
      <c r="AB398" s="12"/>
      <c r="AC398" s="12"/>
    </row>
    <row r="399" spans="1:29" ht="15" thickBot="1" x14ac:dyDescent="0.25">
      <c r="A399" s="737" t="s">
        <v>117</v>
      </c>
      <c r="B399" s="738"/>
      <c r="C399" s="64">
        <f>E299</f>
        <v>8.0337312344722971</v>
      </c>
      <c r="D399" s="64">
        <f>E298</f>
        <v>15.451289957580684</v>
      </c>
      <c r="E399" s="64">
        <f>(D399-C399)*(br+bw)/b+C399</f>
        <v>13.486373739538728</v>
      </c>
      <c r="F399" s="685">
        <f>(E399+D399)*bf/2</f>
        <v>28.937663697119412</v>
      </c>
      <c r="G399" s="686"/>
      <c r="H399" s="739">
        <f>((E399*bf^2/2)+(D399-E399)*bf^2/3)/F399</f>
        <v>1.0226338960717776</v>
      </c>
      <c r="I399" s="740"/>
      <c r="J399" s="685">
        <f>F399*H399</f>
        <v>29.592635769800061</v>
      </c>
      <c r="K399" s="686"/>
      <c r="M399" s="48"/>
      <c r="N399" s="647"/>
      <c r="O399" s="647"/>
      <c r="P399" s="647"/>
      <c r="Q399" s="647"/>
      <c r="R399" s="47"/>
      <c r="S399" s="653"/>
      <c r="T399" s="653"/>
      <c r="U399" s="41"/>
      <c r="V399" s="653"/>
      <c r="W399" s="653"/>
      <c r="X399" s="496"/>
      <c r="Y399" s="12"/>
      <c r="Z399" s="12"/>
      <c r="AA399" s="12"/>
      <c r="AB399" s="12"/>
      <c r="AC399" s="12"/>
    </row>
    <row r="400" spans="1:29" ht="15" thickTop="1" x14ac:dyDescent="0.2">
      <c r="A400" s="1" t="s">
        <v>122</v>
      </c>
      <c r="B400" s="1" t="str">
        <f>"=(-"&amp;hs&amp;"x"&amp;bf&amp;")x"&amp;gc</f>
        <v>=(-1.5x2)x2.4</v>
      </c>
      <c r="E400" s="471"/>
      <c r="F400" s="618">
        <f>(-hs*bf)*gc</f>
        <v>-7.1999999999999993</v>
      </c>
      <c r="G400" s="688"/>
      <c r="H400" s="732">
        <f>bf/2</f>
        <v>1</v>
      </c>
      <c r="I400" s="733"/>
      <c r="J400" s="734">
        <f>F400*H400</f>
        <v>-7.1999999999999993</v>
      </c>
      <c r="K400" s="735"/>
      <c r="M400" s="48"/>
      <c r="N400" s="647"/>
      <c r="O400" s="647"/>
      <c r="P400" s="647"/>
      <c r="Q400" s="647"/>
      <c r="R400" s="47"/>
      <c r="S400" s="653"/>
      <c r="T400" s="653"/>
      <c r="U400" s="41"/>
      <c r="V400" s="653"/>
      <c r="W400" s="653"/>
      <c r="X400" s="496"/>
      <c r="Y400" s="12"/>
      <c r="Z400" s="12"/>
      <c r="AA400" s="12"/>
      <c r="AB400" s="12"/>
      <c r="AC400" s="12"/>
    </row>
    <row r="401" spans="1:29" x14ac:dyDescent="0.2">
      <c r="M401" s="250"/>
      <c r="N401" s="250"/>
      <c r="O401" s="250"/>
      <c r="P401" s="250"/>
      <c r="Q401" s="250"/>
      <c r="R401" s="250"/>
      <c r="S401" s="664"/>
      <c r="T401" s="664"/>
      <c r="U401" s="90"/>
      <c r="V401" s="92"/>
      <c r="W401" s="250"/>
      <c r="X401" s="250"/>
      <c r="Y401" s="12"/>
      <c r="Z401" s="12"/>
      <c r="AA401" s="12"/>
      <c r="AB401" s="12"/>
      <c r="AC401" s="12"/>
    </row>
    <row r="402" spans="1:29" x14ac:dyDescent="0.2">
      <c r="E402" s="471" t="s">
        <v>110</v>
      </c>
      <c r="F402" s="30">
        <f>MAX(F396:G399)+F400</f>
        <v>29.093355862347824</v>
      </c>
      <c r="G402" s="1" t="s">
        <v>113</v>
      </c>
      <c r="I402" s="29" t="s">
        <v>111</v>
      </c>
      <c r="J402" s="60">
        <f>MAX(J396:K399)+J400</f>
        <v>29.925682282978666</v>
      </c>
      <c r="K402" s="1" t="s">
        <v>112</v>
      </c>
      <c r="M402" s="496"/>
      <c r="N402" s="496"/>
      <c r="O402" s="496"/>
      <c r="P402" s="496"/>
      <c r="Q402" s="44"/>
      <c r="R402" s="38"/>
      <c r="S402" s="496"/>
      <c r="T402" s="496"/>
      <c r="U402" s="41"/>
      <c r="V402" s="9"/>
      <c r="W402" s="9"/>
      <c r="X402" s="496"/>
      <c r="Y402" s="12"/>
      <c r="Z402" s="12"/>
      <c r="AA402" s="12"/>
      <c r="AB402" s="12"/>
      <c r="AC402" s="12"/>
    </row>
    <row r="403" spans="1:29" x14ac:dyDescent="0.2">
      <c r="M403" s="251"/>
      <c r="N403" s="496"/>
      <c r="O403" s="496"/>
      <c r="P403" s="496"/>
      <c r="Q403" s="44"/>
      <c r="R403" s="38"/>
      <c r="S403" s="496"/>
      <c r="T403" s="496"/>
      <c r="U403" s="41"/>
      <c r="V403" s="9"/>
      <c r="W403" s="9"/>
      <c r="X403" s="496"/>
      <c r="Y403" s="12"/>
      <c r="Z403" s="12"/>
      <c r="AA403" s="12"/>
      <c r="AB403" s="12"/>
      <c r="AC403" s="12"/>
    </row>
    <row r="404" spans="1:29" ht="15" x14ac:dyDescent="0.25">
      <c r="A404" s="680" t="s">
        <v>145</v>
      </c>
      <c r="B404" s="680"/>
      <c r="C404" s="680" t="s">
        <v>146</v>
      </c>
      <c r="D404" s="680"/>
      <c r="M404" s="632"/>
      <c r="N404" s="632"/>
      <c r="O404" s="486"/>
      <c r="P404" s="633"/>
      <c r="Q404" s="633"/>
      <c r="R404" s="38"/>
      <c r="S404" s="89"/>
      <c r="T404" s="496"/>
      <c r="U404" s="41"/>
      <c r="V404" s="9"/>
      <c r="W404" s="9"/>
      <c r="X404" s="496"/>
      <c r="Y404" s="12"/>
      <c r="Z404" s="12"/>
      <c r="AA404" s="12"/>
      <c r="AB404" s="12"/>
      <c r="AC404" s="12"/>
    </row>
    <row r="405" spans="1:29" x14ac:dyDescent="0.2">
      <c r="A405" s="705">
        <f>100</f>
        <v>100</v>
      </c>
      <c r="B405" s="705"/>
      <c r="C405" s="680">
        <f>(hs-pp)*100</f>
        <v>145</v>
      </c>
      <c r="D405" s="680"/>
      <c r="H405" s="60"/>
      <c r="M405" s="9"/>
      <c r="N405" s="42"/>
      <c r="O405" s="42"/>
      <c r="P405" s="9"/>
      <c r="Q405" s="43"/>
      <c r="R405" s="38"/>
      <c r="S405" s="496"/>
      <c r="T405" s="496"/>
      <c r="U405" s="41"/>
      <c r="V405" s="9"/>
      <c r="W405" s="9"/>
      <c r="X405" s="496"/>
      <c r="Y405" s="12"/>
      <c r="Z405" s="12"/>
      <c r="AA405" s="12"/>
      <c r="AB405" s="12"/>
      <c r="AC405" s="12"/>
    </row>
    <row r="406" spans="1:29" ht="13.5" customHeight="1" x14ac:dyDescent="0.2">
      <c r="M406" s="496"/>
      <c r="N406" s="496"/>
      <c r="O406" s="496"/>
      <c r="P406" s="496"/>
      <c r="Q406" s="44"/>
      <c r="R406" s="38"/>
      <c r="S406" s="496"/>
      <c r="T406" s="496"/>
      <c r="U406" s="41"/>
      <c r="V406" s="9"/>
      <c r="W406" s="9"/>
      <c r="X406" s="496"/>
      <c r="Y406" s="12"/>
      <c r="Z406" s="12"/>
      <c r="AA406" s="12"/>
      <c r="AB406" s="12"/>
      <c r="AC406" s="12"/>
    </row>
    <row r="407" spans="1:29" ht="15" x14ac:dyDescent="0.25">
      <c r="A407" s="88" t="s">
        <v>142</v>
      </c>
      <c r="B407" s="12"/>
      <c r="C407" s="12"/>
      <c r="D407" s="12"/>
      <c r="E407" s="170"/>
      <c r="F407" s="12"/>
      <c r="G407" s="12"/>
      <c r="H407" s="12"/>
      <c r="I407" s="12"/>
      <c r="J407" s="12"/>
      <c r="K407" s="12"/>
      <c r="M407" s="496"/>
      <c r="N407" s="496"/>
      <c r="O407" s="496"/>
      <c r="P407" s="89"/>
      <c r="Q407" s="44"/>
      <c r="R407" s="38"/>
      <c r="S407" s="496"/>
      <c r="T407" s="496"/>
      <c r="U407" s="41"/>
      <c r="V407" s="9"/>
      <c r="W407" s="9"/>
      <c r="X407" s="496"/>
      <c r="Y407" s="12"/>
      <c r="Z407" s="12"/>
      <c r="AA407" s="12"/>
      <c r="AB407" s="12"/>
      <c r="AC407" s="12"/>
    </row>
    <row r="408" spans="1:29" ht="18" x14ac:dyDescent="0.35">
      <c r="A408" s="86" t="s">
        <v>144</v>
      </c>
      <c r="B408" s="12"/>
      <c r="C408" s="12"/>
      <c r="D408" s="508">
        <f>0.65*fctd*A405*C405</f>
        <v>108.38749999999999</v>
      </c>
      <c r="E408" s="170" t="s">
        <v>113</v>
      </c>
      <c r="F408" s="250" t="str">
        <f>" "&amp;IF(D408&lt;H408,"&lt;","&gt;")&amp;"     Vd ="</f>
        <v xml:space="preserve"> &gt;     Vd =</v>
      </c>
      <c r="G408" s="12"/>
      <c r="H408" s="92">
        <f>F402</f>
        <v>29.093355862347824</v>
      </c>
      <c r="I408" s="12" t="str">
        <f>E408</f>
        <v>t/m</v>
      </c>
      <c r="J408" s="94" t="str">
        <f>IF(D408&lt;H408,"not O.K.","O.K.")</f>
        <v>O.K.</v>
      </c>
      <c r="K408" s="12"/>
      <c r="M408" s="496"/>
      <c r="N408" s="669"/>
      <c r="O408" s="669"/>
      <c r="P408" s="669"/>
      <c r="Q408" s="46"/>
      <c r="R408" s="47"/>
      <c r="S408" s="48"/>
      <c r="T408" s="48"/>
      <c r="U408" s="46"/>
      <c r="V408" s="49"/>
      <c r="W408" s="48"/>
      <c r="X408" s="50"/>
      <c r="Y408" s="12"/>
      <c r="Z408" s="12"/>
      <c r="AA408" s="12"/>
      <c r="AB408" s="12"/>
      <c r="AC408" s="12"/>
    </row>
    <row r="409" spans="1:29" ht="18" x14ac:dyDescent="0.35">
      <c r="A409" s="89" t="s">
        <v>143</v>
      </c>
      <c r="B409" s="12"/>
      <c r="C409" s="12"/>
      <c r="D409" s="508">
        <f>0.9*0.22*fcd*A405*C405</f>
        <v>488.07</v>
      </c>
      <c r="E409" s="170" t="s">
        <v>113</v>
      </c>
      <c r="F409" s="250" t="str">
        <f>" "&amp;IF(D409&lt;H409,"&lt;","&gt;")&amp;"     Vd ="</f>
        <v xml:space="preserve"> &gt;     Vd =</v>
      </c>
      <c r="G409" s="12"/>
      <c r="H409" s="92">
        <f>H408</f>
        <v>29.093355862347824</v>
      </c>
      <c r="I409" s="12" t="str">
        <f>E409</f>
        <v>t/m</v>
      </c>
      <c r="J409" s="94" t="str">
        <f>IF(D409&lt;H409,"not O.K.","O.K.")</f>
        <v>O.K.</v>
      </c>
      <c r="K409" s="12"/>
      <c r="M409" s="43"/>
      <c r="N409" s="653"/>
      <c r="O409" s="653"/>
      <c r="P409" s="653"/>
      <c r="Q409" s="46"/>
      <c r="R409" s="47"/>
      <c r="S409" s="48"/>
      <c r="T409" s="48"/>
      <c r="U409" s="46"/>
      <c r="V409" s="49"/>
      <c r="W409" s="48"/>
      <c r="X409" s="50"/>
      <c r="Y409" s="12"/>
      <c r="Z409" s="12"/>
      <c r="AA409" s="12"/>
      <c r="AB409" s="12"/>
      <c r="AC409" s="12"/>
    </row>
    <row r="410" spans="1:29" x14ac:dyDescent="0.2">
      <c r="A410" s="12"/>
      <c r="B410" s="12"/>
      <c r="C410" s="12"/>
      <c r="D410" s="12"/>
      <c r="E410" s="170"/>
      <c r="F410" s="12"/>
      <c r="G410" s="12"/>
      <c r="H410" s="12"/>
      <c r="I410" s="12"/>
      <c r="J410" s="12"/>
      <c r="K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  <c r="AA410" s="12"/>
      <c r="AB410" s="12"/>
      <c r="AC410" s="12"/>
    </row>
    <row r="411" spans="1:29" x14ac:dyDescent="0.2">
      <c r="A411" s="88" t="s">
        <v>147</v>
      </c>
      <c r="B411" s="12"/>
      <c r="C411" s="12"/>
      <c r="D411" s="12"/>
      <c r="E411" s="170"/>
      <c r="F411" s="12"/>
      <c r="G411" s="12"/>
      <c r="H411" s="12"/>
      <c r="I411" s="12"/>
      <c r="J411" s="12"/>
      <c r="K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  <c r="AA411" s="12"/>
      <c r="AB411" s="12"/>
      <c r="AC411" s="12"/>
    </row>
    <row r="412" spans="1:29" s="261" customFormat="1" ht="15" x14ac:dyDescent="0.25">
      <c r="A412" s="88" t="s">
        <v>203</v>
      </c>
      <c r="B412" s="12"/>
      <c r="C412" s="12"/>
      <c r="D412" s="12"/>
      <c r="E412" s="498"/>
      <c r="F412" s="510"/>
      <c r="G412" s="250"/>
      <c r="H412" s="510"/>
      <c r="I412" s="156"/>
      <c r="J412" s="510"/>
      <c r="K412" s="258"/>
      <c r="L412" s="259"/>
      <c r="M412" s="259"/>
      <c r="N412" s="259"/>
      <c r="O412" s="170"/>
      <c r="P412" s="170"/>
      <c r="Q412" s="170"/>
      <c r="R412" s="170"/>
      <c r="S412" s="170"/>
      <c r="T412" s="170"/>
      <c r="U412" s="170"/>
      <c r="V412" s="170"/>
      <c r="W412" s="170"/>
      <c r="X412" s="170"/>
      <c r="Y412" s="170"/>
      <c r="Z412" s="170"/>
      <c r="AA412" s="170"/>
      <c r="AB412" s="170"/>
      <c r="AC412" s="170"/>
    </row>
    <row r="413" spans="1:29" s="261" customFormat="1" x14ac:dyDescent="0.2">
      <c r="A413" s="648" t="str">
        <f>"A= "&amp;ROUND(bw,2)&amp;"x1.00="</f>
        <v>A= 4.55x1.00=</v>
      </c>
      <c r="B413" s="648"/>
      <c r="C413" s="648"/>
      <c r="D413" s="508">
        <f>bw</f>
        <v>4.55</v>
      </c>
      <c r="E413" s="493" t="s">
        <v>205</v>
      </c>
      <c r="F413" s="508"/>
      <c r="G413" s="508"/>
      <c r="H413" s="508"/>
      <c r="I413" s="508"/>
      <c r="J413" s="508"/>
      <c r="K413" s="253"/>
      <c r="L413" s="260"/>
      <c r="M413" s="260"/>
      <c r="N413" s="260"/>
      <c r="O413" s="170"/>
      <c r="P413" s="170"/>
      <c r="Q413" s="170"/>
      <c r="R413" s="170"/>
      <c r="S413" s="170"/>
      <c r="T413" s="170"/>
      <c r="U413" s="170"/>
      <c r="V413" s="170"/>
      <c r="W413" s="170"/>
      <c r="X413" s="170"/>
      <c r="Y413" s="170"/>
      <c r="Z413" s="170"/>
      <c r="AA413" s="170"/>
      <c r="AB413" s="170"/>
      <c r="AC413" s="170"/>
    </row>
    <row r="414" spans="1:29" s="261" customFormat="1" x14ac:dyDescent="0.2">
      <c r="A414" s="648" t="str">
        <f>"W= ("&amp;ROUND(bw,2)&amp;"x"&amp;ROUND(bw,2)&amp;"x1.00)/6="</f>
        <v>W= (4.55x4.55x1.00)/6=</v>
      </c>
      <c r="B414" s="648"/>
      <c r="C414" s="648"/>
      <c r="D414" s="508">
        <f>bw^2/6</f>
        <v>3.450416666666666</v>
      </c>
      <c r="E414" s="464" t="s">
        <v>204</v>
      </c>
      <c r="F414" s="508"/>
      <c r="G414" s="508"/>
      <c r="H414" s="508"/>
      <c r="I414" s="508"/>
      <c r="J414" s="508"/>
      <c r="K414" s="253"/>
      <c r="L414" s="260"/>
      <c r="M414" s="260"/>
      <c r="N414" s="260"/>
      <c r="O414" s="170"/>
      <c r="P414" s="170"/>
      <c r="Q414" s="170"/>
      <c r="R414" s="170"/>
      <c r="S414" s="170"/>
      <c r="T414" s="170"/>
      <c r="U414" s="170"/>
      <c r="V414" s="170"/>
      <c r="W414" s="170"/>
      <c r="X414" s="170"/>
      <c r="Y414" s="170"/>
      <c r="Z414" s="170"/>
      <c r="AA414" s="170"/>
      <c r="AB414" s="170"/>
      <c r="AC414" s="170"/>
    </row>
    <row r="415" spans="1:29" s="261" customFormat="1" ht="15" x14ac:dyDescent="0.25">
      <c r="A415"/>
      <c r="B415" s="508"/>
      <c r="C415" s="262"/>
      <c r="D415" s="262"/>
      <c r="E415" s="262"/>
      <c r="F415" s="262"/>
      <c r="G415" s="262"/>
      <c r="H415" s="262"/>
      <c r="I415" s="262"/>
      <c r="J415" s="262"/>
      <c r="K415" s="262"/>
      <c r="L415" s="260"/>
      <c r="M415" s="260"/>
      <c r="N415" s="260"/>
      <c r="O415" s="170"/>
      <c r="P415" s="170"/>
      <c r="Q415" s="170"/>
      <c r="R415" s="170"/>
      <c r="S415" s="170"/>
      <c r="T415" s="170"/>
      <c r="U415" s="170"/>
      <c r="V415" s="170"/>
      <c r="W415" s="170"/>
      <c r="X415" s="170"/>
      <c r="Y415" s="170"/>
      <c r="Z415" s="170"/>
      <c r="AA415" s="170"/>
      <c r="AB415" s="170"/>
      <c r="AC415" s="170"/>
    </row>
    <row r="416" spans="1:29" s="261" customFormat="1" ht="15" x14ac:dyDescent="0.25">
      <c r="A416" s="144"/>
      <c r="B416" s="144"/>
      <c r="C416" s="263" t="s">
        <v>206</v>
      </c>
      <c r="D416" s="264">
        <f>J402</f>
        <v>29.925682282978666</v>
      </c>
      <c r="E416" s="265" t="s">
        <v>206</v>
      </c>
      <c r="F416" s="273">
        <f>D416/D417</f>
        <v>8.6730633352431852</v>
      </c>
      <c r="G416" s="274" t="s">
        <v>208</v>
      </c>
      <c r="H416" s="313" t="str">
        <f>IF(fctd*10000&gt;F416," &lt; fctd   OK (Donatı Gerekmez)"," NOT OK (Donatı Gerekir)")</f>
        <v xml:space="preserve"> &lt; fctd   OK (Donatı Gerekmez)</v>
      </c>
      <c r="I416" s="275"/>
      <c r="J416" s="265"/>
      <c r="K416" s="267"/>
      <c r="L416" s="260"/>
      <c r="M416" s="260"/>
      <c r="N416" s="260"/>
      <c r="O416" s="170"/>
      <c r="P416" s="170"/>
      <c r="Q416" s="170"/>
      <c r="R416" s="170"/>
      <c r="S416" s="170"/>
      <c r="T416" s="170"/>
      <c r="U416" s="170"/>
      <c r="V416" s="170"/>
      <c r="W416" s="170"/>
      <c r="X416" s="170"/>
      <c r="Y416" s="170"/>
      <c r="Z416" s="170"/>
      <c r="AA416" s="170"/>
      <c r="AB416" s="170"/>
      <c r="AC416" s="170"/>
    </row>
    <row r="417" spans="1:29" s="261" customFormat="1" ht="15" x14ac:dyDescent="0.25">
      <c r="A417" s="144"/>
      <c r="B417" s="144"/>
      <c r="C417" s="252"/>
      <c r="D417" s="255">
        <f>D414</f>
        <v>3.450416666666666</v>
      </c>
      <c r="E417" s="265"/>
      <c r="F417" s="255"/>
      <c r="G417" s="252"/>
      <c r="H417" s="252"/>
      <c r="I417" s="252"/>
      <c r="J417" s="252"/>
      <c r="K417"/>
      <c r="L417" s="260"/>
      <c r="M417" s="260"/>
      <c r="N417" s="260"/>
      <c r="O417" s="170"/>
      <c r="P417" s="170"/>
      <c r="Q417" s="170"/>
      <c r="R417" s="170"/>
      <c r="S417" s="170"/>
      <c r="T417" s="170"/>
      <c r="U417" s="170"/>
      <c r="V417" s="170"/>
      <c r="W417" s="170"/>
      <c r="X417" s="170"/>
      <c r="Y417" s="170"/>
      <c r="Z417" s="170"/>
      <c r="AA417" s="170"/>
      <c r="AB417" s="170"/>
      <c r="AC417" s="170"/>
    </row>
    <row r="418" spans="1:29" s="261" customFormat="1" x14ac:dyDescent="0.2">
      <c r="A418" s="144"/>
      <c r="B418" s="144"/>
      <c r="C418" s="252"/>
      <c r="D418" s="252"/>
      <c r="E418" s="265"/>
      <c r="F418" s="252"/>
      <c r="G418" s="252"/>
      <c r="H418" s="252"/>
      <c r="I418" s="252"/>
      <c r="J418" s="252"/>
      <c r="K418" s="254"/>
      <c r="L418" s="2"/>
      <c r="M418" s="2"/>
      <c r="N418" s="2"/>
      <c r="O418" s="170"/>
      <c r="P418" s="170"/>
      <c r="Q418" s="170"/>
      <c r="R418" s="170"/>
      <c r="S418" s="170"/>
      <c r="T418" s="170"/>
      <c r="U418" s="170"/>
      <c r="V418" s="170"/>
      <c r="W418" s="170"/>
      <c r="X418" s="170"/>
      <c r="Y418" s="170"/>
      <c r="Z418" s="170"/>
      <c r="AA418" s="170"/>
      <c r="AB418" s="170"/>
      <c r="AC418" s="170"/>
    </row>
    <row r="419" spans="1:29" s="261" customFormat="1" x14ac:dyDescent="0.2">
      <c r="A419" s="452" t="s">
        <v>147</v>
      </c>
      <c r="B419" s="144"/>
      <c r="C419" s="252"/>
      <c r="D419" s="252"/>
      <c r="E419" s="265"/>
      <c r="F419" s="252"/>
      <c r="G419" s="252"/>
      <c r="H419" s="252"/>
      <c r="I419" s="252"/>
      <c r="J419" s="252"/>
      <c r="K419" s="254"/>
      <c r="L419" s="2"/>
      <c r="M419" s="2"/>
      <c r="N419" s="2"/>
      <c r="O419" s="170"/>
      <c r="P419" s="170"/>
      <c r="Q419" s="170"/>
      <c r="R419" s="170"/>
      <c r="S419" s="170"/>
      <c r="T419" s="170"/>
      <c r="U419" s="170"/>
      <c r="V419" s="170"/>
      <c r="W419" s="170"/>
      <c r="X419" s="170"/>
      <c r="Y419" s="170"/>
      <c r="Z419" s="170"/>
      <c r="AA419" s="170"/>
      <c r="AB419" s="170"/>
      <c r="AC419" s="170"/>
    </row>
    <row r="420" spans="1:29" s="261" customFormat="1" ht="15" x14ac:dyDescent="0.25">
      <c r="A420" s="267" t="s">
        <v>335</v>
      </c>
      <c r="B420" s="443"/>
      <c r="C420" s="444">
        <v>32</v>
      </c>
      <c r="D420" s="445">
        <v>12.5</v>
      </c>
      <c r="E420" s="446" t="s">
        <v>336</v>
      </c>
      <c r="F420" s="447" t="s">
        <v>337</v>
      </c>
      <c r="G420" s="448">
        <f>((PI()*C420^2/4)*(A405/D420))/100</f>
        <v>64.339817545518969</v>
      </c>
      <c r="H420" s="443" t="s">
        <v>338</v>
      </c>
      <c r="I420" s="449"/>
      <c r="J420" s="449"/>
      <c r="K420" s="449"/>
      <c r="L420" s="2"/>
      <c r="M420" s="2"/>
      <c r="N420" s="2"/>
      <c r="O420" s="170"/>
      <c r="P420" s="170"/>
      <c r="Q420" s="170"/>
      <c r="R420" s="170"/>
      <c r="S420" s="170"/>
      <c r="T420" s="170"/>
      <c r="U420" s="170"/>
      <c r="V420" s="170"/>
      <c r="W420" s="170"/>
      <c r="X420" s="170"/>
      <c r="Y420" s="170"/>
      <c r="Z420" s="170"/>
      <c r="AA420" s="170"/>
      <c r="AB420" s="170"/>
      <c r="AC420" s="170"/>
    </row>
    <row r="421" spans="1:29" s="261" customFormat="1" x14ac:dyDescent="0.2">
      <c r="A421" s="443"/>
      <c r="B421" s="443"/>
      <c r="C421" s="443"/>
      <c r="D421" s="443"/>
      <c r="E421" s="443"/>
      <c r="F421" s="443"/>
      <c r="G421" s="443"/>
      <c r="H421" s="443"/>
      <c r="I421" s="449"/>
      <c r="J421" s="449"/>
      <c r="K421" s="449"/>
      <c r="L421" s="2"/>
      <c r="M421" s="2"/>
      <c r="N421" s="2"/>
      <c r="O421" s="170"/>
      <c r="P421" s="170"/>
      <c r="Q421" s="170"/>
      <c r="R421" s="170"/>
      <c r="S421" s="170"/>
      <c r="T421" s="170"/>
      <c r="U421" s="170"/>
      <c r="V421" s="170"/>
      <c r="W421" s="170"/>
      <c r="X421" s="170"/>
      <c r="Y421" s="170"/>
      <c r="Z421" s="170"/>
      <c r="AA421" s="170"/>
      <c r="AB421" s="170"/>
      <c r="AC421" s="170"/>
    </row>
    <row r="422" spans="1:29" s="261" customFormat="1" x14ac:dyDescent="0.2">
      <c r="A422" s="443" t="s">
        <v>339</v>
      </c>
      <c r="B422" s="443"/>
      <c r="C422" s="451">
        <f>(J402*100)/(fyd*0.86*C405)</f>
        <v>6.5748332508658951</v>
      </c>
      <c r="D422" s="443"/>
      <c r="E422" s="443"/>
      <c r="F422" s="443"/>
      <c r="G422" s="443"/>
      <c r="H422" s="443"/>
      <c r="I422" s="449"/>
      <c r="J422" s="449"/>
      <c r="K422" s="449"/>
      <c r="L422" s="2"/>
      <c r="M422" s="2"/>
      <c r="N422" s="2"/>
      <c r="O422" s="170"/>
      <c r="P422" s="170"/>
      <c r="Q422" s="170"/>
      <c r="R422" s="170"/>
      <c r="S422" s="170"/>
      <c r="T422" s="170"/>
      <c r="U422" s="170"/>
      <c r="V422" s="170"/>
      <c r="W422" s="170"/>
      <c r="X422" s="170"/>
      <c r="Y422" s="170"/>
      <c r="Z422" s="170"/>
      <c r="AA422" s="170"/>
      <c r="AB422" s="170"/>
      <c r="AC422" s="170"/>
    </row>
    <row r="423" spans="1:29" s="261" customFormat="1" ht="15" x14ac:dyDescent="0.25">
      <c r="A423" s="443" t="s">
        <v>340</v>
      </c>
      <c r="B423" s="443"/>
      <c r="C423" s="443">
        <f>0.002*A405*(C405+5)</f>
        <v>30</v>
      </c>
      <c r="D423" s="443"/>
      <c r="E423" s="443"/>
      <c r="F423" s="443"/>
      <c r="G423" s="443"/>
      <c r="H423" s="450" t="str">
        <f>IF(G420&lt;C422,"not O.K.","O.K.")</f>
        <v>O.K.</v>
      </c>
      <c r="I423" s="449"/>
      <c r="J423" s="449"/>
      <c r="K423" s="449"/>
      <c r="L423" s="2"/>
      <c r="M423" s="2"/>
      <c r="N423" s="2"/>
      <c r="O423" s="170"/>
      <c r="P423" s="170"/>
      <c r="Q423" s="170"/>
      <c r="R423" s="170"/>
      <c r="S423" s="170"/>
      <c r="T423" s="170"/>
      <c r="U423" s="170"/>
      <c r="V423" s="170"/>
      <c r="W423" s="170"/>
      <c r="X423" s="170"/>
      <c r="Y423" s="170"/>
      <c r="Z423" s="170"/>
      <c r="AA423" s="170"/>
      <c r="AB423" s="170"/>
      <c r="AC423" s="170"/>
    </row>
    <row r="424" spans="1:29" s="261" customFormat="1" x14ac:dyDescent="0.2">
      <c r="A424" s="144"/>
      <c r="B424" s="144"/>
      <c r="C424" s="252"/>
      <c r="D424" s="252"/>
      <c r="E424" s="265"/>
      <c r="F424" s="252"/>
      <c r="G424" s="252"/>
      <c r="H424" s="252"/>
      <c r="I424" s="252"/>
      <c r="J424" s="252"/>
      <c r="K424" s="254"/>
      <c r="L424" s="2"/>
      <c r="M424" s="2"/>
      <c r="N424" s="2"/>
      <c r="O424" s="170"/>
      <c r="P424" s="170"/>
      <c r="Q424" s="170"/>
      <c r="R424" s="170"/>
      <c r="S424" s="170"/>
      <c r="T424" s="170"/>
      <c r="U424" s="170"/>
      <c r="V424" s="170"/>
      <c r="W424" s="170"/>
      <c r="X424" s="170"/>
      <c r="Y424" s="170"/>
      <c r="Z424" s="170"/>
      <c r="AA424" s="170"/>
      <c r="AB424" s="170"/>
      <c r="AC424" s="170"/>
    </row>
    <row r="425" spans="1:29" s="261" customFormat="1" x14ac:dyDescent="0.2">
      <c r="A425" s="144"/>
      <c r="B425" s="144"/>
      <c r="C425" s="252"/>
      <c r="D425" s="252"/>
      <c r="E425" s="265"/>
      <c r="F425" s="252"/>
      <c r="G425" s="252"/>
      <c r="H425" s="252"/>
      <c r="I425" s="252"/>
      <c r="J425" s="252"/>
      <c r="K425" s="254"/>
      <c r="L425" s="2"/>
      <c r="M425" s="2"/>
      <c r="N425" s="2"/>
      <c r="O425" s="170"/>
      <c r="P425" s="170"/>
      <c r="Q425" s="170"/>
      <c r="R425" s="170"/>
      <c r="S425" s="170"/>
      <c r="T425" s="170"/>
      <c r="U425" s="170"/>
      <c r="V425" s="170"/>
      <c r="W425" s="170"/>
      <c r="X425" s="170"/>
      <c r="Y425" s="170"/>
      <c r="Z425" s="170"/>
      <c r="AA425" s="170"/>
      <c r="AB425" s="170"/>
      <c r="AC425" s="170"/>
    </row>
    <row r="426" spans="1:29" ht="31.5" customHeight="1" x14ac:dyDescent="0.2">
      <c r="A426" s="695" t="s">
        <v>124</v>
      </c>
      <c r="B426" s="695"/>
      <c r="C426" s="695"/>
      <c r="D426" s="695"/>
      <c r="E426" s="695"/>
      <c r="F426" s="695"/>
      <c r="G426" s="695"/>
      <c r="H426" s="695"/>
      <c r="I426" s="695"/>
      <c r="J426" s="695"/>
      <c r="K426" s="695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  <c r="AA426" s="12"/>
      <c r="AB426" s="12"/>
      <c r="AC426" s="12"/>
    </row>
    <row r="427" spans="1:29" x14ac:dyDescent="0.2"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  <c r="AA427" s="12"/>
      <c r="AB427" s="12"/>
      <c r="AC427" s="12"/>
    </row>
    <row r="428" spans="1:29" x14ac:dyDescent="0.2"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  <c r="AA428" s="12"/>
      <c r="AB428" s="12"/>
      <c r="AC428" s="12"/>
    </row>
    <row r="429" spans="1:29" x14ac:dyDescent="0.2"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  <c r="AA429" s="12"/>
      <c r="AB429" s="12"/>
      <c r="AC429" s="12"/>
    </row>
    <row r="430" spans="1:29" x14ac:dyDescent="0.2"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  <c r="AA430" s="12"/>
      <c r="AB430" s="12"/>
      <c r="AC430" s="12"/>
    </row>
    <row r="431" spans="1:29" x14ac:dyDescent="0.2"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  <c r="AA431" s="12"/>
      <c r="AB431" s="12"/>
      <c r="AC431" s="12"/>
    </row>
    <row r="432" spans="1:29" x14ac:dyDescent="0.2"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  <c r="AA432" s="12"/>
      <c r="AB432" s="12"/>
      <c r="AC432" s="12"/>
    </row>
    <row r="433" spans="1:29" x14ac:dyDescent="0.2"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  <c r="AA433" s="12"/>
      <c r="AB433" s="12"/>
      <c r="AC433" s="12"/>
    </row>
    <row r="434" spans="1:29" x14ac:dyDescent="0.2"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  <c r="AA434" s="12"/>
      <c r="AB434" s="12"/>
      <c r="AC434" s="12"/>
    </row>
    <row r="435" spans="1:29" x14ac:dyDescent="0.2">
      <c r="L435" s="2"/>
      <c r="M435" s="9"/>
      <c r="N435" s="9"/>
      <c r="O435" s="9"/>
      <c r="P435" s="9"/>
      <c r="Q435" s="9"/>
      <c r="R435" s="9"/>
      <c r="S435" s="9"/>
      <c r="T435" s="9"/>
      <c r="U435" s="9"/>
      <c r="V435" s="12"/>
      <c r="W435" s="12"/>
      <c r="X435" s="12"/>
      <c r="Y435" s="12"/>
      <c r="Z435" s="12"/>
      <c r="AA435" s="12"/>
      <c r="AB435" s="12"/>
      <c r="AC435" s="12"/>
    </row>
    <row r="436" spans="1:29" x14ac:dyDescent="0.2">
      <c r="L436" s="2"/>
      <c r="M436" s="2"/>
      <c r="N436" s="2"/>
      <c r="O436" s="2"/>
      <c r="P436" s="2"/>
      <c r="Q436" s="2"/>
      <c r="R436" s="2"/>
      <c r="S436" s="2"/>
      <c r="T436" s="2"/>
      <c r="U436" s="2"/>
    </row>
    <row r="437" spans="1:29" x14ac:dyDescent="0.2"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</row>
    <row r="438" spans="1:29" x14ac:dyDescent="0.2"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</row>
    <row r="439" spans="1:29" x14ac:dyDescent="0.2"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</row>
    <row r="440" spans="1:29" x14ac:dyDescent="0.2"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</row>
    <row r="441" spans="1:29" x14ac:dyDescent="0.2"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</row>
    <row r="442" spans="1:29" x14ac:dyDescent="0.2"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</row>
    <row r="443" spans="1:29" x14ac:dyDescent="0.2"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</row>
    <row r="444" spans="1:29" ht="31.5" customHeight="1" x14ac:dyDescent="0.25">
      <c r="A444" s="13"/>
      <c r="B444" s="13"/>
      <c r="C444" s="61" t="s">
        <v>118</v>
      </c>
      <c r="D444" s="61" t="s">
        <v>119</v>
      </c>
      <c r="E444" s="470" t="s">
        <v>125</v>
      </c>
      <c r="F444" s="693" t="s">
        <v>162</v>
      </c>
      <c r="G444" s="694"/>
      <c r="H444" s="693" t="s">
        <v>121</v>
      </c>
      <c r="I444" s="694"/>
      <c r="J444" s="693" t="s">
        <v>329</v>
      </c>
      <c r="K444" s="694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</row>
    <row r="445" spans="1:29" s="2" customFormat="1" ht="12.75" x14ac:dyDescent="0.2">
      <c r="A445" s="649" t="s">
        <v>114</v>
      </c>
      <c r="B445" s="687"/>
      <c r="C445" s="485">
        <f>C396</f>
        <v>9.9690708484758463</v>
      </c>
      <c r="D445" s="485">
        <f>D396</f>
        <v>19.395167562120179</v>
      </c>
      <c r="E445" s="504">
        <f>C445+(D445-C445)/b*br</f>
        <v>11.217560479422115</v>
      </c>
      <c r="F445" s="644">
        <f>(E445+C445)/2*br</f>
        <v>10.593315663948982</v>
      </c>
      <c r="G445" s="674"/>
      <c r="H445" s="683">
        <f>(C445*br*br/2+(E445-C445)*br/2*2*br/3)/(C445*br+(E445-C445)*br/2)</f>
        <v>0.50982136338416928</v>
      </c>
      <c r="I445" s="684"/>
      <c r="J445" s="644">
        <f t="shared" ref="J445:J453" si="11">F445*H445</f>
        <v>5.4006986345533461</v>
      </c>
      <c r="K445" s="674"/>
    </row>
    <row r="446" spans="1:29" s="2" customFormat="1" ht="12.75" x14ac:dyDescent="0.2">
      <c r="A446" s="649" t="s">
        <v>115</v>
      </c>
      <c r="B446" s="687"/>
      <c r="C446" s="485">
        <f>E194</f>
        <v>0</v>
      </c>
      <c r="D446" s="66">
        <f>E193</f>
        <v>-1159.0196845290018</v>
      </c>
      <c r="E446" s="504">
        <f>C446+(D446-C446)/b*br</f>
        <v>-153.51254099721879</v>
      </c>
      <c r="F446" s="644">
        <f>(E446+C446)/2*br</f>
        <v>-76.756270498609396</v>
      </c>
      <c r="G446" s="674"/>
      <c r="H446" s="683">
        <f>(C446*br*br/2+(E446-C446)*br/2*2*br/3)/(C446*br+(E446-C446)*br/2)</f>
        <v>0.66666666666666663</v>
      </c>
      <c r="I446" s="684"/>
      <c r="J446" s="644">
        <f t="shared" si="11"/>
        <v>-51.170846999072928</v>
      </c>
      <c r="K446" s="674"/>
    </row>
    <row r="447" spans="1:29" s="2" customFormat="1" ht="12.75" x14ac:dyDescent="0.2">
      <c r="A447" s="649" t="s">
        <v>116</v>
      </c>
      <c r="B447" s="687"/>
      <c r="C447" s="485">
        <f>E249</f>
        <v>0</v>
      </c>
      <c r="D447" s="485">
        <f>E248</f>
        <v>15.685415770124486</v>
      </c>
      <c r="E447" s="504">
        <f>C447+(D447-C447)/b*br</f>
        <v>2.0775385125992698</v>
      </c>
      <c r="F447" s="644">
        <f>(E447+C447)/2*br</f>
        <v>1.0387692562996349</v>
      </c>
      <c r="G447" s="674"/>
      <c r="H447" s="683">
        <f>(C447*br*br/2+(E447-C447)*br/2*2*br/3)/(C447*br+(E447-C447)*br/2)</f>
        <v>0.66666666666666663</v>
      </c>
      <c r="I447" s="684"/>
      <c r="J447" s="644">
        <f t="shared" si="11"/>
        <v>0.6925128375330899</v>
      </c>
      <c r="K447" s="674"/>
    </row>
    <row r="448" spans="1:29" s="2" customFormat="1" ht="13.5" thickBot="1" x14ac:dyDescent="0.25">
      <c r="A448" s="681" t="s">
        <v>117</v>
      </c>
      <c r="B448" s="682"/>
      <c r="C448" s="67">
        <f>C399</f>
        <v>8.0337312344722971</v>
      </c>
      <c r="D448" s="67">
        <f>E298</f>
        <v>15.451289957580684</v>
      </c>
      <c r="E448" s="504">
        <f>C448+(D448-C448)/b*br</f>
        <v>9.0161893434932754</v>
      </c>
      <c r="F448" s="644">
        <f>(E448+C448)/2*br</f>
        <v>8.5249602889827862</v>
      </c>
      <c r="G448" s="674"/>
      <c r="H448" s="683">
        <f>(C448*br*br/2+(E448-C448)*br/2*2*br/3)/(C448*br+(E448-C448)*br/2)</f>
        <v>0.50960374081635174</v>
      </c>
      <c r="I448" s="684"/>
      <c r="J448" s="685">
        <f t="shared" si="11"/>
        <v>4.3443516535764743</v>
      </c>
      <c r="K448" s="686"/>
    </row>
    <row r="449" spans="1:21" s="2" customFormat="1" ht="15" thickTop="1" x14ac:dyDescent="0.2">
      <c r="A449" s="69" t="s">
        <v>122</v>
      </c>
      <c r="B449" s="11" t="str">
        <f>"("&amp;hs&amp;"x"&amp;br&amp;")x"&amp;gc</f>
        <v>(1.5x1)x2.4</v>
      </c>
      <c r="C449" s="11"/>
      <c r="D449" s="11"/>
      <c r="E449" s="472"/>
      <c r="F449" s="691">
        <f>(hs*br)*gc</f>
        <v>3.5999999999999996</v>
      </c>
      <c r="G449" s="692"/>
      <c r="H449" s="689">
        <f>br/2</f>
        <v>0.5</v>
      </c>
      <c r="I449" s="690"/>
      <c r="J449" s="618">
        <f t="shared" si="11"/>
        <v>1.7999999999999998</v>
      </c>
      <c r="K449" s="688"/>
      <c r="L449" s="1"/>
      <c r="M449" s="1"/>
      <c r="N449" s="1"/>
      <c r="O449" s="1"/>
      <c r="P449" s="1"/>
      <c r="Q449" s="1"/>
      <c r="R449" s="1"/>
      <c r="S449" s="1"/>
      <c r="T449" s="1"/>
      <c r="U449" s="1"/>
    </row>
    <row r="450" spans="1:21" s="2" customFormat="1" ht="15.75" x14ac:dyDescent="0.2">
      <c r="A450" s="34" t="s">
        <v>60</v>
      </c>
      <c r="B450" s="6" t="str">
        <f>" "&amp;br&amp;"x"&amp;ROUND(h-hs-0.5-(hsuf-hs),3)&amp;"x"&amp;ROUND(gnor,2)&amp;"="</f>
        <v xml:space="preserve"> 1x1.48x1.8=</v>
      </c>
      <c r="C450" s="6"/>
      <c r="D450" s="6"/>
      <c r="E450" s="473"/>
      <c r="F450" s="643">
        <f>br*(h-hs-0.5-(hsuf-hs))*(gnor)</f>
        <v>2.6639999999999993</v>
      </c>
      <c r="G450" s="643"/>
      <c r="H450" s="644">
        <f>br/2</f>
        <v>0.5</v>
      </c>
      <c r="I450" s="674"/>
      <c r="J450" s="643">
        <f t="shared" si="11"/>
        <v>1.3319999999999996</v>
      </c>
      <c r="K450" s="643"/>
      <c r="N450" s="70"/>
    </row>
    <row r="451" spans="1:21" s="2" customFormat="1" ht="15.75" x14ac:dyDescent="0.2">
      <c r="A451" s="34" t="s">
        <v>83</v>
      </c>
      <c r="B451" s="6" t="str">
        <f>" "&amp;br&amp;"x"&amp;(hsuf-hs)&amp;"x"&amp;ROUND(gdoy,2)&amp;"="</f>
        <v xml:space="preserve"> 1x5.12x2=</v>
      </c>
      <c r="C451" s="6"/>
      <c r="D451" s="6"/>
      <c r="E451" s="473"/>
      <c r="F451" s="643">
        <f>br*(hsuf-hs)*gdoy</f>
        <v>10.24</v>
      </c>
      <c r="G451" s="643"/>
      <c r="H451" s="644">
        <f>br/2</f>
        <v>0.5</v>
      </c>
      <c r="I451" s="674"/>
      <c r="J451" s="643">
        <f t="shared" si="11"/>
        <v>5.12</v>
      </c>
      <c r="K451" s="643"/>
      <c r="N451" s="70"/>
    </row>
    <row r="452" spans="1:21" s="2" customFormat="1" ht="15.75" x14ac:dyDescent="0.2">
      <c r="A452" s="34" t="s">
        <v>126</v>
      </c>
      <c r="B452" s="6" t="str">
        <f>" "&amp;br&amp;"x"&amp;(h-hs)&amp;"x"&amp;ROUND(gnor,2)&amp;"="</f>
        <v xml:space="preserve"> 1x7.1x1.8=</v>
      </c>
      <c r="C452" s="6"/>
      <c r="D452" s="6"/>
      <c r="E452" s="473"/>
      <c r="F452" s="643">
        <f>br*(h-hs)*gnor</f>
        <v>12.78</v>
      </c>
      <c r="G452" s="643"/>
      <c r="H452" s="644">
        <f>br/2</f>
        <v>0.5</v>
      </c>
      <c r="I452" s="674"/>
      <c r="J452" s="643">
        <f t="shared" si="11"/>
        <v>6.39</v>
      </c>
      <c r="K452" s="643"/>
    </row>
    <row r="453" spans="1:21" s="2" customFormat="1" ht="12.75" x14ac:dyDescent="0.2">
      <c r="A453" s="34" t="s">
        <v>81</v>
      </c>
      <c r="B453" s="6" t="str">
        <f>" "&amp;q&amp;"x"&amp;br&amp;"="</f>
        <v xml:space="preserve"> 1.14x1=</v>
      </c>
      <c r="C453" s="6"/>
      <c r="D453" s="6"/>
      <c r="E453" s="473"/>
      <c r="F453" s="643">
        <f>q*br</f>
        <v>1.1399999999999999</v>
      </c>
      <c r="G453" s="643"/>
      <c r="H453" s="644">
        <f>br/2</f>
        <v>0.5</v>
      </c>
      <c r="I453" s="674"/>
      <c r="J453" s="643">
        <f t="shared" si="11"/>
        <v>0.56999999999999995</v>
      </c>
      <c r="K453" s="643"/>
    </row>
    <row r="454" spans="1:21" s="2" customFormat="1" ht="25.5" customHeight="1" x14ac:dyDescent="0.2">
      <c r="E454" s="193"/>
      <c r="F454" s="675" t="s">
        <v>155</v>
      </c>
      <c r="G454" s="676"/>
      <c r="H454" s="675" t="s">
        <v>156</v>
      </c>
      <c r="I454" s="676"/>
    </row>
    <row r="455" spans="1:21" s="2" customFormat="1" ht="15" customHeight="1" x14ac:dyDescent="0.3">
      <c r="A455" s="68" t="s">
        <v>127</v>
      </c>
      <c r="B455" s="68"/>
      <c r="C455" s="687" t="s">
        <v>134</v>
      </c>
      <c r="D455" s="754"/>
      <c r="E455" s="755"/>
      <c r="F455" s="643">
        <f>1.5*F445+1.4*(F449+F452)</f>
        <v>38.821973495923473</v>
      </c>
      <c r="G455" s="649"/>
      <c r="H455" s="644">
        <f>1.5*J445+1.6*(J449+J452)</f>
        <v>21.205047951830018</v>
      </c>
      <c r="I455" s="674"/>
    </row>
    <row r="456" spans="1:21" s="2" customFormat="1" ht="15" customHeight="1" x14ac:dyDescent="0.3">
      <c r="A456" s="68" t="s">
        <v>128</v>
      </c>
      <c r="B456" s="68"/>
      <c r="C456" s="687" t="s">
        <v>133</v>
      </c>
      <c r="D456" s="754"/>
      <c r="E456" s="755"/>
      <c r="F456" s="643">
        <f>(F446+F449+F452+F453)/1.5</f>
        <v>-39.490846999072936</v>
      </c>
      <c r="G456" s="649"/>
      <c r="H456" s="644">
        <f>(J446+J449+J452+J453)</f>
        <v>-42.41084699907293</v>
      </c>
      <c r="I456" s="674"/>
    </row>
    <row r="457" spans="1:21" s="2" customFormat="1" ht="15" customHeight="1" x14ac:dyDescent="0.3">
      <c r="A457" s="68" t="s">
        <v>129</v>
      </c>
      <c r="B457" s="68"/>
      <c r="C457" s="687" t="s">
        <v>131</v>
      </c>
      <c r="D457" s="754"/>
      <c r="E457" s="755"/>
      <c r="F457" s="643">
        <f>1.5*F447+1.4*(F449+F450+F451)</f>
        <v>24.663753884449449</v>
      </c>
      <c r="G457" s="649"/>
      <c r="H457" s="644">
        <f>1.5*J447+1.6*(J450+J451+J449)</f>
        <v>14.241969256299633</v>
      </c>
      <c r="I457" s="674"/>
    </row>
    <row r="458" spans="1:21" s="2" customFormat="1" ht="15" customHeight="1" x14ac:dyDescent="0.3">
      <c r="A458" s="68" t="s">
        <v>130</v>
      </c>
      <c r="B458" s="68"/>
      <c r="C458" s="687" t="s">
        <v>132</v>
      </c>
      <c r="D458" s="754"/>
      <c r="E458" s="755"/>
      <c r="F458" s="643">
        <f>1.5*F448+1.4*(F449+F450+F451)</f>
        <v>35.893040433474177</v>
      </c>
      <c r="G458" s="649"/>
      <c r="H458" s="644">
        <f>1.5*J448+1.6*(J449+J450+J451)</f>
        <v>19.71972748036471</v>
      </c>
      <c r="I458" s="674"/>
    </row>
    <row r="459" spans="1:21" s="2" customFormat="1" ht="12.75" x14ac:dyDescent="0.2">
      <c r="E459" s="196" t="s">
        <v>110</v>
      </c>
      <c r="F459" s="70">
        <f>MAX(F455:G458)</f>
        <v>38.821973495923473</v>
      </c>
      <c r="G459" s="2" t="s">
        <v>113</v>
      </c>
      <c r="H459" s="16" t="s">
        <v>111</v>
      </c>
      <c r="I459" s="70">
        <f>MAX(H455:I458)</f>
        <v>21.205047951830018</v>
      </c>
      <c r="J459" s="2" t="s">
        <v>112</v>
      </c>
      <c r="L459" s="2" t="s">
        <v>168</v>
      </c>
    </row>
    <row r="460" spans="1:21" s="2" customFormat="1" ht="9" customHeight="1" x14ac:dyDescent="0.2">
      <c r="E460" s="193"/>
    </row>
    <row r="461" spans="1:21" s="2" customFormat="1" ht="12.75" x14ac:dyDescent="0.2">
      <c r="A461" s="649" t="s">
        <v>145</v>
      </c>
      <c r="B461" s="649"/>
      <c r="C461" s="649" t="s">
        <v>146</v>
      </c>
      <c r="D461" s="649"/>
      <c r="E461" s="193"/>
    </row>
    <row r="462" spans="1:21" s="2" customFormat="1" x14ac:dyDescent="0.2">
      <c r="A462" s="649">
        <v>100</v>
      </c>
      <c r="B462" s="649"/>
      <c r="C462" s="649">
        <f>(hs-pp)*100</f>
        <v>145</v>
      </c>
      <c r="D462" s="649"/>
      <c r="E462" s="672"/>
      <c r="F462" s="673"/>
      <c r="G462" s="673"/>
      <c r="H462" s="60"/>
    </row>
    <row r="463" spans="1:21" s="2" customFormat="1" ht="9" customHeight="1" x14ac:dyDescent="0.2">
      <c r="E463" s="193"/>
    </row>
    <row r="464" spans="1:21" s="2" customFormat="1" ht="12.75" x14ac:dyDescent="0.2">
      <c r="A464" s="71" t="s">
        <v>142</v>
      </c>
      <c r="E464" s="193"/>
    </row>
    <row r="465" spans="1:27" s="2" customFormat="1" ht="18" x14ac:dyDescent="0.35">
      <c r="A465" s="86" t="s">
        <v>144</v>
      </c>
      <c r="B465" s="9"/>
      <c r="C465" s="9"/>
      <c r="D465" s="508">
        <f>0.65*fctd*A462*C462</f>
        <v>108.38749999999999</v>
      </c>
      <c r="E465" s="168" t="s">
        <v>113</v>
      </c>
      <c r="F465" s="250" t="str">
        <f>" "&amp;IF(D465&lt;H465,"&lt;","&gt;")&amp;"     Vd ="</f>
        <v xml:space="preserve"> &gt;     Vd =</v>
      </c>
      <c r="G465" s="9"/>
      <c r="H465" s="508">
        <f>F459</f>
        <v>38.821973495923473</v>
      </c>
      <c r="I465" s="9" t="str">
        <f>E465</f>
        <v>t/m</v>
      </c>
      <c r="J465" s="94" t="str">
        <f>IF(D465&lt;H465,"not O.K.","O.K.")</f>
        <v>O.K.</v>
      </c>
      <c r="K465" s="9"/>
    </row>
    <row r="466" spans="1:27" s="2" customFormat="1" ht="18" x14ac:dyDescent="0.35">
      <c r="A466" s="86" t="s">
        <v>143</v>
      </c>
      <c r="B466" s="9"/>
      <c r="C466" s="9"/>
      <c r="D466" s="508">
        <f>0.9*0.22*fcd*A462*C462</f>
        <v>488.07</v>
      </c>
      <c r="E466" s="168" t="s">
        <v>113</v>
      </c>
      <c r="F466" s="250" t="str">
        <f>" "&amp;IF(D466&lt;H466,"&lt;","&gt;")&amp;"     Vd ="</f>
        <v xml:space="preserve"> &gt;     Vd =</v>
      </c>
      <c r="G466" s="9"/>
      <c r="H466" s="508">
        <f>H465</f>
        <v>38.821973495923473</v>
      </c>
      <c r="I466" s="9" t="str">
        <f>E466</f>
        <v>t/m</v>
      </c>
      <c r="J466" s="94" t="str">
        <f>IF(D466&lt;H466,"not O.K.","O.K.")</f>
        <v>O.K.</v>
      </c>
      <c r="K466" s="9"/>
    </row>
    <row r="467" spans="1:27" s="2" customFormat="1" ht="9.75" customHeight="1" x14ac:dyDescent="0.2">
      <c r="A467" s="9"/>
      <c r="B467" s="9"/>
      <c r="C467" s="9"/>
      <c r="D467" s="9"/>
      <c r="E467" s="168"/>
      <c r="F467" s="9"/>
      <c r="G467" s="9"/>
      <c r="H467" s="9"/>
      <c r="I467" s="9"/>
      <c r="J467" s="9"/>
      <c r="K467" s="9"/>
    </row>
    <row r="468" spans="1:27" s="2" customFormat="1" x14ac:dyDescent="0.2">
      <c r="A468" s="88" t="s">
        <v>203</v>
      </c>
      <c r="B468" s="12"/>
      <c r="C468" s="12"/>
      <c r="D468" s="12"/>
      <c r="E468" s="498"/>
      <c r="F468" s="510"/>
      <c r="G468" s="250"/>
      <c r="H468" s="510"/>
      <c r="I468" s="156"/>
      <c r="J468" s="9"/>
      <c r="K468" s="9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</row>
    <row r="469" spans="1:27" s="2" customFormat="1" ht="17.25" customHeight="1" x14ac:dyDescent="0.2">
      <c r="A469" s="648" t="str">
        <f>"A= "&amp;ROUND(A462/100,2)&amp;"x"&amp;C462/100&amp;"="</f>
        <v>A= 1x1.45=</v>
      </c>
      <c r="B469" s="648"/>
      <c r="C469" s="648"/>
      <c r="D469" s="508">
        <f>A462/100*C462/100</f>
        <v>1.45</v>
      </c>
      <c r="E469" s="493" t="s">
        <v>205</v>
      </c>
      <c r="F469" s="508"/>
      <c r="G469" s="508"/>
      <c r="H469" s="508"/>
      <c r="I469" s="508"/>
      <c r="J469" s="166"/>
      <c r="K469" s="166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</row>
    <row r="470" spans="1:27" s="2" customFormat="1" x14ac:dyDescent="0.2">
      <c r="A470" s="648" t="str">
        <f>"W= ("&amp;ROUND(A462/100,2)&amp;"x"&amp;ROUND(A462/100,2)&amp;"x"&amp;C462/100&amp;")/6="</f>
        <v>W= (1x1x1.45)/6=</v>
      </c>
      <c r="B470" s="648"/>
      <c r="C470" s="648"/>
      <c r="D470" s="59">
        <f>(A462/100)^2*hs/6</f>
        <v>0.25</v>
      </c>
      <c r="E470" s="464" t="s">
        <v>204</v>
      </c>
      <c r="F470" s="508"/>
      <c r="G470" s="508"/>
      <c r="H470" s="508"/>
      <c r="I470" s="508"/>
      <c r="J470" s="9"/>
      <c r="K470" s="9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</row>
    <row r="471" spans="1:27" s="2" customFormat="1" ht="15" x14ac:dyDescent="0.25">
      <c r="A471"/>
      <c r="B471" s="508"/>
      <c r="C471" s="262"/>
      <c r="D471" s="262"/>
      <c r="E471" s="262"/>
      <c r="F471" s="262"/>
      <c r="G471" s="262"/>
      <c r="H471" s="262"/>
      <c r="I471" s="262"/>
      <c r="J471" s="9"/>
      <c r="K471" s="9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</row>
    <row r="472" spans="1:27" s="218" customFormat="1" x14ac:dyDescent="0.2">
      <c r="A472" s="278"/>
      <c r="B472" s="278"/>
      <c r="C472" s="263" t="s">
        <v>206</v>
      </c>
      <c r="D472" s="264">
        <f>I459</f>
        <v>21.205047951830018</v>
      </c>
      <c r="E472" s="265" t="s">
        <v>206</v>
      </c>
      <c r="F472" s="273">
        <f>D472/D473</f>
        <v>84.820191807320072</v>
      </c>
      <c r="G472" s="274" t="s">
        <v>208</v>
      </c>
      <c r="H472" s="313" t="str">
        <f>IF(fctd*10000&gt;F472," &lt; fctd   OK"," &gt; fctd NOT OK~Donatı gerekir")</f>
        <v xml:space="preserve"> &lt; fctd   OK</v>
      </c>
      <c r="I472" s="170"/>
      <c r="J472" s="168"/>
      <c r="K472" s="168"/>
      <c r="L472" s="261"/>
      <c r="M472" s="261"/>
      <c r="N472" s="261"/>
      <c r="O472" s="270"/>
      <c r="P472" s="270"/>
      <c r="Q472" s="270"/>
      <c r="R472" s="270"/>
      <c r="S472" s="270"/>
      <c r="T472" s="270"/>
      <c r="U472" s="270"/>
      <c r="V472" s="270"/>
      <c r="W472" s="270"/>
      <c r="X472" s="270"/>
      <c r="Y472" s="270"/>
      <c r="Z472" s="270"/>
      <c r="AA472" s="270"/>
    </row>
    <row r="473" spans="1:27" s="2" customFormat="1" x14ac:dyDescent="0.2">
      <c r="A473" s="144"/>
      <c r="B473" s="144"/>
      <c r="C473" s="252"/>
      <c r="D473" s="268">
        <f>D470</f>
        <v>0.25</v>
      </c>
      <c r="E473" s="265"/>
      <c r="F473" s="255"/>
      <c r="G473" s="252"/>
      <c r="H473" s="252"/>
      <c r="I473" s="252"/>
      <c r="J473" s="9"/>
      <c r="K473" s="9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</row>
    <row r="474" spans="1:27" x14ac:dyDescent="0.2">
      <c r="A474" s="144"/>
      <c r="B474" s="144"/>
      <c r="C474" s="252"/>
      <c r="D474" s="252"/>
      <c r="E474" s="265"/>
      <c r="F474" s="252"/>
      <c r="G474" s="252"/>
      <c r="H474" s="252"/>
      <c r="I474" s="252"/>
    </row>
    <row r="475" spans="1:27" x14ac:dyDescent="0.2">
      <c r="A475" s="452" t="s">
        <v>147</v>
      </c>
      <c r="B475" s="267"/>
      <c r="C475" s="267"/>
      <c r="D475" s="267"/>
      <c r="E475" s="267"/>
      <c r="F475" s="267"/>
      <c r="G475" s="267"/>
      <c r="H475" s="267"/>
    </row>
    <row r="476" spans="1:27" x14ac:dyDescent="0.2">
      <c r="A476" s="267" t="s">
        <v>335</v>
      </c>
      <c r="B476" s="267"/>
      <c r="C476" s="453">
        <v>24</v>
      </c>
      <c r="D476" s="454">
        <v>15</v>
      </c>
      <c r="E476" s="474" t="s">
        <v>336</v>
      </c>
      <c r="F476" s="455" t="s">
        <v>337</v>
      </c>
      <c r="G476" s="448">
        <f>((PI()*C476^2/4)*(A462/D476))/100</f>
        <v>30.159289474462017</v>
      </c>
      <c r="H476" s="267" t="s">
        <v>338</v>
      </c>
    </row>
    <row r="477" spans="1:27" x14ac:dyDescent="0.2">
      <c r="A477" s="267"/>
      <c r="B477" s="267"/>
      <c r="C477" s="267"/>
      <c r="D477" s="267"/>
      <c r="E477" s="267"/>
      <c r="F477" s="267"/>
      <c r="G477" s="267"/>
      <c r="H477" s="267"/>
    </row>
    <row r="478" spans="1:27" ht="15" x14ac:dyDescent="0.25">
      <c r="A478" s="267" t="s">
        <v>339</v>
      </c>
      <c r="B478" s="267"/>
      <c r="C478" s="456">
        <f>(I459*100)/(fyd*0.86*C462)</f>
        <v>4.6588630141006959</v>
      </c>
      <c r="D478" s="267"/>
      <c r="E478" s="267"/>
      <c r="F478" s="450" t="str">
        <f>IF(C478&gt;G476,"not O.K.","O.K.")</f>
        <v>O.K.</v>
      </c>
      <c r="G478" s="267"/>
      <c r="H478" s="267"/>
    </row>
    <row r="479" spans="1:27" x14ac:dyDescent="0.2">
      <c r="A479" s="267" t="s">
        <v>341</v>
      </c>
      <c r="B479" s="267"/>
      <c r="C479" s="449">
        <f>0.002*A462*(C462+5)</f>
        <v>30</v>
      </c>
      <c r="D479" s="267"/>
      <c r="E479" s="267"/>
      <c r="F479" s="267"/>
      <c r="G479" s="267"/>
      <c r="H479" s="267"/>
    </row>
  </sheetData>
  <mergeCells count="478">
    <mergeCell ref="A469:C469"/>
    <mergeCell ref="A470:C470"/>
    <mergeCell ref="C458:E458"/>
    <mergeCell ref="F458:G458"/>
    <mergeCell ref="H458:I458"/>
    <mergeCell ref="A461:B461"/>
    <mergeCell ref="C461:D461"/>
    <mergeCell ref="A462:B462"/>
    <mergeCell ref="C462:D462"/>
    <mergeCell ref="E462:G462"/>
    <mergeCell ref="C456:E456"/>
    <mergeCell ref="F456:G456"/>
    <mergeCell ref="H456:I456"/>
    <mergeCell ref="C457:E457"/>
    <mergeCell ref="F457:G457"/>
    <mergeCell ref="H457:I457"/>
    <mergeCell ref="F453:G453"/>
    <mergeCell ref="H453:I453"/>
    <mergeCell ref="J453:K453"/>
    <mergeCell ref="F454:G454"/>
    <mergeCell ref="H454:I454"/>
    <mergeCell ref="C455:E455"/>
    <mergeCell ref="F455:G455"/>
    <mergeCell ref="H455:I455"/>
    <mergeCell ref="F451:G451"/>
    <mergeCell ref="H451:I451"/>
    <mergeCell ref="J451:K451"/>
    <mergeCell ref="F452:G452"/>
    <mergeCell ref="H452:I452"/>
    <mergeCell ref="J452:K452"/>
    <mergeCell ref="F449:G449"/>
    <mergeCell ref="H449:I449"/>
    <mergeCell ref="J449:K449"/>
    <mergeCell ref="F450:G450"/>
    <mergeCell ref="H450:I450"/>
    <mergeCell ref="J450:K450"/>
    <mergeCell ref="A447:B447"/>
    <mergeCell ref="F447:G447"/>
    <mergeCell ref="H447:I447"/>
    <mergeCell ref="J447:K447"/>
    <mergeCell ref="A448:B448"/>
    <mergeCell ref="F448:G448"/>
    <mergeCell ref="H448:I448"/>
    <mergeCell ref="J448:K448"/>
    <mergeCell ref="A445:B445"/>
    <mergeCell ref="F445:G445"/>
    <mergeCell ref="H445:I445"/>
    <mergeCell ref="J445:K445"/>
    <mergeCell ref="A446:B446"/>
    <mergeCell ref="F446:G446"/>
    <mergeCell ref="H446:I446"/>
    <mergeCell ref="J446:K446"/>
    <mergeCell ref="N408:P408"/>
    <mergeCell ref="N409:P409"/>
    <mergeCell ref="A413:C413"/>
    <mergeCell ref="A414:C414"/>
    <mergeCell ref="A426:K426"/>
    <mergeCell ref="F444:G444"/>
    <mergeCell ref="H444:I444"/>
    <mergeCell ref="J444:K444"/>
    <mergeCell ref="S401:T401"/>
    <mergeCell ref="A404:B404"/>
    <mergeCell ref="C404:D404"/>
    <mergeCell ref="M404:N404"/>
    <mergeCell ref="P404:Q404"/>
    <mergeCell ref="A405:B405"/>
    <mergeCell ref="C405:D405"/>
    <mergeCell ref="F400:G400"/>
    <mergeCell ref="H400:I400"/>
    <mergeCell ref="J400:K400"/>
    <mergeCell ref="N400:Q400"/>
    <mergeCell ref="S400:T400"/>
    <mergeCell ref="V400:W400"/>
    <mergeCell ref="V398:W398"/>
    <mergeCell ref="A399:B399"/>
    <mergeCell ref="F399:G399"/>
    <mergeCell ref="H399:I399"/>
    <mergeCell ref="J399:K399"/>
    <mergeCell ref="N399:Q399"/>
    <mergeCell ref="S399:T399"/>
    <mergeCell ref="V399:W399"/>
    <mergeCell ref="A398:B398"/>
    <mergeCell ref="F398:G398"/>
    <mergeCell ref="H398:I398"/>
    <mergeCell ref="J398:K398"/>
    <mergeCell ref="N398:Q398"/>
    <mergeCell ref="S398:T398"/>
    <mergeCell ref="V396:W396"/>
    <mergeCell ref="A397:B397"/>
    <mergeCell ref="F397:G397"/>
    <mergeCell ref="H397:I397"/>
    <mergeCell ref="J397:K397"/>
    <mergeCell ref="N397:Q397"/>
    <mergeCell ref="S397:T397"/>
    <mergeCell ref="V397:W397"/>
    <mergeCell ref="A396:B396"/>
    <mergeCell ref="F396:G396"/>
    <mergeCell ref="H396:I396"/>
    <mergeCell ref="J396:K396"/>
    <mergeCell ref="N396:Q396"/>
    <mergeCell ref="S396:T396"/>
    <mergeCell ref="N394:Q394"/>
    <mergeCell ref="S394:T394"/>
    <mergeCell ref="V394:W394"/>
    <mergeCell ref="F395:G395"/>
    <mergeCell ref="H395:I395"/>
    <mergeCell ref="J395:K395"/>
    <mergeCell ref="N395:Q395"/>
    <mergeCell ref="S395:T395"/>
    <mergeCell ref="V395:W395"/>
    <mergeCell ref="A370:C370"/>
    <mergeCell ref="A375:K375"/>
    <mergeCell ref="M392:R392"/>
    <mergeCell ref="S392:U392"/>
    <mergeCell ref="V392:X392"/>
    <mergeCell ref="N393:Q393"/>
    <mergeCell ref="S393:T393"/>
    <mergeCell ref="V393:W393"/>
    <mergeCell ref="E357:F357"/>
    <mergeCell ref="A360:B360"/>
    <mergeCell ref="C360:D360"/>
    <mergeCell ref="A361:B361"/>
    <mergeCell ref="C361:D361"/>
    <mergeCell ref="A369:C369"/>
    <mergeCell ref="A355:D355"/>
    <mergeCell ref="E355:F355"/>
    <mergeCell ref="G355:H355"/>
    <mergeCell ref="A356:D356"/>
    <mergeCell ref="E356:F356"/>
    <mergeCell ref="G356:H356"/>
    <mergeCell ref="A353:D353"/>
    <mergeCell ref="E353:F353"/>
    <mergeCell ref="G353:H353"/>
    <mergeCell ref="A354:D354"/>
    <mergeCell ref="E354:F354"/>
    <mergeCell ref="G354:H354"/>
    <mergeCell ref="A348:D348"/>
    <mergeCell ref="E348:F348"/>
    <mergeCell ref="G348:H348"/>
    <mergeCell ref="E349:F349"/>
    <mergeCell ref="A352:D352"/>
    <mergeCell ref="E352:F352"/>
    <mergeCell ref="G352:H352"/>
    <mergeCell ref="A343:D343"/>
    <mergeCell ref="E343:F343"/>
    <mergeCell ref="G343:H343"/>
    <mergeCell ref="E344:F344"/>
    <mergeCell ref="A347:D347"/>
    <mergeCell ref="E347:F347"/>
    <mergeCell ref="G347:H347"/>
    <mergeCell ref="A341:D341"/>
    <mergeCell ref="E341:F341"/>
    <mergeCell ref="G341:H341"/>
    <mergeCell ref="A342:D342"/>
    <mergeCell ref="E342:F342"/>
    <mergeCell ref="G342:H342"/>
    <mergeCell ref="M338:P338"/>
    <mergeCell ref="U338:V338"/>
    <mergeCell ref="R339:S339"/>
    <mergeCell ref="U339:V339"/>
    <mergeCell ref="A340:D340"/>
    <mergeCell ref="E340:F340"/>
    <mergeCell ref="G340:H340"/>
    <mergeCell ref="M335:P335"/>
    <mergeCell ref="R335:S335"/>
    <mergeCell ref="U335:V335"/>
    <mergeCell ref="E337:F337"/>
    <mergeCell ref="M337:P337"/>
    <mergeCell ref="R337:S337"/>
    <mergeCell ref="U337:V337"/>
    <mergeCell ref="A334:D334"/>
    <mergeCell ref="E334:F334"/>
    <mergeCell ref="G334:H334"/>
    <mergeCell ref="A335:D335"/>
    <mergeCell ref="E335:F335"/>
    <mergeCell ref="G335:H335"/>
    <mergeCell ref="R332:S332"/>
    <mergeCell ref="U332:V332"/>
    <mergeCell ref="A333:D333"/>
    <mergeCell ref="E333:F333"/>
    <mergeCell ref="G333:H333"/>
    <mergeCell ref="M333:P333"/>
    <mergeCell ref="R333:S333"/>
    <mergeCell ref="U333:V333"/>
    <mergeCell ref="A307:B307"/>
    <mergeCell ref="C307:D307"/>
    <mergeCell ref="F307:G307"/>
    <mergeCell ref="L307:M307"/>
    <mergeCell ref="L308:M308"/>
    <mergeCell ref="E331:F331"/>
    <mergeCell ref="G331:H331"/>
    <mergeCell ref="I331:K331"/>
    <mergeCell ref="N303:O303"/>
    <mergeCell ref="L305:M305"/>
    <mergeCell ref="A306:B306"/>
    <mergeCell ref="C306:D306"/>
    <mergeCell ref="F306:G306"/>
    <mergeCell ref="L306:M306"/>
    <mergeCell ref="B298:C298"/>
    <mergeCell ref="B299:C299"/>
    <mergeCell ref="A302:B302"/>
    <mergeCell ref="C302:D302"/>
    <mergeCell ref="E302:F302"/>
    <mergeCell ref="A303:B303"/>
    <mergeCell ref="C303:D303"/>
    <mergeCell ref="E303:F303"/>
    <mergeCell ref="B291:D291"/>
    <mergeCell ref="F291:G291"/>
    <mergeCell ref="I291:J291"/>
    <mergeCell ref="F292:G292"/>
    <mergeCell ref="A294:B294"/>
    <mergeCell ref="C294:D294"/>
    <mergeCell ref="B289:D289"/>
    <mergeCell ref="F289:G289"/>
    <mergeCell ref="I289:J289"/>
    <mergeCell ref="B290:D290"/>
    <mergeCell ref="F290:G290"/>
    <mergeCell ref="I290:J290"/>
    <mergeCell ref="B287:D287"/>
    <mergeCell ref="F287:G287"/>
    <mergeCell ref="I287:J287"/>
    <mergeCell ref="B288:D288"/>
    <mergeCell ref="F288:G288"/>
    <mergeCell ref="I288:J288"/>
    <mergeCell ref="B285:D285"/>
    <mergeCell ref="F285:G285"/>
    <mergeCell ref="I285:J285"/>
    <mergeCell ref="B286:D286"/>
    <mergeCell ref="F286:G286"/>
    <mergeCell ref="I286:J286"/>
    <mergeCell ref="B283:D283"/>
    <mergeCell ref="F283:G283"/>
    <mergeCell ref="I283:J283"/>
    <mergeCell ref="B284:D284"/>
    <mergeCell ref="F284:G284"/>
    <mergeCell ref="I284:J284"/>
    <mergeCell ref="B281:D281"/>
    <mergeCell ref="F281:G281"/>
    <mergeCell ref="I281:J281"/>
    <mergeCell ref="B282:D282"/>
    <mergeCell ref="F282:G282"/>
    <mergeCell ref="I282:J282"/>
    <mergeCell ref="B279:D279"/>
    <mergeCell ref="F279:G279"/>
    <mergeCell ref="I279:J279"/>
    <mergeCell ref="B280:D280"/>
    <mergeCell ref="F280:G280"/>
    <mergeCell ref="I280:J280"/>
    <mergeCell ref="B277:D277"/>
    <mergeCell ref="F277:G277"/>
    <mergeCell ref="I277:J277"/>
    <mergeCell ref="B278:D278"/>
    <mergeCell ref="F278:G278"/>
    <mergeCell ref="I278:J278"/>
    <mergeCell ref="B275:D275"/>
    <mergeCell ref="F275:G275"/>
    <mergeCell ref="I275:J275"/>
    <mergeCell ref="B276:D276"/>
    <mergeCell ref="F276:G276"/>
    <mergeCell ref="I276:J276"/>
    <mergeCell ref="A260:K260"/>
    <mergeCell ref="A273:E273"/>
    <mergeCell ref="F273:H273"/>
    <mergeCell ref="I273:K273"/>
    <mergeCell ref="B274:D274"/>
    <mergeCell ref="F274:G274"/>
    <mergeCell ref="I274:J274"/>
    <mergeCell ref="A256:B256"/>
    <mergeCell ref="C256:D256"/>
    <mergeCell ref="F256:G256"/>
    <mergeCell ref="A257:B257"/>
    <mergeCell ref="C257:D257"/>
    <mergeCell ref="F257:G257"/>
    <mergeCell ref="B248:C248"/>
    <mergeCell ref="B249:C249"/>
    <mergeCell ref="A252:B252"/>
    <mergeCell ref="C252:D252"/>
    <mergeCell ref="E252:F252"/>
    <mergeCell ref="A253:B253"/>
    <mergeCell ref="C253:D253"/>
    <mergeCell ref="E253:F253"/>
    <mergeCell ref="B241:D241"/>
    <mergeCell ref="F241:G241"/>
    <mergeCell ref="I241:J241"/>
    <mergeCell ref="F242:G242"/>
    <mergeCell ref="A244:B244"/>
    <mergeCell ref="C244:D244"/>
    <mergeCell ref="B239:D239"/>
    <mergeCell ref="F239:G239"/>
    <mergeCell ref="I239:J239"/>
    <mergeCell ref="B240:D240"/>
    <mergeCell ref="F240:G240"/>
    <mergeCell ref="I240:J240"/>
    <mergeCell ref="B237:D237"/>
    <mergeCell ref="F237:G237"/>
    <mergeCell ref="I237:J237"/>
    <mergeCell ref="B238:D238"/>
    <mergeCell ref="F238:G238"/>
    <mergeCell ref="I238:J238"/>
    <mergeCell ref="B235:D235"/>
    <mergeCell ref="F235:G235"/>
    <mergeCell ref="I235:J235"/>
    <mergeCell ref="B236:D236"/>
    <mergeCell ref="F236:G236"/>
    <mergeCell ref="I236:J236"/>
    <mergeCell ref="B233:D233"/>
    <mergeCell ref="F233:G233"/>
    <mergeCell ref="I233:J233"/>
    <mergeCell ref="B234:D234"/>
    <mergeCell ref="F234:G234"/>
    <mergeCell ref="I234:J234"/>
    <mergeCell ref="B231:D231"/>
    <mergeCell ref="F231:G231"/>
    <mergeCell ref="I231:J231"/>
    <mergeCell ref="B232:D232"/>
    <mergeCell ref="F232:G232"/>
    <mergeCell ref="I232:J232"/>
    <mergeCell ref="B229:D229"/>
    <mergeCell ref="F229:G229"/>
    <mergeCell ref="I229:J229"/>
    <mergeCell ref="B230:D230"/>
    <mergeCell ref="F230:G230"/>
    <mergeCell ref="I230:J230"/>
    <mergeCell ref="B227:D227"/>
    <mergeCell ref="F227:G227"/>
    <mergeCell ref="I227:J227"/>
    <mergeCell ref="B228:D228"/>
    <mergeCell ref="F228:G228"/>
    <mergeCell ref="I228:J228"/>
    <mergeCell ref="A204:B204"/>
    <mergeCell ref="C204:D204"/>
    <mergeCell ref="F204:G204"/>
    <mergeCell ref="A207:K207"/>
    <mergeCell ref="A226:E226"/>
    <mergeCell ref="F226:H226"/>
    <mergeCell ref="I226:K226"/>
    <mergeCell ref="A202:B202"/>
    <mergeCell ref="C202:D202"/>
    <mergeCell ref="F202:G202"/>
    <mergeCell ref="A203:B203"/>
    <mergeCell ref="C203:D203"/>
    <mergeCell ref="F203:G203"/>
    <mergeCell ref="E197:F197"/>
    <mergeCell ref="A198:B198"/>
    <mergeCell ref="C198:D198"/>
    <mergeCell ref="E198:F198"/>
    <mergeCell ref="A199:B199"/>
    <mergeCell ref="C199:D199"/>
    <mergeCell ref="E199:F199"/>
    <mergeCell ref="A189:B189"/>
    <mergeCell ref="C189:D189"/>
    <mergeCell ref="B193:C193"/>
    <mergeCell ref="B194:C194"/>
    <mergeCell ref="A197:B197"/>
    <mergeCell ref="C197:D197"/>
    <mergeCell ref="B186:D186"/>
    <mergeCell ref="F186:G186"/>
    <mergeCell ref="I186:J186"/>
    <mergeCell ref="Q188:S188"/>
    <mergeCell ref="U188:V188"/>
    <mergeCell ref="X188:Y188"/>
    <mergeCell ref="B184:D184"/>
    <mergeCell ref="F184:G184"/>
    <mergeCell ref="I184:J184"/>
    <mergeCell ref="B185:D185"/>
    <mergeCell ref="F185:G185"/>
    <mergeCell ref="I185:J185"/>
    <mergeCell ref="Q182:S182"/>
    <mergeCell ref="U182:V182"/>
    <mergeCell ref="X182:Y182"/>
    <mergeCell ref="B183:D183"/>
    <mergeCell ref="F183:G183"/>
    <mergeCell ref="I183:J183"/>
    <mergeCell ref="B181:D181"/>
    <mergeCell ref="F181:G181"/>
    <mergeCell ref="I181:J181"/>
    <mergeCell ref="B182:D182"/>
    <mergeCell ref="F182:G182"/>
    <mergeCell ref="I182:J182"/>
    <mergeCell ref="Q179:S179"/>
    <mergeCell ref="U179:V179"/>
    <mergeCell ref="X179:Y179"/>
    <mergeCell ref="B180:D180"/>
    <mergeCell ref="F180:G180"/>
    <mergeCell ref="I180:J180"/>
    <mergeCell ref="B178:D178"/>
    <mergeCell ref="F178:G178"/>
    <mergeCell ref="I178:J178"/>
    <mergeCell ref="B179:D179"/>
    <mergeCell ref="F179:G179"/>
    <mergeCell ref="I179:J179"/>
    <mergeCell ref="B176:D176"/>
    <mergeCell ref="F176:G176"/>
    <mergeCell ref="I176:J176"/>
    <mergeCell ref="B177:D177"/>
    <mergeCell ref="F177:G177"/>
    <mergeCell ref="I177:J177"/>
    <mergeCell ref="B174:D174"/>
    <mergeCell ref="F174:G174"/>
    <mergeCell ref="I174:J174"/>
    <mergeCell ref="B175:D175"/>
    <mergeCell ref="F175:G175"/>
    <mergeCell ref="I175:J175"/>
    <mergeCell ref="B172:D172"/>
    <mergeCell ref="F172:G172"/>
    <mergeCell ref="I172:J172"/>
    <mergeCell ref="B173:D173"/>
    <mergeCell ref="F173:G173"/>
    <mergeCell ref="I173:J173"/>
    <mergeCell ref="A151:K151"/>
    <mergeCell ref="A170:E170"/>
    <mergeCell ref="F170:H170"/>
    <mergeCell ref="I170:K170"/>
    <mergeCell ref="B171:D171"/>
    <mergeCell ref="F171:G171"/>
    <mergeCell ref="I171:J171"/>
    <mergeCell ref="A147:B147"/>
    <mergeCell ref="C147:D147"/>
    <mergeCell ref="F147:G147"/>
    <mergeCell ref="A148:B148"/>
    <mergeCell ref="C148:D148"/>
    <mergeCell ref="F148:G148"/>
    <mergeCell ref="B140:C140"/>
    <mergeCell ref="A143:B143"/>
    <mergeCell ref="C143:D143"/>
    <mergeCell ref="E143:F143"/>
    <mergeCell ref="A144:B144"/>
    <mergeCell ref="C144:D144"/>
    <mergeCell ref="E144:F144"/>
    <mergeCell ref="B124:D124"/>
    <mergeCell ref="F124:G124"/>
    <mergeCell ref="I124:J124"/>
    <mergeCell ref="A135:B135"/>
    <mergeCell ref="C135:D135"/>
    <mergeCell ref="B139:C139"/>
    <mergeCell ref="B122:D122"/>
    <mergeCell ref="F122:G122"/>
    <mergeCell ref="I122:J122"/>
    <mergeCell ref="B123:D123"/>
    <mergeCell ref="F123:G123"/>
    <mergeCell ref="I123:J123"/>
    <mergeCell ref="B120:D120"/>
    <mergeCell ref="F120:G120"/>
    <mergeCell ref="I120:J120"/>
    <mergeCell ref="B121:D121"/>
    <mergeCell ref="F121:G121"/>
    <mergeCell ref="I121:J121"/>
    <mergeCell ref="B118:D118"/>
    <mergeCell ref="F118:G118"/>
    <mergeCell ref="I118:J118"/>
    <mergeCell ref="B119:D119"/>
    <mergeCell ref="F119:G119"/>
    <mergeCell ref="I119:J119"/>
    <mergeCell ref="B116:D116"/>
    <mergeCell ref="F116:G116"/>
    <mergeCell ref="I116:J116"/>
    <mergeCell ref="B117:D117"/>
    <mergeCell ref="F117:G117"/>
    <mergeCell ref="I117:J117"/>
    <mergeCell ref="B114:D114"/>
    <mergeCell ref="F114:G114"/>
    <mergeCell ref="I114:J114"/>
    <mergeCell ref="B115:D115"/>
    <mergeCell ref="F115:G115"/>
    <mergeCell ref="I115:J115"/>
    <mergeCell ref="A92:K92"/>
    <mergeCell ref="A112:E112"/>
    <mergeCell ref="F112:H112"/>
    <mergeCell ref="I112:K112"/>
    <mergeCell ref="B113:D113"/>
    <mergeCell ref="F113:G113"/>
    <mergeCell ref="I113:J113"/>
    <mergeCell ref="A1:K1"/>
    <mergeCell ref="L4:P4"/>
    <mergeCell ref="A58:B58"/>
    <mergeCell ref="C58:D58"/>
    <mergeCell ref="A59:B59"/>
    <mergeCell ref="C59:D59"/>
  </mergeCells>
  <pageMargins left="0.7" right="0.45" top="0.75" bottom="0.75" header="0.3" footer="0.3"/>
  <pageSetup paperSize="9" scale="90" orientation="portrait" horizontalDpi="1200" verticalDpi="1200" r:id="rId1"/>
  <headerFooter alignWithMargins="0"/>
  <rowBreaks count="8" manualBreakCount="8">
    <brk id="27" max="16383" man="1"/>
    <brk id="80" max="16383" man="1"/>
    <brk id="134" max="16383" man="1"/>
    <brk id="193" max="16383" man="1"/>
    <brk id="248" max="16383" man="1"/>
    <brk id="298" max="16383" man="1"/>
    <brk id="357" max="16383" man="1"/>
    <brk id="401" max="16383" man="1"/>
  </rowBreaks>
  <drawing r:id="rId2"/>
  <legacyDrawing r:id="rId3"/>
  <oleObjects>
    <mc:AlternateContent xmlns:mc="http://schemas.openxmlformats.org/markup-compatibility/2006">
      <mc:Choice Requires="x14">
        <oleObject progId="Equation.3" shapeId="339969" r:id="rId4">
          <objectPr defaultSize="0" autoPict="0" r:id="rId5">
            <anchor moveWithCells="1" sizeWithCells="1">
              <from>
                <xdr:col>0</xdr:col>
                <xdr:colOff>76200</xdr:colOff>
                <xdr:row>61</xdr:row>
                <xdr:rowOff>9525</xdr:rowOff>
              </from>
              <to>
                <xdr:col>6</xdr:col>
                <xdr:colOff>85725</xdr:colOff>
                <xdr:row>65</xdr:row>
                <xdr:rowOff>76200</xdr:rowOff>
              </to>
            </anchor>
          </objectPr>
        </oleObject>
      </mc:Choice>
      <mc:Fallback>
        <oleObject progId="Equation.3" shapeId="339969" r:id="rId4"/>
      </mc:Fallback>
    </mc:AlternateContent>
    <mc:AlternateContent xmlns:mc="http://schemas.openxmlformats.org/markup-compatibility/2006">
      <mc:Choice Requires="x14">
        <oleObject progId="Equation.3" shapeId="339970" r:id="rId6">
          <objectPr defaultSize="0" autoPict="0" r:id="rId7">
            <anchor moveWithCells="1" sizeWithCells="1">
              <from>
                <xdr:col>0</xdr:col>
                <xdr:colOff>95250</xdr:colOff>
                <xdr:row>67</xdr:row>
                <xdr:rowOff>19050</xdr:rowOff>
              </from>
              <to>
                <xdr:col>1</xdr:col>
                <xdr:colOff>209550</xdr:colOff>
                <xdr:row>69</xdr:row>
                <xdr:rowOff>123825</xdr:rowOff>
              </to>
            </anchor>
          </objectPr>
        </oleObject>
      </mc:Choice>
      <mc:Fallback>
        <oleObject progId="Equation.3" shapeId="339970" r:id="rId6"/>
      </mc:Fallback>
    </mc:AlternateContent>
    <mc:AlternateContent xmlns:mc="http://schemas.openxmlformats.org/markup-compatibility/2006">
      <mc:Choice Requires="x14">
        <oleObject progId="Equation.3" shapeId="339971" r:id="rId8">
          <objectPr defaultSize="0" autoPict="0" r:id="rId9">
            <anchor moveWithCells="1" sizeWithCells="1">
              <from>
                <xdr:col>0</xdr:col>
                <xdr:colOff>104775</xdr:colOff>
                <xdr:row>70</xdr:row>
                <xdr:rowOff>38100</xdr:rowOff>
              </from>
              <to>
                <xdr:col>2</xdr:col>
                <xdr:colOff>314325</xdr:colOff>
                <xdr:row>72</xdr:row>
                <xdr:rowOff>161925</xdr:rowOff>
              </to>
            </anchor>
          </objectPr>
        </oleObject>
      </mc:Choice>
      <mc:Fallback>
        <oleObject progId="Equation.3" shapeId="339971" r:id="rId8"/>
      </mc:Fallback>
    </mc:AlternateContent>
    <mc:AlternateContent xmlns:mc="http://schemas.openxmlformats.org/markup-compatibility/2006">
      <mc:Choice Requires="x14">
        <oleObject progId="Equation.3" shapeId="339972" r:id="rId10">
          <objectPr defaultSize="0" autoPict="0" r:id="rId11">
            <anchor moveWithCells="1" sizeWithCells="1">
              <from>
                <xdr:col>0</xdr:col>
                <xdr:colOff>104775</xdr:colOff>
                <xdr:row>73</xdr:row>
                <xdr:rowOff>0</xdr:rowOff>
              </from>
              <to>
                <xdr:col>3</xdr:col>
                <xdr:colOff>409575</xdr:colOff>
                <xdr:row>76</xdr:row>
                <xdr:rowOff>9525</xdr:rowOff>
              </to>
            </anchor>
          </objectPr>
        </oleObject>
      </mc:Choice>
      <mc:Fallback>
        <oleObject progId="Equation.3" shapeId="339972" r:id="rId10"/>
      </mc:Fallback>
    </mc:AlternateContent>
    <mc:AlternateContent xmlns:mc="http://schemas.openxmlformats.org/markup-compatibility/2006">
      <mc:Choice Requires="x14">
        <oleObject progId="Equation.3" shapeId="339973" r:id="rId12">
          <objectPr defaultSize="0" autoPict="0" r:id="rId13">
            <anchor moveWithCells="1" sizeWithCells="1">
              <from>
                <xdr:col>0</xdr:col>
                <xdr:colOff>95250</xdr:colOff>
                <xdr:row>76</xdr:row>
                <xdr:rowOff>57150</xdr:rowOff>
              </from>
              <to>
                <xdr:col>7</xdr:col>
                <xdr:colOff>352425</xdr:colOff>
                <xdr:row>80</xdr:row>
                <xdr:rowOff>85725</xdr:rowOff>
              </to>
            </anchor>
          </objectPr>
        </oleObject>
      </mc:Choice>
      <mc:Fallback>
        <oleObject progId="Equation.3" shapeId="339973" r:id="rId12"/>
      </mc:Fallback>
    </mc:AlternateContent>
    <mc:AlternateContent xmlns:mc="http://schemas.openxmlformats.org/markup-compatibility/2006">
      <mc:Choice Requires="x14">
        <oleObject progId="Equation.3" shapeId="339974" r:id="rId14">
          <objectPr defaultSize="0" autoPict="0" r:id="rId15">
            <anchor moveWithCells="1" sizeWithCells="1">
              <from>
                <xdr:col>3</xdr:col>
                <xdr:colOff>123825</xdr:colOff>
                <xdr:row>134</xdr:row>
                <xdr:rowOff>0</xdr:rowOff>
              </from>
              <to>
                <xdr:col>7</xdr:col>
                <xdr:colOff>314325</xdr:colOff>
                <xdr:row>137</xdr:row>
                <xdr:rowOff>180975</xdr:rowOff>
              </to>
            </anchor>
          </objectPr>
        </oleObject>
      </mc:Choice>
      <mc:Fallback>
        <oleObject progId="Equation.3" shapeId="339974" r:id="rId14"/>
      </mc:Fallback>
    </mc:AlternateContent>
    <mc:AlternateContent xmlns:mc="http://schemas.openxmlformats.org/markup-compatibility/2006">
      <mc:Choice Requires="x14">
        <oleObject progId="Equation.3" shapeId="339975" r:id="rId16">
          <objectPr defaultSize="0" autoPict="0" r:id="rId15">
            <anchor moveWithCells="1" sizeWithCells="1">
              <from>
                <xdr:col>3</xdr:col>
                <xdr:colOff>95250</xdr:colOff>
                <xdr:row>188</xdr:row>
                <xdr:rowOff>38100</xdr:rowOff>
              </from>
              <to>
                <xdr:col>7</xdr:col>
                <xdr:colOff>285750</xdr:colOff>
                <xdr:row>191</xdr:row>
                <xdr:rowOff>142875</xdr:rowOff>
              </to>
            </anchor>
          </objectPr>
        </oleObject>
      </mc:Choice>
      <mc:Fallback>
        <oleObject progId="Equation.3" shapeId="339975" r:id="rId16"/>
      </mc:Fallback>
    </mc:AlternateContent>
    <mc:AlternateContent xmlns:mc="http://schemas.openxmlformats.org/markup-compatibility/2006">
      <mc:Choice Requires="x14">
        <oleObject progId="Equation.3" shapeId="339976" r:id="rId17">
          <objectPr defaultSize="0" autoPict="0" r:id="rId15">
            <anchor moveWithCells="1" sizeWithCells="1">
              <from>
                <xdr:col>3</xdr:col>
                <xdr:colOff>76200</xdr:colOff>
                <xdr:row>243</xdr:row>
                <xdr:rowOff>123825</xdr:rowOff>
              </from>
              <to>
                <xdr:col>7</xdr:col>
                <xdr:colOff>266700</xdr:colOff>
                <xdr:row>247</xdr:row>
                <xdr:rowOff>0</xdr:rowOff>
              </to>
            </anchor>
          </objectPr>
        </oleObject>
      </mc:Choice>
      <mc:Fallback>
        <oleObject progId="Equation.3" shapeId="339976" r:id="rId17"/>
      </mc:Fallback>
    </mc:AlternateContent>
    <mc:AlternateContent xmlns:mc="http://schemas.openxmlformats.org/markup-compatibility/2006">
      <mc:Choice Requires="x14">
        <oleObject progId="Equation.3" shapeId="339977" r:id="rId18">
          <objectPr defaultSize="0" autoPict="0" r:id="rId15">
            <anchor moveWithCells="1" sizeWithCells="1">
              <from>
                <xdr:col>3</xdr:col>
                <xdr:colOff>209550</xdr:colOff>
                <xdr:row>293</xdr:row>
                <xdr:rowOff>133350</xdr:rowOff>
              </from>
              <to>
                <xdr:col>7</xdr:col>
                <xdr:colOff>400050</xdr:colOff>
                <xdr:row>297</xdr:row>
                <xdr:rowOff>85725</xdr:rowOff>
              </to>
            </anchor>
          </objectPr>
        </oleObject>
      </mc:Choice>
      <mc:Fallback>
        <oleObject progId="Equation.3" shapeId="339977" r:id="rId18"/>
      </mc:Fallback>
    </mc:AlternateContent>
    <mc:AlternateContent xmlns:mc="http://schemas.openxmlformats.org/markup-compatibility/2006">
      <mc:Choice Requires="x14">
        <oleObject progId="Equation.3" shapeId="339978" r:id="rId19">
          <objectPr defaultSize="0" autoPict="0" r:id="rId20">
            <anchor moveWithCells="1" sizeWithCells="1">
              <from>
                <xdr:col>0</xdr:col>
                <xdr:colOff>57150</xdr:colOff>
                <xdr:row>138</xdr:row>
                <xdr:rowOff>9525</xdr:rowOff>
              </from>
              <to>
                <xdr:col>0</xdr:col>
                <xdr:colOff>457200</xdr:colOff>
                <xdr:row>139</xdr:row>
                <xdr:rowOff>9525</xdr:rowOff>
              </to>
            </anchor>
          </objectPr>
        </oleObject>
      </mc:Choice>
      <mc:Fallback>
        <oleObject progId="Equation.3" shapeId="339978" r:id="rId19"/>
      </mc:Fallback>
    </mc:AlternateContent>
    <mc:AlternateContent xmlns:mc="http://schemas.openxmlformats.org/markup-compatibility/2006">
      <mc:Choice Requires="x14">
        <oleObject progId="Equation.3" shapeId="339979" r:id="rId21">
          <objectPr defaultSize="0" autoPict="0" r:id="rId22">
            <anchor moveWithCells="1" sizeWithCells="1">
              <from>
                <xdr:col>0</xdr:col>
                <xdr:colOff>38100</xdr:colOff>
                <xdr:row>192</xdr:row>
                <xdr:rowOff>9525</xdr:rowOff>
              </from>
              <to>
                <xdr:col>0</xdr:col>
                <xdr:colOff>438150</xdr:colOff>
                <xdr:row>193</xdr:row>
                <xdr:rowOff>9525</xdr:rowOff>
              </to>
            </anchor>
          </objectPr>
        </oleObject>
      </mc:Choice>
      <mc:Fallback>
        <oleObject progId="Equation.3" shapeId="339979" r:id="rId21"/>
      </mc:Fallback>
    </mc:AlternateContent>
    <mc:AlternateContent xmlns:mc="http://schemas.openxmlformats.org/markup-compatibility/2006">
      <mc:Choice Requires="x14">
        <oleObject progId="Equation.3" shapeId="339980" r:id="rId23">
          <objectPr defaultSize="0" autoPict="0" r:id="rId24">
            <anchor moveWithCells="1" sizeWithCells="1">
              <from>
                <xdr:col>0</xdr:col>
                <xdr:colOff>57150</xdr:colOff>
                <xdr:row>247</xdr:row>
                <xdr:rowOff>9525</xdr:rowOff>
              </from>
              <to>
                <xdr:col>0</xdr:col>
                <xdr:colOff>457200</xdr:colOff>
                <xdr:row>247</xdr:row>
                <xdr:rowOff>371475</xdr:rowOff>
              </to>
            </anchor>
          </objectPr>
        </oleObject>
      </mc:Choice>
      <mc:Fallback>
        <oleObject progId="Equation.3" shapeId="339980" r:id="rId23"/>
      </mc:Fallback>
    </mc:AlternateContent>
    <mc:AlternateContent xmlns:mc="http://schemas.openxmlformats.org/markup-compatibility/2006">
      <mc:Choice Requires="x14">
        <oleObject progId="Equation.3" shapeId="339981" r:id="rId25">
          <objectPr defaultSize="0" autoPict="0" r:id="rId26">
            <anchor moveWithCells="1" sizeWithCells="1">
              <from>
                <xdr:col>0</xdr:col>
                <xdr:colOff>47625</xdr:colOff>
                <xdr:row>297</xdr:row>
                <xdr:rowOff>9525</xdr:rowOff>
              </from>
              <to>
                <xdr:col>0</xdr:col>
                <xdr:colOff>447675</xdr:colOff>
                <xdr:row>298</xdr:row>
                <xdr:rowOff>9525</xdr:rowOff>
              </to>
            </anchor>
          </objectPr>
        </oleObject>
      </mc:Choice>
      <mc:Fallback>
        <oleObject progId="Equation.3" shapeId="339981" r:id="rId25"/>
      </mc:Fallback>
    </mc:AlternateContent>
    <mc:AlternateContent xmlns:mc="http://schemas.openxmlformats.org/markup-compatibility/2006">
      <mc:Choice Requires="x14">
        <oleObject progId="Equation.3" shapeId="339982" r:id="rId27">
          <objectPr defaultSize="0" autoPict="0" r:id="rId28">
            <anchor moveWithCells="1" sizeWithCells="1">
              <from>
                <xdr:col>1</xdr:col>
                <xdr:colOff>333375</xdr:colOff>
                <xdr:row>297</xdr:row>
                <xdr:rowOff>9525</xdr:rowOff>
              </from>
              <to>
                <xdr:col>2</xdr:col>
                <xdr:colOff>304800</xdr:colOff>
                <xdr:row>298</xdr:row>
                <xdr:rowOff>9525</xdr:rowOff>
              </to>
            </anchor>
          </objectPr>
        </oleObject>
      </mc:Choice>
      <mc:Fallback>
        <oleObject progId="Equation.3" shapeId="339982" r:id="rId27"/>
      </mc:Fallback>
    </mc:AlternateContent>
    <mc:AlternateContent xmlns:mc="http://schemas.openxmlformats.org/markup-compatibility/2006">
      <mc:Choice Requires="x14">
        <oleObject progId="Equation.3" shapeId="339983" r:id="rId29">
          <objectPr defaultSize="0" autoPict="0" r:id="rId30">
            <anchor moveWithCells="1" sizeWithCells="1">
              <from>
                <xdr:col>1</xdr:col>
                <xdr:colOff>304800</xdr:colOff>
                <xdr:row>247</xdr:row>
                <xdr:rowOff>19050</xdr:rowOff>
              </from>
              <to>
                <xdr:col>2</xdr:col>
                <xdr:colOff>276225</xdr:colOff>
                <xdr:row>247</xdr:row>
                <xdr:rowOff>381000</xdr:rowOff>
              </to>
            </anchor>
          </objectPr>
        </oleObject>
      </mc:Choice>
      <mc:Fallback>
        <oleObject progId="Equation.3" shapeId="339983" r:id="rId29"/>
      </mc:Fallback>
    </mc:AlternateContent>
    <mc:AlternateContent xmlns:mc="http://schemas.openxmlformats.org/markup-compatibility/2006">
      <mc:Choice Requires="x14">
        <oleObject progId="Equation.3" shapeId="339984" r:id="rId31">
          <objectPr defaultSize="0" autoPict="0" r:id="rId32">
            <anchor moveWithCells="1" sizeWithCells="1">
              <from>
                <xdr:col>1</xdr:col>
                <xdr:colOff>333375</xdr:colOff>
                <xdr:row>192</xdr:row>
                <xdr:rowOff>0</xdr:rowOff>
              </from>
              <to>
                <xdr:col>2</xdr:col>
                <xdr:colOff>304800</xdr:colOff>
                <xdr:row>193</xdr:row>
                <xdr:rowOff>0</xdr:rowOff>
              </to>
            </anchor>
          </objectPr>
        </oleObject>
      </mc:Choice>
      <mc:Fallback>
        <oleObject progId="Equation.3" shapeId="339984" r:id="rId31"/>
      </mc:Fallback>
    </mc:AlternateContent>
    <mc:AlternateContent xmlns:mc="http://schemas.openxmlformats.org/markup-compatibility/2006">
      <mc:Choice Requires="x14">
        <oleObject progId="Equation.3" shapeId="339985" r:id="rId33">
          <objectPr defaultSize="0" autoPict="0" r:id="rId34">
            <anchor moveWithCells="1" sizeWithCells="1">
              <from>
                <xdr:col>1</xdr:col>
                <xdr:colOff>342900</xdr:colOff>
                <xdr:row>138</xdr:row>
                <xdr:rowOff>9525</xdr:rowOff>
              </from>
              <to>
                <xdr:col>2</xdr:col>
                <xdr:colOff>304800</xdr:colOff>
                <xdr:row>139</xdr:row>
                <xdr:rowOff>9525</xdr:rowOff>
              </to>
            </anchor>
          </objectPr>
        </oleObject>
      </mc:Choice>
      <mc:Fallback>
        <oleObject progId="Equation.3" shapeId="339985" r:id="rId33"/>
      </mc:Fallback>
    </mc:AlternateContent>
    <mc:AlternateContent xmlns:mc="http://schemas.openxmlformats.org/markup-compatibility/2006">
      <mc:Choice Requires="x14">
        <oleObject progId="Equation.3" shapeId="339986" r:id="rId35">
          <objectPr defaultSize="0" autoPict="0" r:id="rId36">
            <anchor moveWithCells="1" sizeWithCells="1">
              <from>
                <xdr:col>4</xdr:col>
                <xdr:colOff>228600</xdr:colOff>
                <xdr:row>142</xdr:row>
                <xdr:rowOff>19050</xdr:rowOff>
              </from>
              <to>
                <xdr:col>5</xdr:col>
                <xdr:colOff>295275</xdr:colOff>
                <xdr:row>142</xdr:row>
                <xdr:rowOff>419100</xdr:rowOff>
              </to>
            </anchor>
          </objectPr>
        </oleObject>
      </mc:Choice>
      <mc:Fallback>
        <oleObject progId="Equation.3" shapeId="339986" r:id="rId35"/>
      </mc:Fallback>
    </mc:AlternateContent>
    <mc:AlternateContent xmlns:mc="http://schemas.openxmlformats.org/markup-compatibility/2006">
      <mc:Choice Requires="x14">
        <oleObject progId="Equation.3" shapeId="339987" r:id="rId37">
          <objectPr defaultSize="0" autoPict="0" r:id="rId38">
            <anchor moveWithCells="1" sizeWithCells="1">
              <from>
                <xdr:col>4</xdr:col>
                <xdr:colOff>219075</xdr:colOff>
                <xdr:row>196</xdr:row>
                <xdr:rowOff>19050</xdr:rowOff>
              </from>
              <to>
                <xdr:col>5</xdr:col>
                <xdr:colOff>285750</xdr:colOff>
                <xdr:row>197</xdr:row>
                <xdr:rowOff>0</xdr:rowOff>
              </to>
            </anchor>
          </objectPr>
        </oleObject>
      </mc:Choice>
      <mc:Fallback>
        <oleObject progId="Equation.3" shapeId="339987" r:id="rId37"/>
      </mc:Fallback>
    </mc:AlternateContent>
    <mc:AlternateContent xmlns:mc="http://schemas.openxmlformats.org/markup-compatibility/2006">
      <mc:Choice Requires="x14">
        <oleObject progId="Equation.3" shapeId="339988" r:id="rId39">
          <objectPr defaultSize="0" autoPict="0" r:id="rId40">
            <anchor moveWithCells="1" sizeWithCells="1">
              <from>
                <xdr:col>4</xdr:col>
                <xdr:colOff>200025</xdr:colOff>
                <xdr:row>251</xdr:row>
                <xdr:rowOff>19050</xdr:rowOff>
              </from>
              <to>
                <xdr:col>5</xdr:col>
                <xdr:colOff>266700</xdr:colOff>
                <xdr:row>251</xdr:row>
                <xdr:rowOff>419100</xdr:rowOff>
              </to>
            </anchor>
          </objectPr>
        </oleObject>
      </mc:Choice>
      <mc:Fallback>
        <oleObject progId="Equation.3" shapeId="339988" r:id="rId39"/>
      </mc:Fallback>
    </mc:AlternateContent>
    <mc:AlternateContent xmlns:mc="http://schemas.openxmlformats.org/markup-compatibility/2006">
      <mc:Choice Requires="x14">
        <oleObject progId="Equation.3" shapeId="339989" r:id="rId41">
          <objectPr defaultSize="0" autoPict="0" r:id="rId42">
            <anchor moveWithCells="1" sizeWithCells="1">
              <from>
                <xdr:col>4</xdr:col>
                <xdr:colOff>238125</xdr:colOff>
                <xdr:row>301</xdr:row>
                <xdr:rowOff>0</xdr:rowOff>
              </from>
              <to>
                <xdr:col>5</xdr:col>
                <xdr:colOff>304800</xdr:colOff>
                <xdr:row>302</xdr:row>
                <xdr:rowOff>9525</xdr:rowOff>
              </to>
            </anchor>
          </objectPr>
        </oleObject>
      </mc:Choice>
      <mc:Fallback>
        <oleObject progId="Equation.3" shapeId="339989" r:id="rId41"/>
      </mc:Fallback>
    </mc:AlternateContent>
    <mc:AlternateContent xmlns:mc="http://schemas.openxmlformats.org/markup-compatibility/2006">
      <mc:Choice Requires="x14">
        <oleObject progId="Equation.3" shapeId="339990" r:id="rId43">
          <objectPr defaultSize="0" autoPict="0" r:id="rId44">
            <anchor moveWithCells="1" sizeWithCells="1">
              <from>
                <xdr:col>5</xdr:col>
                <xdr:colOff>152400</xdr:colOff>
                <xdr:row>305</xdr:row>
                <xdr:rowOff>9525</xdr:rowOff>
              </from>
              <to>
                <xdr:col>6</xdr:col>
                <xdr:colOff>295275</xdr:colOff>
                <xdr:row>306</xdr:row>
                <xdr:rowOff>0</xdr:rowOff>
              </to>
            </anchor>
          </objectPr>
        </oleObject>
      </mc:Choice>
      <mc:Fallback>
        <oleObject progId="Equation.3" shapeId="339990" r:id="rId43"/>
      </mc:Fallback>
    </mc:AlternateContent>
    <mc:AlternateContent xmlns:mc="http://schemas.openxmlformats.org/markup-compatibility/2006">
      <mc:Choice Requires="x14">
        <oleObject progId="Equation.3" shapeId="339991" r:id="rId45">
          <objectPr defaultSize="0" autoPict="0" r:id="rId46">
            <anchor moveWithCells="1" sizeWithCells="1">
              <from>
                <xdr:col>5</xdr:col>
                <xdr:colOff>171450</xdr:colOff>
                <xdr:row>255</xdr:row>
                <xdr:rowOff>9525</xdr:rowOff>
              </from>
              <to>
                <xdr:col>6</xdr:col>
                <xdr:colOff>314325</xdr:colOff>
                <xdr:row>256</xdr:row>
                <xdr:rowOff>0</xdr:rowOff>
              </to>
            </anchor>
          </objectPr>
        </oleObject>
      </mc:Choice>
      <mc:Fallback>
        <oleObject progId="Equation.3" shapeId="339991" r:id="rId45"/>
      </mc:Fallback>
    </mc:AlternateContent>
    <mc:AlternateContent xmlns:mc="http://schemas.openxmlformats.org/markup-compatibility/2006">
      <mc:Choice Requires="x14">
        <oleObject progId="Equation.3" shapeId="339992" r:id="rId47">
          <objectPr defaultSize="0" autoPict="0" r:id="rId48">
            <anchor moveWithCells="1" sizeWithCells="1">
              <from>
                <xdr:col>5</xdr:col>
                <xdr:colOff>228600</xdr:colOff>
                <xdr:row>200</xdr:row>
                <xdr:rowOff>171450</xdr:rowOff>
              </from>
              <to>
                <xdr:col>6</xdr:col>
                <xdr:colOff>371475</xdr:colOff>
                <xdr:row>202</xdr:row>
                <xdr:rowOff>9525</xdr:rowOff>
              </to>
            </anchor>
          </objectPr>
        </oleObject>
      </mc:Choice>
      <mc:Fallback>
        <oleObject progId="Equation.3" shapeId="339992" r:id="rId47"/>
      </mc:Fallback>
    </mc:AlternateContent>
    <mc:AlternateContent xmlns:mc="http://schemas.openxmlformats.org/markup-compatibility/2006">
      <mc:Choice Requires="x14">
        <oleObject progId="Equation.3" shapeId="339993" r:id="rId49">
          <objectPr defaultSize="0" autoPict="0" r:id="rId50">
            <anchor moveWithCells="1" sizeWithCells="1">
              <from>
                <xdr:col>5</xdr:col>
                <xdr:colOff>238125</xdr:colOff>
                <xdr:row>146</xdr:row>
                <xdr:rowOff>19050</xdr:rowOff>
              </from>
              <to>
                <xdr:col>6</xdr:col>
                <xdr:colOff>381000</xdr:colOff>
                <xdr:row>147</xdr:row>
                <xdr:rowOff>0</xdr:rowOff>
              </to>
            </anchor>
          </objectPr>
        </oleObject>
      </mc:Choice>
      <mc:Fallback>
        <oleObject progId="Equation.3" shapeId="339993" r:id="rId49"/>
      </mc:Fallback>
    </mc:AlternateContent>
    <mc:AlternateContent xmlns:mc="http://schemas.openxmlformats.org/markup-compatibility/2006">
      <mc:Choice Requires="x14">
        <oleObject progId="AutoCAD.Drawing.17" shapeId="339994" r:id="rId51">
          <objectPr defaultSize="0" autoPict="0" r:id="rId52">
            <anchor moveWithCells="1">
              <from>
                <xdr:col>0</xdr:col>
                <xdr:colOff>0</xdr:colOff>
                <xdr:row>90</xdr:row>
                <xdr:rowOff>57150</xdr:rowOff>
              </from>
              <to>
                <xdr:col>9</xdr:col>
                <xdr:colOff>419100</xdr:colOff>
                <xdr:row>111</xdr:row>
                <xdr:rowOff>257175</xdr:rowOff>
              </to>
            </anchor>
          </objectPr>
        </oleObject>
      </mc:Choice>
      <mc:Fallback>
        <oleObject progId="AutoCAD.Drawing.17" shapeId="339994" r:id="rId51"/>
      </mc:Fallback>
    </mc:AlternateContent>
    <mc:AlternateContent xmlns:mc="http://schemas.openxmlformats.org/markup-compatibility/2006">
      <mc:Choice Requires="x14">
        <oleObject progId="AutoCAD.Drawing.17" shapeId="339995" r:id="rId53">
          <objectPr defaultSize="0" autoPict="0" r:id="rId54">
            <anchor moveWithCells="1">
              <from>
                <xdr:col>0</xdr:col>
                <xdr:colOff>400050</xdr:colOff>
                <xdr:row>207</xdr:row>
                <xdr:rowOff>47625</xdr:rowOff>
              </from>
              <to>
                <xdr:col>9</xdr:col>
                <xdr:colOff>638175</xdr:colOff>
                <xdr:row>224</xdr:row>
                <xdr:rowOff>9525</xdr:rowOff>
              </to>
            </anchor>
          </objectPr>
        </oleObject>
      </mc:Choice>
      <mc:Fallback>
        <oleObject progId="AutoCAD.Drawing.17" shapeId="339995" r:id="rId53"/>
      </mc:Fallback>
    </mc:AlternateContent>
    <mc:AlternateContent xmlns:mc="http://schemas.openxmlformats.org/markup-compatibility/2006">
      <mc:Choice Requires="x14">
        <oleObject progId="AutoCAD.Drawing.17" shapeId="339996" r:id="rId55">
          <objectPr defaultSize="0" autoPict="0" r:id="rId56">
            <anchor moveWithCells="1">
              <from>
                <xdr:col>1</xdr:col>
                <xdr:colOff>485775</xdr:colOff>
                <xdr:row>425</xdr:row>
                <xdr:rowOff>85725</xdr:rowOff>
              </from>
              <to>
                <xdr:col>9</xdr:col>
                <xdr:colOff>504825</xdr:colOff>
                <xdr:row>443</xdr:row>
                <xdr:rowOff>323850</xdr:rowOff>
              </to>
            </anchor>
          </objectPr>
        </oleObject>
      </mc:Choice>
      <mc:Fallback>
        <oleObject progId="AutoCAD.Drawing.17" shapeId="339996" r:id="rId55"/>
      </mc:Fallback>
    </mc:AlternateContent>
    <mc:AlternateContent xmlns:mc="http://schemas.openxmlformats.org/markup-compatibility/2006">
      <mc:Choice Requires="x14">
        <oleObject progId="AutoCAD.Drawing.17" shapeId="339997" r:id="rId57">
          <objectPr defaultSize="0" autoPict="0" r:id="rId58">
            <anchor moveWithCells="1">
              <from>
                <xdr:col>2</xdr:col>
                <xdr:colOff>314325</xdr:colOff>
                <xdr:row>376</xdr:row>
                <xdr:rowOff>0</xdr:rowOff>
              </from>
              <to>
                <xdr:col>7</xdr:col>
                <xdr:colOff>114300</xdr:colOff>
                <xdr:row>393</xdr:row>
                <xdr:rowOff>47625</xdr:rowOff>
              </to>
            </anchor>
          </objectPr>
        </oleObject>
      </mc:Choice>
      <mc:Fallback>
        <oleObject progId="AutoCAD.Drawing.17" shapeId="339997" r:id="rId57"/>
      </mc:Fallback>
    </mc:AlternateContent>
    <mc:AlternateContent xmlns:mc="http://schemas.openxmlformats.org/markup-compatibility/2006">
      <mc:Choice Requires="x14">
        <oleObject progId="AutoCAD.Drawing.17" shapeId="339999" r:id="rId59">
          <objectPr defaultSize="0" autoPict="0" r:id="rId60">
            <anchor moveWithCells="1">
              <from>
                <xdr:col>0</xdr:col>
                <xdr:colOff>0</xdr:colOff>
                <xdr:row>122</xdr:row>
                <xdr:rowOff>76200</xdr:rowOff>
              </from>
              <to>
                <xdr:col>6</xdr:col>
                <xdr:colOff>76200</xdr:colOff>
                <xdr:row>134</xdr:row>
                <xdr:rowOff>66675</xdr:rowOff>
              </to>
            </anchor>
          </objectPr>
        </oleObject>
      </mc:Choice>
      <mc:Fallback>
        <oleObject progId="AutoCAD.Drawing.17" shapeId="339999" r:id="rId59"/>
      </mc:Fallback>
    </mc:AlternateContent>
    <mc:AlternateContent xmlns:mc="http://schemas.openxmlformats.org/markup-compatibility/2006">
      <mc:Choice Requires="x14">
        <oleObject progId="AutoCAD.Drawing.17" shapeId="340000" r:id="rId61">
          <objectPr defaultSize="0" autoPict="0" r:id="rId62">
            <anchor moveWithCells="1">
              <from>
                <xdr:col>0</xdr:col>
                <xdr:colOff>85725</xdr:colOff>
                <xdr:row>148</xdr:row>
                <xdr:rowOff>28575</xdr:rowOff>
              </from>
              <to>
                <xdr:col>9</xdr:col>
                <xdr:colOff>390525</xdr:colOff>
                <xdr:row>169</xdr:row>
                <xdr:rowOff>295275</xdr:rowOff>
              </to>
            </anchor>
          </objectPr>
        </oleObject>
      </mc:Choice>
      <mc:Fallback>
        <oleObject progId="AutoCAD.Drawing.17" shapeId="340000" r:id="rId61"/>
      </mc:Fallback>
    </mc:AlternateContent>
    <mc:AlternateContent xmlns:mc="http://schemas.openxmlformats.org/markup-compatibility/2006">
      <mc:Choice Requires="x14">
        <oleObject progId="AutoCAD.Drawing.17" shapeId="340001" r:id="rId63">
          <objectPr defaultSize="0" autoPict="0" r:id="rId64">
            <anchor moveWithCells="1">
              <from>
                <xdr:col>0</xdr:col>
                <xdr:colOff>371475</xdr:colOff>
                <xdr:row>260</xdr:row>
                <xdr:rowOff>95250</xdr:rowOff>
              </from>
              <to>
                <xdr:col>9</xdr:col>
                <xdr:colOff>504825</xdr:colOff>
                <xdr:row>271</xdr:row>
                <xdr:rowOff>47625</xdr:rowOff>
              </to>
            </anchor>
          </objectPr>
        </oleObject>
      </mc:Choice>
      <mc:Fallback>
        <oleObject progId="AutoCAD.Drawing.17" shapeId="340001" r:id="rId63"/>
      </mc:Fallback>
    </mc:AlternateContent>
    <mc:AlternateContent xmlns:mc="http://schemas.openxmlformats.org/markup-compatibility/2006">
      <mc:Choice Requires="x14">
        <oleObject progId="Equation.3" shapeId="340002" r:id="rId65">
          <objectPr defaultSize="0" autoPict="0" r:id="rId66">
            <anchor moveWithCells="1" sizeWithCells="1">
              <from>
                <xdr:col>0</xdr:col>
                <xdr:colOff>57150</xdr:colOff>
                <xdr:row>85</xdr:row>
                <xdr:rowOff>9525</xdr:rowOff>
              </from>
              <to>
                <xdr:col>7</xdr:col>
                <xdr:colOff>247650</xdr:colOff>
                <xdr:row>89</xdr:row>
                <xdr:rowOff>66675</xdr:rowOff>
              </to>
            </anchor>
          </objectPr>
        </oleObject>
      </mc:Choice>
      <mc:Fallback>
        <oleObject progId="Equation.3" shapeId="340002" r:id="rId65"/>
      </mc:Fallback>
    </mc:AlternateContent>
    <mc:AlternateContent xmlns:mc="http://schemas.openxmlformats.org/markup-compatibility/2006">
      <mc:Choice Requires="x14">
        <oleObject progId="AutoCAD.Drawing.17" shapeId="340035" r:id="rId67">
          <objectPr defaultSize="0" autoPict="0" r:id="rId68">
            <anchor moveWithCells="1">
              <from>
                <xdr:col>1</xdr:col>
                <xdr:colOff>361950</xdr:colOff>
                <xdr:row>1</xdr:row>
                <xdr:rowOff>104775</xdr:rowOff>
              </from>
              <to>
                <xdr:col>8</xdr:col>
                <xdr:colOff>161925</xdr:colOff>
                <xdr:row>18</xdr:row>
                <xdr:rowOff>133350</xdr:rowOff>
              </to>
            </anchor>
          </objectPr>
        </oleObject>
      </mc:Choice>
      <mc:Fallback>
        <oleObject progId="AutoCAD.Drawing.17" shapeId="340035" r:id="rId67"/>
      </mc:Fallback>
    </mc:AlternateContent>
  </oleObjec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ayfa3">
    <tabColor theme="0" tint="-0.499984740745262"/>
  </sheetPr>
  <dimension ref="A1:Q193"/>
  <sheetViews>
    <sheetView showGridLines="0" topLeftCell="A50" zoomScaleNormal="100" workbookViewId="0">
      <selection activeCell="O64" sqref="O64"/>
    </sheetView>
  </sheetViews>
  <sheetFormatPr defaultRowHeight="12.75" x14ac:dyDescent="0.2"/>
  <cols>
    <col min="1" max="1" width="6.85546875" style="356" customWidth="1"/>
    <col min="2" max="7" width="9.140625" style="356"/>
    <col min="8" max="8" width="12.5703125" style="356" customWidth="1"/>
    <col min="9" max="9" width="9.140625" style="356"/>
    <col min="10" max="10" width="8" style="356" customWidth="1"/>
    <col min="11" max="11" width="7.5703125" style="356" customWidth="1"/>
    <col min="12" max="12" width="8.140625" style="356" customWidth="1"/>
    <col min="13" max="16384" width="9.140625" style="356"/>
  </cols>
  <sheetData>
    <row r="1" spans="2:15" ht="18" hidden="1" x14ac:dyDescent="0.25">
      <c r="B1" s="768" t="s">
        <v>221</v>
      </c>
      <c r="C1" s="768"/>
      <c r="D1" s="768"/>
      <c r="E1" s="768"/>
      <c r="F1" s="768"/>
      <c r="G1" s="768"/>
      <c r="H1" s="768"/>
      <c r="I1" s="768"/>
    </row>
    <row r="2" spans="2:15" hidden="1" x14ac:dyDescent="0.2"/>
    <row r="3" spans="2:15" hidden="1" x14ac:dyDescent="0.2"/>
    <row r="4" spans="2:15" hidden="1" x14ac:dyDescent="0.2">
      <c r="C4" s="357">
        <f>G4</f>
        <v>13.6</v>
      </c>
      <c r="D4" s="358"/>
      <c r="E4" s="359"/>
      <c r="F4" s="359"/>
      <c r="G4" s="360">
        <f>7.3+J16</f>
        <v>13.6</v>
      </c>
      <c r="H4" s="359"/>
      <c r="I4" s="359"/>
      <c r="J4" s="357">
        <f>G4</f>
        <v>13.6</v>
      </c>
      <c r="K4" s="359"/>
      <c r="L4" s="359"/>
      <c r="M4" s="359"/>
      <c r="N4" s="357">
        <f>G4</f>
        <v>13.6</v>
      </c>
      <c r="O4" s="359"/>
    </row>
    <row r="5" spans="2:15" hidden="1" x14ac:dyDescent="0.2">
      <c r="C5" s="359"/>
      <c r="D5" s="359"/>
      <c r="E5" s="359"/>
      <c r="F5" s="359"/>
      <c r="G5" s="359"/>
      <c r="H5" s="359"/>
      <c r="I5" s="359"/>
      <c r="J5" s="359"/>
      <c r="K5" s="359"/>
      <c r="L5" s="359"/>
      <c r="M5" s="359"/>
      <c r="N5" s="359"/>
      <c r="O5" s="359"/>
    </row>
    <row r="6" spans="2:15" hidden="1" x14ac:dyDescent="0.2">
      <c r="C6" s="359"/>
      <c r="D6" s="359"/>
      <c r="E6" s="359"/>
      <c r="F6" s="359"/>
      <c r="G6" s="359"/>
      <c r="H6" s="359"/>
      <c r="I6" s="359"/>
      <c r="J6" s="359"/>
      <c r="K6" s="359"/>
      <c r="L6" s="359"/>
      <c r="M6" s="359"/>
      <c r="N6" s="361" t="s">
        <v>222</v>
      </c>
      <c r="O6" s="360">
        <f>+J16+5.23</f>
        <v>11.530000000000001</v>
      </c>
    </row>
    <row r="7" spans="2:15" hidden="1" x14ac:dyDescent="0.2">
      <c r="C7" s="359"/>
      <c r="D7" s="359"/>
      <c r="E7" s="359"/>
      <c r="F7" s="359"/>
      <c r="G7" s="359"/>
      <c r="H7" s="359"/>
      <c r="I7" s="359"/>
      <c r="J7" s="359"/>
      <c r="K7" s="359"/>
      <c r="L7" s="359"/>
      <c r="M7" s="359"/>
      <c r="N7" s="359"/>
      <c r="O7" s="359"/>
    </row>
    <row r="8" spans="2:15" hidden="1" x14ac:dyDescent="0.2">
      <c r="C8" s="362"/>
      <c r="D8" s="359"/>
      <c r="E8" s="359"/>
      <c r="F8" s="359"/>
      <c r="G8" s="359"/>
      <c r="H8" s="359"/>
      <c r="I8" s="359"/>
      <c r="J8" s="359"/>
      <c r="K8" s="359"/>
      <c r="L8" s="359"/>
      <c r="M8" s="359"/>
      <c r="N8" s="359"/>
      <c r="O8" s="359"/>
    </row>
    <row r="9" spans="2:15" hidden="1" x14ac:dyDescent="0.2">
      <c r="C9" s="359"/>
      <c r="D9" s="362"/>
      <c r="E9" s="359"/>
      <c r="F9" s="359"/>
      <c r="G9" s="359"/>
      <c r="H9" s="359"/>
      <c r="I9" s="359"/>
      <c r="J9" s="359"/>
      <c r="K9" s="359"/>
      <c r="L9" s="359"/>
      <c r="M9" s="359"/>
      <c r="N9" s="359"/>
      <c r="O9" s="359"/>
    </row>
    <row r="10" spans="2:15" hidden="1" x14ac:dyDescent="0.2">
      <c r="C10" s="363"/>
      <c r="D10" s="359"/>
      <c r="E10" s="359"/>
      <c r="F10" s="359"/>
      <c r="G10" s="359"/>
      <c r="H10" s="359"/>
      <c r="I10" s="359"/>
      <c r="J10" s="362">
        <f>G14+(O6-J16-G17)/(M26-F26)*H24</f>
        <v>10.021550017748794</v>
      </c>
      <c r="K10" s="359"/>
      <c r="L10" s="359"/>
      <c r="M10" s="359"/>
      <c r="N10" s="359" t="s">
        <v>223</v>
      </c>
      <c r="O10" s="357">
        <f>O6-J21</f>
        <v>6.7300000000000013</v>
      </c>
    </row>
    <row r="11" spans="2:15" hidden="1" x14ac:dyDescent="0.2">
      <c r="C11" s="359"/>
      <c r="D11" s="359"/>
      <c r="E11" s="359"/>
      <c r="F11" s="359"/>
      <c r="G11" s="359"/>
      <c r="H11" s="363"/>
      <c r="I11" s="359"/>
      <c r="J11" s="359"/>
      <c r="K11" s="359"/>
      <c r="L11" s="359"/>
      <c r="M11" s="359"/>
      <c r="N11" s="359"/>
      <c r="O11" s="359"/>
    </row>
    <row r="12" spans="2:15" hidden="1" x14ac:dyDescent="0.2">
      <c r="C12" s="359"/>
      <c r="D12" s="359"/>
      <c r="E12" s="361" t="s">
        <v>224</v>
      </c>
      <c r="F12" s="364">
        <v>14.694116955187162</v>
      </c>
      <c r="G12" s="359" t="s">
        <v>225</v>
      </c>
      <c r="H12" s="359"/>
      <c r="I12" s="359"/>
      <c r="J12" s="359"/>
      <c r="L12" s="361" t="s">
        <v>226</v>
      </c>
      <c r="M12" s="357">
        <f>O12</f>
        <v>8.5</v>
      </c>
      <c r="N12" s="359"/>
      <c r="O12" s="360">
        <v>8.5</v>
      </c>
    </row>
    <row r="13" spans="2:15" hidden="1" x14ac:dyDescent="0.2">
      <c r="C13" s="359"/>
      <c r="D13" s="359"/>
      <c r="E13" s="359"/>
      <c r="F13" s="359"/>
      <c r="G13" s="359"/>
      <c r="H13" s="359"/>
      <c r="I13" s="359"/>
      <c r="J13" s="359"/>
      <c r="K13" s="359"/>
      <c r="L13" s="359"/>
      <c r="M13" s="359"/>
      <c r="N13" s="359"/>
      <c r="O13" s="359"/>
    </row>
    <row r="14" spans="2:15" hidden="1" x14ac:dyDescent="0.2">
      <c r="C14" s="359"/>
      <c r="D14" s="362"/>
      <c r="E14" s="359"/>
      <c r="F14" s="359"/>
      <c r="G14" s="362">
        <f>(O6-J16-G17)/(M26-F26)*G22+J16+G17</f>
        <v>7.7588750443719823</v>
      </c>
      <c r="H14" s="359"/>
      <c r="I14" s="359"/>
      <c r="J14" s="359"/>
      <c r="K14" s="359"/>
      <c r="L14" s="359"/>
      <c r="M14" s="359"/>
      <c r="N14" s="359"/>
      <c r="O14" s="359"/>
    </row>
    <row r="15" spans="2:15" hidden="1" x14ac:dyDescent="0.2">
      <c r="C15" s="359"/>
      <c r="D15" s="359"/>
      <c r="E15" s="359"/>
      <c r="F15" s="359"/>
      <c r="G15" s="359"/>
      <c r="H15" s="359"/>
      <c r="I15" s="359"/>
      <c r="J15" s="359"/>
      <c r="K15" s="363">
        <f>J10-J16</f>
        <v>3.7215500177487941</v>
      </c>
      <c r="L15" s="359"/>
      <c r="M15" s="359"/>
      <c r="N15" s="359"/>
      <c r="O15" s="359"/>
    </row>
    <row r="16" spans="2:15" hidden="1" x14ac:dyDescent="0.2">
      <c r="C16" s="362"/>
      <c r="D16" s="359"/>
      <c r="E16" s="359"/>
      <c r="F16" s="359"/>
      <c r="G16" s="359"/>
      <c r="H16" s="362">
        <f>G14-J21-J18</f>
        <v>1.4588750443719825</v>
      </c>
      <c r="I16" s="359"/>
      <c r="J16" s="360">
        <v>6.3</v>
      </c>
      <c r="K16" s="359"/>
      <c r="L16" s="359"/>
      <c r="M16" s="359"/>
      <c r="N16" s="359"/>
      <c r="O16" s="359" t="s">
        <v>227</v>
      </c>
    </row>
    <row r="17" spans="2:17" hidden="1" x14ac:dyDescent="0.2">
      <c r="C17" s="359"/>
      <c r="D17" s="359"/>
      <c r="E17" s="359"/>
      <c r="F17" s="365"/>
      <c r="G17" s="366">
        <v>0.70465005324637864</v>
      </c>
      <c r="H17" s="359"/>
      <c r="I17" s="359"/>
      <c r="J17" s="359"/>
      <c r="K17" s="359"/>
      <c r="L17" s="359"/>
      <c r="M17" s="359"/>
      <c r="N17" s="359"/>
      <c r="O17" s="363">
        <f>O12-O21</f>
        <v>3.7</v>
      </c>
      <c r="Q17" s="367">
        <f>+O12-J16</f>
        <v>2.2000000000000002</v>
      </c>
    </row>
    <row r="18" spans="2:17" hidden="1" x14ac:dyDescent="0.2">
      <c r="C18" s="359"/>
      <c r="D18" s="359"/>
      <c r="E18" s="359"/>
      <c r="F18" s="359"/>
      <c r="G18" s="359"/>
      <c r="H18" s="359"/>
      <c r="I18" s="359"/>
      <c r="J18" s="368">
        <f>+hs</f>
        <v>1.5</v>
      </c>
      <c r="K18" s="359"/>
      <c r="L18" s="359"/>
      <c r="M18" s="359"/>
      <c r="N18" s="359"/>
      <c r="O18" s="359"/>
    </row>
    <row r="19" spans="2:17" hidden="1" x14ac:dyDescent="0.2">
      <c r="C19" s="359"/>
      <c r="D19" s="359"/>
      <c r="E19" s="369"/>
      <c r="F19" s="359"/>
      <c r="G19" s="359"/>
      <c r="H19" s="359"/>
      <c r="I19" s="359"/>
      <c r="J19" s="359"/>
      <c r="K19" s="359"/>
      <c r="L19" s="359"/>
      <c r="M19" s="359"/>
      <c r="N19" s="359"/>
      <c r="O19" s="359"/>
    </row>
    <row r="20" spans="2:17" hidden="1" x14ac:dyDescent="0.2">
      <c r="C20" s="359"/>
      <c r="D20" s="359"/>
      <c r="E20" s="369"/>
      <c r="F20" s="359"/>
      <c r="G20" s="359"/>
      <c r="H20" s="370" t="s">
        <v>228</v>
      </c>
      <c r="I20" s="359"/>
      <c r="J20" s="359"/>
      <c r="K20" s="370" t="s">
        <v>229</v>
      </c>
      <c r="L20" s="359"/>
      <c r="M20" s="359"/>
      <c r="N20" s="359"/>
      <c r="O20" s="359"/>
    </row>
    <row r="21" spans="2:17" hidden="1" x14ac:dyDescent="0.2">
      <c r="C21" s="359"/>
      <c r="D21" s="359"/>
      <c r="E21" s="369"/>
      <c r="F21" s="359"/>
      <c r="G21" s="359"/>
      <c r="H21" s="359"/>
      <c r="I21" s="359"/>
      <c r="J21" s="357">
        <f>J16-J18</f>
        <v>4.8</v>
      </c>
      <c r="K21" s="359"/>
      <c r="L21" s="359"/>
      <c r="M21" s="359"/>
      <c r="N21" s="359"/>
      <c r="O21" s="357">
        <f>J21</f>
        <v>4.8</v>
      </c>
    </row>
    <row r="22" spans="2:17" hidden="1" x14ac:dyDescent="0.2">
      <c r="C22" s="362"/>
      <c r="D22" s="362"/>
      <c r="E22" s="369"/>
      <c r="F22" s="362"/>
      <c r="G22" s="362">
        <f>H24/3</f>
        <v>2.0833333333333335</v>
      </c>
      <c r="H22" s="769">
        <f>H24*2/3</f>
        <v>4.166666666666667</v>
      </c>
      <c r="I22" s="769"/>
      <c r="J22" s="359"/>
      <c r="K22" s="359"/>
      <c r="L22" s="363">
        <f>K24*2/3</f>
        <v>4.166666666666667</v>
      </c>
      <c r="M22" s="359"/>
      <c r="N22" s="359"/>
      <c r="O22" s="359"/>
    </row>
    <row r="23" spans="2:17" hidden="1" x14ac:dyDescent="0.2">
      <c r="C23" s="361"/>
      <c r="D23" s="361"/>
      <c r="E23" s="369"/>
      <c r="F23" s="361"/>
      <c r="G23" s="361" t="s">
        <v>230</v>
      </c>
      <c r="H23" s="361" t="s">
        <v>231</v>
      </c>
      <c r="I23" s="359"/>
      <c r="J23" s="362">
        <f>L22/2</f>
        <v>2.0833333333333335</v>
      </c>
      <c r="K23" s="359"/>
      <c r="L23" s="359"/>
      <c r="M23" s="359"/>
      <c r="N23" s="359"/>
      <c r="O23" s="359"/>
    </row>
    <row r="24" spans="2:17" hidden="1" x14ac:dyDescent="0.2">
      <c r="C24" s="769"/>
      <c r="D24" s="769"/>
      <c r="E24" s="769"/>
      <c r="F24" s="769"/>
      <c r="G24" s="359"/>
      <c r="H24" s="363">
        <f>I26-F26</f>
        <v>6.25</v>
      </c>
      <c r="I24" s="359"/>
      <c r="J24" s="359"/>
      <c r="K24" s="769">
        <f>M26-I26</f>
        <v>6.25</v>
      </c>
      <c r="L24" s="769"/>
      <c r="M24" s="359"/>
      <c r="N24" s="359"/>
      <c r="O24" s="359"/>
    </row>
    <row r="25" spans="2:17" hidden="1" x14ac:dyDescent="0.2">
      <c r="C25" s="359"/>
      <c r="D25" s="359"/>
      <c r="E25" s="359"/>
      <c r="F25" s="359"/>
      <c r="G25" s="359"/>
      <c r="H25" s="359"/>
      <c r="I25" s="359"/>
      <c r="J25" s="359"/>
      <c r="K25" s="359"/>
      <c r="L25" s="359"/>
      <c r="M25" s="359"/>
      <c r="N25" s="359"/>
      <c r="O25" s="359"/>
    </row>
    <row r="26" spans="2:17" hidden="1" x14ac:dyDescent="0.2">
      <c r="B26" s="371"/>
      <c r="C26" s="359"/>
      <c r="D26" s="359"/>
      <c r="E26" s="369"/>
      <c r="F26" s="764">
        <v>242</v>
      </c>
      <c r="G26" s="359"/>
      <c r="H26" s="359"/>
      <c r="I26" s="767">
        <f>+F26+(M26-F26)/2</f>
        <v>248.25</v>
      </c>
      <c r="J26" s="359"/>
      <c r="K26" s="359"/>
      <c r="L26" s="359"/>
      <c r="M26" s="764">
        <f>12.5+F26</f>
        <v>254.5</v>
      </c>
      <c r="N26" s="359"/>
      <c r="O26" s="359"/>
    </row>
    <row r="27" spans="2:17" hidden="1" x14ac:dyDescent="0.2">
      <c r="B27" s="371"/>
      <c r="C27" s="359"/>
      <c r="D27" s="359"/>
      <c r="E27" s="369"/>
      <c r="F27" s="764"/>
      <c r="G27" s="359"/>
      <c r="H27" s="359"/>
      <c r="I27" s="767"/>
      <c r="J27" s="359"/>
      <c r="K27" s="359"/>
      <c r="L27" s="359"/>
      <c r="M27" s="764"/>
      <c r="N27" s="359"/>
      <c r="O27" s="359"/>
    </row>
    <row r="28" spans="2:17" hidden="1" x14ac:dyDescent="0.2">
      <c r="B28" s="371"/>
      <c r="C28" s="359"/>
      <c r="D28" s="359"/>
      <c r="E28" s="369"/>
      <c r="F28" s="764"/>
      <c r="G28" s="359"/>
      <c r="H28" s="359"/>
      <c r="I28" s="767"/>
      <c r="J28" s="359"/>
      <c r="K28" s="359"/>
      <c r="L28" s="359"/>
      <c r="M28" s="764"/>
      <c r="N28" s="359"/>
      <c r="O28" s="359"/>
    </row>
    <row r="29" spans="2:17" hidden="1" x14ac:dyDescent="0.2">
      <c r="B29" s="371"/>
      <c r="C29" s="359"/>
      <c r="D29" s="359"/>
      <c r="E29" s="369"/>
      <c r="F29" s="764"/>
      <c r="G29" s="359"/>
      <c r="H29" s="359"/>
      <c r="I29" s="767"/>
      <c r="J29" s="359"/>
      <c r="K29" s="359"/>
      <c r="L29" s="359"/>
      <c r="M29" s="764"/>
      <c r="N29" s="359"/>
      <c r="O29" s="359"/>
    </row>
    <row r="30" spans="2:17" hidden="1" x14ac:dyDescent="0.2">
      <c r="B30" s="371"/>
      <c r="C30" s="359"/>
      <c r="D30" s="359"/>
      <c r="E30" s="369"/>
      <c r="F30" s="764"/>
      <c r="G30" s="359"/>
      <c r="H30" s="359"/>
      <c r="I30" s="767"/>
      <c r="J30" s="359"/>
      <c r="K30" s="359"/>
      <c r="L30" s="359"/>
      <c r="M30" s="764"/>
      <c r="N30" s="359"/>
      <c r="O30" s="359"/>
    </row>
    <row r="31" spans="2:17" hidden="1" x14ac:dyDescent="0.2">
      <c r="B31" s="372"/>
      <c r="C31" s="359"/>
      <c r="D31" s="373"/>
      <c r="E31" s="374"/>
      <c r="F31" s="373"/>
      <c r="G31" s="359"/>
      <c r="H31" s="359"/>
      <c r="I31" s="373"/>
      <c r="J31" s="359"/>
      <c r="K31" s="359"/>
      <c r="L31" s="359"/>
      <c r="M31" s="373"/>
      <c r="N31" s="359"/>
      <c r="O31" s="359"/>
    </row>
    <row r="32" spans="2:17" hidden="1" x14ac:dyDescent="0.2">
      <c r="C32" s="359"/>
      <c r="D32" s="359"/>
      <c r="E32" s="359"/>
      <c r="F32" s="361" t="s">
        <v>232</v>
      </c>
      <c r="G32" s="357">
        <f>N32</f>
        <v>3.7</v>
      </c>
      <c r="H32" s="363">
        <f>N32</f>
        <v>3.7</v>
      </c>
      <c r="I32" s="359" t="s">
        <v>233</v>
      </c>
      <c r="J32" s="359"/>
      <c r="K32" s="359"/>
      <c r="L32" s="359"/>
      <c r="M32" s="361" t="s">
        <v>232</v>
      </c>
      <c r="N32" s="375">
        <f>O12-O21</f>
        <v>3.7</v>
      </c>
      <c r="O32" s="359"/>
    </row>
    <row r="33" spans="1:15" hidden="1" x14ac:dyDescent="0.2">
      <c r="C33" s="359"/>
      <c r="D33" s="359"/>
      <c r="E33" s="359"/>
      <c r="F33" s="359"/>
      <c r="G33" s="359"/>
      <c r="H33" s="359"/>
      <c r="I33" s="359"/>
      <c r="J33" s="359"/>
      <c r="K33" s="359"/>
      <c r="L33" s="359"/>
      <c r="M33" s="359"/>
      <c r="N33" s="359"/>
      <c r="O33" s="359"/>
    </row>
    <row r="34" spans="1:15" hidden="1" x14ac:dyDescent="0.2"/>
    <row r="35" spans="1:15" hidden="1" x14ac:dyDescent="0.2"/>
    <row r="36" spans="1:15" hidden="1" x14ac:dyDescent="0.2"/>
    <row r="37" spans="1:15" hidden="1" x14ac:dyDescent="0.2"/>
    <row r="38" spans="1:15" ht="18" hidden="1" x14ac:dyDescent="0.25">
      <c r="A38" s="765" t="s">
        <v>234</v>
      </c>
      <c r="B38" s="765"/>
      <c r="C38" s="765"/>
      <c r="D38" s="765"/>
      <c r="E38" s="765"/>
    </row>
    <row r="39" spans="1:15" s="359" customFormat="1" hidden="1" x14ac:dyDescent="0.2">
      <c r="A39" s="365" t="s">
        <v>235</v>
      </c>
      <c r="B39" s="365"/>
      <c r="C39" s="365"/>
      <c r="D39" s="365"/>
      <c r="E39" s="365"/>
    </row>
    <row r="40" spans="1:15" s="359" customFormat="1" hidden="1" x14ac:dyDescent="0.2">
      <c r="A40" s="365" t="s">
        <v>236</v>
      </c>
      <c r="B40" s="365"/>
      <c r="C40" s="365"/>
      <c r="D40" s="365"/>
      <c r="E40" s="365"/>
    </row>
    <row r="41" spans="1:15" hidden="1" x14ac:dyDescent="0.2">
      <c r="B41" s="376"/>
      <c r="C41" s="376"/>
      <c r="D41" s="376"/>
      <c r="E41" s="376"/>
    </row>
    <row r="42" spans="1:15" hidden="1" x14ac:dyDescent="0.2">
      <c r="A42" s="370" t="s">
        <v>237</v>
      </c>
    </row>
    <row r="43" spans="1:15" ht="15" hidden="1" x14ac:dyDescent="0.25">
      <c r="A43" s="370"/>
      <c r="C43" s="361" t="s">
        <v>238</v>
      </c>
      <c r="D43" s="359" t="s">
        <v>239</v>
      </c>
      <c r="E43" s="359"/>
      <c r="G43" s="358" t="s">
        <v>240</v>
      </c>
      <c r="H43" s="359" t="s">
        <v>241</v>
      </c>
      <c r="I43" s="359"/>
      <c r="J43" s="359"/>
      <c r="K43" s="359"/>
      <c r="L43" s="359"/>
    </row>
    <row r="44" spans="1:15" hidden="1" x14ac:dyDescent="0.2">
      <c r="A44" s="370"/>
      <c r="G44" s="358" t="s">
        <v>240</v>
      </c>
      <c r="H44" s="359" t="str">
        <f>J18&amp;" x 2.4 + "&amp;ROUND(H16,2)&amp;" x 1 ="</f>
        <v>1.5 x 2.4 + 1.46 x 1 =</v>
      </c>
      <c r="I44" s="359"/>
      <c r="K44" s="363">
        <f>J18*2.4+H16</f>
        <v>5.0588750443719821</v>
      </c>
      <c r="L44" s="359" t="s">
        <v>25</v>
      </c>
    </row>
    <row r="45" spans="1:15" hidden="1" x14ac:dyDescent="0.2">
      <c r="A45" s="359"/>
      <c r="B45" s="359"/>
      <c r="F45" s="359"/>
      <c r="G45" s="358"/>
      <c r="H45" s="359"/>
      <c r="I45" s="359"/>
      <c r="J45" s="363"/>
      <c r="K45" s="359"/>
      <c r="L45" s="359"/>
    </row>
    <row r="46" spans="1:15" hidden="1" x14ac:dyDescent="0.2">
      <c r="A46" s="359"/>
      <c r="B46" s="359"/>
      <c r="C46" s="359"/>
      <c r="D46" s="359"/>
      <c r="E46" s="359"/>
      <c r="F46" s="359"/>
      <c r="G46" s="358" t="s">
        <v>242</v>
      </c>
      <c r="H46" s="359" t="s">
        <v>243</v>
      </c>
      <c r="I46" s="359"/>
      <c r="J46" s="359"/>
      <c r="K46" s="359"/>
      <c r="L46" s="359"/>
    </row>
    <row r="47" spans="1:15" hidden="1" x14ac:dyDescent="0.2">
      <c r="A47" s="359"/>
      <c r="B47" s="359"/>
      <c r="C47" s="359"/>
      <c r="D47" s="359"/>
      <c r="E47" s="359"/>
      <c r="F47" s="359"/>
      <c r="G47" s="358" t="s">
        <v>242</v>
      </c>
      <c r="H47" s="359" t="str">
        <f>ROUND(H32,2)&amp;" + "&amp;ROUND(F12,2)&amp;" x 0.40 x 1/3 ="</f>
        <v>3.7 + 14.69 x 0.40 x 1/3 =</v>
      </c>
      <c r="J47" s="359"/>
      <c r="K47" s="363">
        <f>H32+F12*0.4*1/3</f>
        <v>5.6592155940249551</v>
      </c>
      <c r="L47" s="359" t="s">
        <v>244</v>
      </c>
    </row>
    <row r="48" spans="1:15" hidden="1" x14ac:dyDescent="0.2">
      <c r="A48" s="359"/>
      <c r="B48" s="359"/>
      <c r="C48" s="359"/>
      <c r="D48" s="359"/>
      <c r="E48" s="359"/>
      <c r="F48" s="359"/>
      <c r="G48" s="358"/>
      <c r="H48" s="359"/>
      <c r="J48" s="359"/>
      <c r="K48" s="363"/>
      <c r="L48" s="359"/>
    </row>
    <row r="49" spans="1:17" hidden="1" x14ac:dyDescent="0.2">
      <c r="A49" s="359"/>
      <c r="B49" s="359"/>
      <c r="C49" s="377" t="s">
        <v>238</v>
      </c>
      <c r="D49" s="370" t="s">
        <v>245</v>
      </c>
      <c r="E49" s="378">
        <f>K44/K47</f>
        <v>0.89391806343500724</v>
      </c>
      <c r="F49" s="370" t="str">
        <f>IF(CEILING(E49,0.05)&lt;1.2,"&lt; 1.2 → Radye tabanına ankraj gerekir.","&gt; 1.2 → Yüzme emniyeti sağlanmaktadır, ankraja gerek yoktur.")</f>
        <v>&lt; 1.2 → Radye tabanına ankraj gerekir.</v>
      </c>
      <c r="G49" s="379"/>
      <c r="H49" s="370"/>
      <c r="I49" s="370"/>
      <c r="J49" s="370"/>
      <c r="K49" s="370"/>
      <c r="L49" s="359"/>
    </row>
    <row r="50" spans="1:17" s="359" customFormat="1" x14ac:dyDescent="0.2"/>
    <row r="51" spans="1:17" s="359" customFormat="1" x14ac:dyDescent="0.2">
      <c r="C51" s="359" t="str">
        <f>"Φ"&amp;G51&amp;" / ( "&amp;C53&amp;"m x "&amp;D53&amp;"m )"</f>
        <v>Φ0 / ( 1.5m x 1.5m )</v>
      </c>
      <c r="E51" s="359" t="s">
        <v>246</v>
      </c>
      <c r="G51" s="380">
        <v>0</v>
      </c>
      <c r="H51" s="361" t="s">
        <v>247</v>
      </c>
      <c r="I51" s="381">
        <f>+PI()*G51^2 / 400</f>
        <v>0</v>
      </c>
      <c r="J51" s="359" t="s">
        <v>248</v>
      </c>
      <c r="Q51" s="382"/>
    </row>
    <row r="52" spans="1:17" s="359" customFormat="1" x14ac:dyDescent="0.2">
      <c r="H52" s="361" t="s">
        <v>249</v>
      </c>
      <c r="I52" s="381">
        <v>2</v>
      </c>
      <c r="J52" s="359" t="s">
        <v>250</v>
      </c>
      <c r="Q52" s="382"/>
    </row>
    <row r="53" spans="1:17" s="359" customFormat="1" ht="15.75" x14ac:dyDescent="0.3">
      <c r="C53" s="422">
        <v>1.5</v>
      </c>
      <c r="D53" s="423">
        <v>1.5</v>
      </c>
      <c r="E53" s="418">
        <f>+C53*D53</f>
        <v>2.25</v>
      </c>
      <c r="F53" s="359" t="s">
        <v>251</v>
      </c>
      <c r="H53" s="361" t="s">
        <v>252</v>
      </c>
      <c r="I53" s="363">
        <f>+I51*I52</f>
        <v>0</v>
      </c>
      <c r="J53" s="359" t="s">
        <v>253</v>
      </c>
      <c r="Q53" s="382"/>
    </row>
    <row r="54" spans="1:17" s="359" customFormat="1" x14ac:dyDescent="0.2">
      <c r="C54" s="416"/>
      <c r="D54" s="417"/>
      <c r="E54" s="383"/>
      <c r="H54" s="361"/>
      <c r="I54" s="363"/>
      <c r="Q54" s="382"/>
    </row>
    <row r="55" spans="1:17" s="359" customFormat="1" x14ac:dyDescent="0.2">
      <c r="C55" s="416"/>
      <c r="D55" s="417"/>
      <c r="E55" s="383"/>
      <c r="G55" s="359" t="s">
        <v>324</v>
      </c>
      <c r="H55" s="361"/>
      <c r="I55" s="363">
        <f>ROUNDDOWN(+b/'depremli durum ankraj'!C53,0)</f>
        <v>4</v>
      </c>
      <c r="J55" s="359" t="s">
        <v>322</v>
      </c>
      <c r="Q55" s="382"/>
    </row>
    <row r="56" spans="1:17" s="359" customFormat="1" x14ac:dyDescent="0.2">
      <c r="C56" s="416"/>
      <c r="D56" s="417"/>
      <c r="E56" s="383"/>
      <c r="G56" s="359" t="s">
        <v>325</v>
      </c>
      <c r="H56" s="361"/>
      <c r="I56" s="363">
        <f>+I53*I55</f>
        <v>0</v>
      </c>
      <c r="J56" s="359" t="s">
        <v>292</v>
      </c>
      <c r="Q56" s="382"/>
    </row>
    <row r="57" spans="1:17" s="359" customFormat="1" x14ac:dyDescent="0.2">
      <c r="C57" s="416"/>
      <c r="D57" s="417"/>
      <c r="E57" s="383"/>
      <c r="G57" s="359" t="s">
        <v>334</v>
      </c>
      <c r="H57" s="436"/>
      <c r="I57" s="435">
        <f>+b/2</f>
        <v>3.625</v>
      </c>
      <c r="J57" s="359" t="s">
        <v>11</v>
      </c>
      <c r="Q57" s="382"/>
    </row>
    <row r="58" spans="1:17" s="359" customFormat="1" x14ac:dyDescent="0.2">
      <c r="C58" s="416"/>
      <c r="D58" s="417"/>
      <c r="E58" s="383"/>
      <c r="G58" s="359" t="s">
        <v>326</v>
      </c>
      <c r="H58" s="361"/>
      <c r="I58" s="363">
        <f>+I56*I57</f>
        <v>0</v>
      </c>
      <c r="J58" s="359" t="s">
        <v>323</v>
      </c>
      <c r="Q58" s="382"/>
    </row>
    <row r="59" spans="1:17" s="359" customFormat="1" x14ac:dyDescent="0.2">
      <c r="C59" s="416"/>
      <c r="D59" s="417"/>
      <c r="E59" s="383"/>
      <c r="H59" s="361"/>
      <c r="I59" s="363"/>
      <c r="Q59" s="382"/>
    </row>
    <row r="60" spans="1:17" s="359" customFormat="1" x14ac:dyDescent="0.2">
      <c r="C60" s="416"/>
      <c r="D60" s="417"/>
      <c r="E60" s="383"/>
      <c r="H60" s="361"/>
      <c r="I60" s="363"/>
      <c r="Q60" s="382"/>
    </row>
    <row r="61" spans="1:17" s="359" customFormat="1" ht="14.25" x14ac:dyDescent="0.2">
      <c r="B61" s="22" t="s">
        <v>69</v>
      </c>
      <c r="C61" s="28"/>
      <c r="D61" s="28"/>
      <c r="E61" s="28"/>
      <c r="F61" s="28"/>
      <c r="G61" s="28"/>
      <c r="H61" s="28"/>
      <c r="I61" s="29"/>
      <c r="J61" s="30"/>
      <c r="Q61" s="382"/>
    </row>
    <row r="62" spans="1:17" s="359" customFormat="1" ht="30" customHeight="1" x14ac:dyDescent="0.25">
      <c r="B62" s="650" t="s">
        <v>64</v>
      </c>
      <c r="C62" s="650"/>
      <c r="D62" s="650" t="s">
        <v>65</v>
      </c>
      <c r="E62" s="650"/>
      <c r="F62" s="727"/>
      <c r="G62" s="728"/>
      <c r="H62" s="52"/>
      <c r="I62" s="53" t="s">
        <v>66</v>
      </c>
      <c r="J62" s="54"/>
      <c r="Q62" s="382"/>
    </row>
    <row r="63" spans="1:17" s="359" customFormat="1" x14ac:dyDescent="0.2">
      <c r="B63" s="622">
        <f>+'A0=0.553g'!A198+I58</f>
        <v>706.96514085685908</v>
      </c>
      <c r="C63" s="623"/>
      <c r="D63" s="622">
        <f>+'A0=0.553g'!C198</f>
        <v>692.65247191898925</v>
      </c>
      <c r="E63" s="623"/>
      <c r="F63" s="419">
        <f>B63/D63</f>
        <v>1.0206635643675921</v>
      </c>
      <c r="G63" s="420"/>
      <c r="H63" s="4" t="str">
        <f>IF(F63&lt;I63,"&lt;","&gt;")</f>
        <v>&gt;</v>
      </c>
      <c r="I63" s="76">
        <v>1</v>
      </c>
      <c r="J63" s="5" t="str">
        <f>IF(H63="&gt;","O.K.","not O.K.")</f>
        <v>O.K.</v>
      </c>
      <c r="Q63" s="382"/>
    </row>
    <row r="64" spans="1:17" s="359" customFormat="1" x14ac:dyDescent="0.2">
      <c r="C64" s="416"/>
      <c r="D64" s="417"/>
      <c r="E64" s="383"/>
      <c r="H64" s="361"/>
      <c r="I64" s="363"/>
      <c r="Q64" s="382"/>
    </row>
    <row r="65" spans="1:17" s="359" customFormat="1" ht="14.25" x14ac:dyDescent="0.2">
      <c r="B65" s="22" t="s">
        <v>70</v>
      </c>
      <c r="C65" s="28"/>
      <c r="D65" s="28"/>
      <c r="E65" s="28"/>
      <c r="F65" s="28"/>
      <c r="G65" s="28"/>
      <c r="H65" s="28"/>
      <c r="I65" s="29"/>
      <c r="J65" s="30"/>
      <c r="K65" s="28"/>
      <c r="Q65" s="382"/>
    </row>
    <row r="66" spans="1:17" s="359" customFormat="1" ht="30" customHeight="1" x14ac:dyDescent="0.2">
      <c r="B66" s="650" t="s">
        <v>67</v>
      </c>
      <c r="C66" s="650"/>
      <c r="D66" s="650" t="s">
        <v>68</v>
      </c>
      <c r="E66" s="650"/>
      <c r="F66" s="55" t="s">
        <v>11</v>
      </c>
      <c r="G66" s="741"/>
      <c r="H66" s="742"/>
      <c r="I66" s="53"/>
      <c r="J66" s="53" t="s">
        <v>66</v>
      </c>
      <c r="K66" s="56"/>
      <c r="Q66" s="382"/>
    </row>
    <row r="67" spans="1:17" s="359" customFormat="1" x14ac:dyDescent="0.2">
      <c r="B67" s="622">
        <f>+'A0=0.553g'!A203</f>
        <v>135.267707551379</v>
      </c>
      <c r="C67" s="623"/>
      <c r="D67" s="622">
        <f>+'A0=0.553g'!C203+I56</f>
        <v>212.20517557252475</v>
      </c>
      <c r="E67" s="623"/>
      <c r="F67" s="57">
        <f>+'A0=0.553g'!E203</f>
        <v>0.65</v>
      </c>
      <c r="G67" s="419">
        <f>D67*F67/B67</f>
        <v>1.0197065258147409</v>
      </c>
      <c r="H67" s="420"/>
      <c r="I67" s="4" t="str">
        <f>IF(G67&lt;J67,"&lt;","&gt;")</f>
        <v>&gt;</v>
      </c>
      <c r="J67" s="76">
        <v>1</v>
      </c>
      <c r="K67" s="5" t="str">
        <f>IF(I67="&gt;","O.K.","not O.K.")</f>
        <v>O.K.</v>
      </c>
      <c r="Q67" s="382"/>
    </row>
    <row r="68" spans="1:17" s="359" customFormat="1" x14ac:dyDescent="0.2">
      <c r="C68" s="416"/>
      <c r="D68" s="417"/>
      <c r="E68" s="383"/>
      <c r="H68" s="361"/>
      <c r="I68" s="363"/>
      <c r="Q68" s="382"/>
    </row>
    <row r="69" spans="1:17" s="359" customFormat="1" x14ac:dyDescent="0.2">
      <c r="C69" s="416"/>
      <c r="D69" s="417"/>
      <c r="E69" s="383"/>
      <c r="H69" s="361"/>
      <c r="I69" s="363"/>
      <c r="Q69" s="382"/>
    </row>
    <row r="70" spans="1:17" s="359" customFormat="1" x14ac:dyDescent="0.2">
      <c r="C70" s="416"/>
      <c r="D70" s="417"/>
      <c r="E70" s="383"/>
      <c r="H70" s="361"/>
      <c r="I70" s="363"/>
      <c r="Q70" s="382"/>
    </row>
    <row r="71" spans="1:17" s="359" customFormat="1" x14ac:dyDescent="0.2">
      <c r="Q71" s="382"/>
    </row>
    <row r="72" spans="1:17" s="359" customFormat="1" ht="12.75" customHeight="1" x14ac:dyDescent="0.2">
      <c r="L72" s="766" t="str">
        <f>+M77*2&amp;"cm  ≈                  ("&amp;CEILING(M77*0.393701,0.1)&amp;" inch)"</f>
        <v>0cm  ≈                  (0 inch)</v>
      </c>
      <c r="M72" s="766"/>
    </row>
    <row r="73" spans="1:17" x14ac:dyDescent="0.2">
      <c r="A73" s="384" t="s">
        <v>254</v>
      </c>
      <c r="B73" s="384"/>
      <c r="C73" s="384"/>
      <c r="D73" s="384"/>
      <c r="F73" s="376"/>
      <c r="G73" s="376"/>
      <c r="H73" s="376"/>
      <c r="I73" s="376"/>
      <c r="L73" s="766"/>
      <c r="M73" s="766"/>
    </row>
    <row r="74" spans="1:17" x14ac:dyDescent="0.2">
      <c r="N74" s="370" t="s">
        <v>255</v>
      </c>
    </row>
    <row r="77" spans="1:17" x14ac:dyDescent="0.2">
      <c r="A77" s="377" t="s">
        <v>256</v>
      </c>
      <c r="B77" s="370" t="s">
        <v>257</v>
      </c>
      <c r="M77" s="385">
        <f>+I80</f>
        <v>0</v>
      </c>
      <c r="N77" s="359" t="str">
        <f>"cm  ≈ ("&amp;CEILING(M77*0.393701,0.1)&amp;" inch)"</f>
        <v>cm  ≈ (0 inch)</v>
      </c>
    </row>
    <row r="78" spans="1:17" x14ac:dyDescent="0.2">
      <c r="A78" s="359"/>
      <c r="B78" s="361" t="s">
        <v>258</v>
      </c>
      <c r="C78" s="359" t="s">
        <v>259</v>
      </c>
      <c r="D78" s="359"/>
      <c r="E78" s="359"/>
      <c r="F78" s="359"/>
      <c r="G78" s="359"/>
      <c r="H78" s="361"/>
      <c r="K78" s="370" t="s">
        <v>260</v>
      </c>
    </row>
    <row r="79" spans="1:17" ht="15" x14ac:dyDescent="0.25">
      <c r="A79" s="359"/>
      <c r="B79" s="359" t="s">
        <v>261</v>
      </c>
      <c r="C79" s="359"/>
      <c r="D79" s="361"/>
      <c r="E79" s="359" t="s">
        <v>262</v>
      </c>
      <c r="F79" s="359"/>
      <c r="G79" s="359"/>
      <c r="H79" s="361" t="s">
        <v>263</v>
      </c>
      <c r="I79" s="386">
        <f>I51*I52*1000</f>
        <v>0</v>
      </c>
      <c r="J79" s="359" t="s">
        <v>264</v>
      </c>
    </row>
    <row r="80" spans="1:17" x14ac:dyDescent="0.2">
      <c r="A80" s="359"/>
      <c r="B80" s="359"/>
      <c r="C80" s="359"/>
      <c r="D80" s="359"/>
      <c r="E80" s="359"/>
      <c r="F80" s="359"/>
      <c r="G80" s="359"/>
      <c r="H80" s="361" t="s">
        <v>265</v>
      </c>
      <c r="I80" s="383">
        <f>+G51/10</f>
        <v>0</v>
      </c>
      <c r="J80" s="359" t="s">
        <v>266</v>
      </c>
    </row>
    <row r="81" spans="1:15" ht="15" x14ac:dyDescent="0.25">
      <c r="A81" s="359"/>
      <c r="B81" s="387"/>
      <c r="C81" s="387"/>
      <c r="D81" s="359"/>
      <c r="E81" s="359"/>
      <c r="F81" s="359"/>
      <c r="G81" s="359"/>
      <c r="H81" s="361" t="s">
        <v>267</v>
      </c>
      <c r="I81" s="388">
        <v>12</v>
      </c>
      <c r="J81" s="359" t="s">
        <v>268</v>
      </c>
      <c r="M81" s="756" t="str">
        <f>"Φ"&amp;G51&amp;" Ankraj"</f>
        <v>Φ0 Ankraj</v>
      </c>
      <c r="N81" s="756"/>
    </row>
    <row r="82" spans="1:15" x14ac:dyDescent="0.2">
      <c r="A82" s="359"/>
      <c r="B82" s="761" t="s">
        <v>269</v>
      </c>
      <c r="C82" s="761"/>
      <c r="D82" s="386" t="e">
        <f>CEILING(I79/(PI()*I80*I81),5)</f>
        <v>#DIV/0!</v>
      </c>
      <c r="E82" s="359" t="s">
        <v>266</v>
      </c>
      <c r="F82" s="359"/>
      <c r="G82" s="359"/>
      <c r="H82" s="359"/>
      <c r="I82" s="359"/>
      <c r="J82" s="359"/>
    </row>
    <row r="83" spans="1:15" ht="15.75" x14ac:dyDescent="0.3">
      <c r="A83" s="359"/>
      <c r="B83" s="361"/>
      <c r="C83" s="361" t="s">
        <v>270</v>
      </c>
      <c r="D83" s="386">
        <f>CEILING(40*I80,5)</f>
        <v>0</v>
      </c>
      <c r="E83" s="359" t="s">
        <v>266</v>
      </c>
      <c r="F83" s="359"/>
      <c r="G83" s="370" t="e">
        <f>IF(D83&lt;D82,D82,D83)</f>
        <v>#DIV/0!</v>
      </c>
      <c r="H83" s="379" t="s">
        <v>271</v>
      </c>
      <c r="I83" s="359"/>
      <c r="J83" s="359"/>
    </row>
    <row r="85" spans="1:15" x14ac:dyDescent="0.2">
      <c r="A85" s="377" t="s">
        <v>272</v>
      </c>
      <c r="B85" s="370" t="s">
        <v>273</v>
      </c>
      <c r="C85" s="359"/>
      <c r="D85" s="359"/>
      <c r="E85" s="359"/>
      <c r="F85" s="359"/>
      <c r="G85" s="359"/>
      <c r="H85" s="359"/>
      <c r="I85" s="359"/>
      <c r="J85" s="359"/>
      <c r="K85" s="359"/>
      <c r="L85" s="359"/>
      <c r="M85" s="359"/>
      <c r="N85" s="359"/>
      <c r="O85" s="359"/>
    </row>
    <row r="86" spans="1:15" x14ac:dyDescent="0.2">
      <c r="A86" s="359"/>
      <c r="B86" s="359"/>
      <c r="C86" s="359"/>
      <c r="D86" s="359"/>
      <c r="E86" s="359"/>
      <c r="F86" s="359"/>
      <c r="G86" s="359"/>
      <c r="H86" s="359"/>
      <c r="I86" s="359"/>
      <c r="J86" s="359"/>
      <c r="K86" s="359"/>
      <c r="L86" s="359"/>
      <c r="M86" s="359"/>
      <c r="N86" s="359"/>
      <c r="O86" s="359"/>
    </row>
    <row r="87" spans="1:15" ht="15" x14ac:dyDescent="0.25">
      <c r="A87" s="359"/>
      <c r="B87" s="359" t="s">
        <v>274</v>
      </c>
      <c r="C87" s="358" t="s">
        <v>275</v>
      </c>
      <c r="D87" s="361" t="s">
        <v>276</v>
      </c>
      <c r="E87" s="357">
        <f>PI()*I80^2/4</f>
        <v>0</v>
      </c>
      <c r="F87" s="359" t="s">
        <v>248</v>
      </c>
      <c r="G87" s="359"/>
      <c r="H87" s="359"/>
      <c r="I87" s="359"/>
      <c r="J87" s="359"/>
      <c r="K87" s="359"/>
      <c r="L87" s="359"/>
      <c r="M87" s="359"/>
      <c r="N87" s="359"/>
      <c r="O87" s="359"/>
    </row>
    <row r="88" spans="1:15" x14ac:dyDescent="0.2">
      <c r="A88" s="359"/>
      <c r="B88" s="359"/>
      <c r="C88" s="358"/>
      <c r="D88" s="361"/>
      <c r="E88" s="357"/>
      <c r="F88" s="359"/>
      <c r="G88" s="359"/>
      <c r="H88" s="359"/>
      <c r="I88" s="359"/>
      <c r="J88" s="359"/>
      <c r="K88" s="359"/>
      <c r="L88" s="359"/>
      <c r="M88" s="359"/>
      <c r="N88" s="359"/>
      <c r="O88" s="359"/>
    </row>
    <row r="89" spans="1:15" ht="15.75" x14ac:dyDescent="0.3">
      <c r="A89" s="359"/>
      <c r="B89" s="361" t="s">
        <v>277</v>
      </c>
      <c r="C89" s="359" t="s">
        <v>278</v>
      </c>
      <c r="D89" s="359"/>
      <c r="E89" s="359"/>
      <c r="F89" s="359"/>
      <c r="G89" s="359"/>
      <c r="H89" s="361" t="s">
        <v>279</v>
      </c>
      <c r="I89" s="381">
        <v>2</v>
      </c>
      <c r="J89" s="359" t="s">
        <v>268</v>
      </c>
      <c r="K89" s="359" t="s">
        <v>280</v>
      </c>
      <c r="L89" s="359"/>
      <c r="M89" s="359"/>
      <c r="N89" s="359"/>
      <c r="O89" s="359"/>
    </row>
    <row r="90" spans="1:15" ht="15.75" x14ac:dyDescent="0.3">
      <c r="A90" s="359"/>
      <c r="B90" s="361" t="s">
        <v>277</v>
      </c>
      <c r="C90" s="361">
        <f>0.019*E87*100*420*I89/(20)^0.5</f>
        <v>0</v>
      </c>
      <c r="D90" s="359" t="s">
        <v>281</v>
      </c>
      <c r="E90" s="389">
        <f>CEILING(C90/10,5)</f>
        <v>0</v>
      </c>
      <c r="F90" s="359" t="s">
        <v>266</v>
      </c>
      <c r="G90" s="359"/>
      <c r="H90" s="359"/>
      <c r="I90" s="359"/>
      <c r="J90" s="359"/>
      <c r="K90" s="359"/>
      <c r="L90" s="359"/>
      <c r="M90" s="359"/>
      <c r="N90" s="359"/>
      <c r="O90" s="359"/>
    </row>
    <row r="91" spans="1:15" x14ac:dyDescent="0.2">
      <c r="A91" s="359"/>
      <c r="B91" s="359"/>
      <c r="C91" s="359"/>
      <c r="D91" s="359"/>
      <c r="E91" s="359"/>
      <c r="F91" s="359"/>
      <c r="G91" s="359"/>
      <c r="H91" s="359"/>
      <c r="I91" s="359"/>
      <c r="J91" s="359"/>
      <c r="K91" s="359"/>
      <c r="L91" s="359"/>
      <c r="M91" s="359"/>
      <c r="N91" s="359"/>
      <c r="O91" s="359"/>
    </row>
    <row r="92" spans="1:15" x14ac:dyDescent="0.2">
      <c r="A92" s="377" t="s">
        <v>282</v>
      </c>
      <c r="B92" s="370" t="s">
        <v>283</v>
      </c>
      <c r="C92" s="359"/>
      <c r="D92" s="359"/>
      <c r="E92" s="359"/>
      <c r="F92" s="359"/>
      <c r="G92" s="359"/>
      <c r="H92" s="359"/>
      <c r="I92" s="359"/>
      <c r="J92" s="359"/>
      <c r="K92" s="359"/>
      <c r="L92" s="385"/>
      <c r="M92" s="359"/>
      <c r="N92" s="359"/>
      <c r="O92" s="359"/>
    </row>
    <row r="93" spans="1:15" x14ac:dyDescent="0.2">
      <c r="A93" s="359"/>
      <c r="B93" s="359"/>
      <c r="C93" s="359"/>
      <c r="D93" s="359"/>
      <c r="E93" s="359"/>
      <c r="F93" s="359"/>
      <c r="G93" s="359"/>
      <c r="H93" s="359"/>
      <c r="I93" s="359"/>
      <c r="J93" s="359"/>
      <c r="K93" s="359"/>
      <c r="L93" s="359"/>
      <c r="M93" s="359"/>
      <c r="N93" s="359"/>
      <c r="O93" s="359"/>
    </row>
    <row r="94" spans="1:15" ht="15" x14ac:dyDescent="0.25">
      <c r="A94" s="359"/>
      <c r="B94" s="359" t="s">
        <v>284</v>
      </c>
      <c r="C94" s="359"/>
      <c r="D94" s="361"/>
      <c r="E94" s="359" t="s">
        <v>285</v>
      </c>
      <c r="F94" s="359"/>
      <c r="G94" s="359"/>
      <c r="H94" s="361" t="s">
        <v>263</v>
      </c>
      <c r="I94" s="386">
        <f>I79</f>
        <v>0</v>
      </c>
      <c r="J94" s="359" t="s">
        <v>264</v>
      </c>
      <c r="K94" s="359"/>
      <c r="L94" s="359"/>
      <c r="M94" s="359"/>
      <c r="N94" s="359"/>
      <c r="O94" s="359"/>
    </row>
    <row r="95" spans="1:15" x14ac:dyDescent="0.2">
      <c r="A95" s="359"/>
      <c r="B95" s="359"/>
      <c r="C95" s="359"/>
      <c r="D95" s="359"/>
      <c r="E95" s="359"/>
      <c r="F95" s="359"/>
      <c r="G95" s="359"/>
      <c r="H95" s="361" t="s">
        <v>286</v>
      </c>
      <c r="I95" s="386">
        <f>+I80*2</f>
        <v>0</v>
      </c>
      <c r="J95" s="359" t="s">
        <v>266</v>
      </c>
      <c r="K95" s="359" t="s">
        <v>287</v>
      </c>
      <c r="L95" s="359"/>
      <c r="M95" s="359"/>
      <c r="N95" s="359"/>
      <c r="O95" s="359"/>
    </row>
    <row r="96" spans="1:15" ht="15" x14ac:dyDescent="0.25">
      <c r="A96" s="359"/>
      <c r="B96" s="387"/>
      <c r="C96" s="387"/>
      <c r="D96" s="359"/>
      <c r="E96" s="359"/>
      <c r="F96" s="359"/>
      <c r="G96" s="359"/>
      <c r="H96" s="361" t="s">
        <v>279</v>
      </c>
      <c r="I96" s="381">
        <v>2</v>
      </c>
      <c r="J96" s="359" t="s">
        <v>268</v>
      </c>
      <c r="K96" s="359" t="s">
        <v>280</v>
      </c>
      <c r="L96" s="359"/>
      <c r="M96" s="359"/>
      <c r="N96" s="359"/>
      <c r="O96" s="359"/>
    </row>
    <row r="97" spans="1:17" s="359" customFormat="1" ht="15.75" x14ac:dyDescent="0.3">
      <c r="A97" s="365"/>
      <c r="B97" s="760" t="s">
        <v>288</v>
      </c>
      <c r="C97" s="760"/>
      <c r="D97" s="390" t="e">
        <f>CEILING(I94/(PI()*I95*I96),5)</f>
        <v>#DIV/0!</v>
      </c>
      <c r="E97" s="762" t="s">
        <v>266</v>
      </c>
      <c r="F97" s="762"/>
      <c r="K97" s="391"/>
      <c r="Q97" s="362"/>
    </row>
    <row r="98" spans="1:17" s="359" customFormat="1" x14ac:dyDescent="0.2">
      <c r="A98" s="365"/>
      <c r="M98" s="392">
        <v>1.5</v>
      </c>
    </row>
    <row r="99" spans="1:17" x14ac:dyDescent="0.2">
      <c r="A99" s="379" t="s">
        <v>289</v>
      </c>
      <c r="B99" s="370" t="s">
        <v>290</v>
      </c>
    </row>
    <row r="100" spans="1:17" x14ac:dyDescent="0.2">
      <c r="A100" s="393"/>
    </row>
    <row r="101" spans="1:17" x14ac:dyDescent="0.2">
      <c r="A101" s="393"/>
      <c r="E101" s="356" t="str">
        <f>"Fm(ø"&amp;I80*10&amp;") ="</f>
        <v>Fm(ø0) =</v>
      </c>
      <c r="F101" s="361" t="s">
        <v>291</v>
      </c>
      <c r="G101" s="394">
        <f>I79/1000</f>
        <v>0</v>
      </c>
      <c r="H101" s="356" t="s">
        <v>292</v>
      </c>
      <c r="N101" s="395" t="s">
        <v>293</v>
      </c>
    </row>
    <row r="102" spans="1:17" ht="24.75" customHeight="1" x14ac:dyDescent="0.3">
      <c r="A102" s="393"/>
      <c r="E102" s="356" t="s">
        <v>294</v>
      </c>
      <c r="F102" s="394">
        <f>+I89</f>
        <v>2</v>
      </c>
      <c r="K102" s="396">
        <f>G101</f>
        <v>0</v>
      </c>
      <c r="L102" s="356" t="s">
        <v>292</v>
      </c>
      <c r="N102" s="377" t="s">
        <v>295</v>
      </c>
    </row>
    <row r="103" spans="1:17" x14ac:dyDescent="0.2">
      <c r="A103" s="393"/>
      <c r="N103" s="397"/>
    </row>
    <row r="104" spans="1:17" ht="15.75" x14ac:dyDescent="0.3">
      <c r="A104" s="393"/>
      <c r="C104" s="397" t="s">
        <v>296</v>
      </c>
      <c r="D104" s="398">
        <f>(((G101/I96)-(1.5^2 *0.75/3))/1.5^2 + 0.75)*100</f>
        <v>50</v>
      </c>
      <c r="E104" s="356" t="s">
        <v>266</v>
      </c>
      <c r="N104" s="399">
        <v>0.75</v>
      </c>
    </row>
    <row r="105" spans="1:17" x14ac:dyDescent="0.2">
      <c r="A105" s="393"/>
    </row>
    <row r="106" spans="1:17" s="359" customFormat="1" ht="15.75" x14ac:dyDescent="0.3">
      <c r="A106" s="379" t="s">
        <v>297</v>
      </c>
      <c r="B106" s="761" t="s">
        <v>298</v>
      </c>
      <c r="C106" s="761"/>
      <c r="D106" s="390">
        <f>300</f>
        <v>300</v>
      </c>
      <c r="E106" s="760" t="s">
        <v>299</v>
      </c>
      <c r="F106" s="760"/>
      <c r="G106" s="359" t="e">
        <f>ROUND(MAX(E90,D97,D104,D106),0)&amp;" Kaya içinde + "&amp;CEILING(G83,1)&amp;" Radye içinde ="</f>
        <v>#DIV/0!</v>
      </c>
      <c r="K106" s="391" t="e">
        <f>MAX(E90,D97,D104,D106)+G83</f>
        <v>#DIV/0!</v>
      </c>
      <c r="L106" s="359" t="s">
        <v>300</v>
      </c>
      <c r="M106" s="400" t="e">
        <f>CEILING(MAX(E90,D97,D104,D106)+G83,50)</f>
        <v>#DIV/0!</v>
      </c>
      <c r="N106" s="359" t="s">
        <v>266</v>
      </c>
    </row>
    <row r="109" spans="1:17" x14ac:dyDescent="0.2">
      <c r="G109" s="389"/>
      <c r="H109" s="401"/>
      <c r="N109" s="370"/>
    </row>
    <row r="110" spans="1:17" x14ac:dyDescent="0.2">
      <c r="E110" s="379"/>
      <c r="F110" s="379"/>
      <c r="N110" s="402"/>
    </row>
    <row r="111" spans="1:17" x14ac:dyDescent="0.2">
      <c r="H111" s="401">
        <f>+J18</f>
        <v>1.5</v>
      </c>
    </row>
    <row r="112" spans="1:17" x14ac:dyDescent="0.2">
      <c r="D112" s="371"/>
    </row>
    <row r="113" spans="3:14" x14ac:dyDescent="0.2">
      <c r="D113" s="371"/>
      <c r="G113" s="370" t="s">
        <v>228</v>
      </c>
      <c r="J113" s="370" t="s">
        <v>229</v>
      </c>
    </row>
    <row r="114" spans="3:14" x14ac:dyDescent="0.2">
      <c r="D114" s="371"/>
      <c r="H114" s="401"/>
      <c r="N114" s="379"/>
    </row>
    <row r="115" spans="3:14" x14ac:dyDescent="0.2">
      <c r="D115" s="371"/>
      <c r="E115" s="389"/>
      <c r="F115" s="389"/>
      <c r="G115" s="763"/>
      <c r="H115" s="763"/>
      <c r="K115" s="378"/>
    </row>
    <row r="116" spans="3:14" x14ac:dyDescent="0.2">
      <c r="C116" s="757" t="str">
        <f>$C$51</f>
        <v>Φ0 / ( 1.5m x 1.5m )</v>
      </c>
      <c r="D116" s="757"/>
      <c r="E116" s="377" t="s">
        <v>301</v>
      </c>
      <c r="F116" s="377"/>
      <c r="G116" s="377"/>
      <c r="I116" s="389"/>
    </row>
    <row r="117" spans="3:14" x14ac:dyDescent="0.2">
      <c r="D117" s="377" t="s">
        <v>302</v>
      </c>
      <c r="E117" s="403" t="e">
        <f>M106/100</f>
        <v>#DIV/0!</v>
      </c>
      <c r="G117" s="378"/>
      <c r="J117" s="404"/>
      <c r="K117" s="404"/>
    </row>
    <row r="124" spans="3:14" x14ac:dyDescent="0.2">
      <c r="D124" s="359"/>
      <c r="E124" s="359"/>
      <c r="F124" s="365" t="e">
        <f>+CEILING(G83,1)-D130</f>
        <v>#DIV/0!</v>
      </c>
      <c r="G124" s="359"/>
      <c r="H124" s="359"/>
      <c r="I124" s="359"/>
    </row>
    <row r="125" spans="3:14" x14ac:dyDescent="0.2">
      <c r="D125" s="359"/>
      <c r="E125" s="359"/>
      <c r="F125" s="359"/>
      <c r="G125" s="359"/>
      <c r="H125" s="359"/>
      <c r="I125" s="359"/>
    </row>
    <row r="126" spans="3:14" x14ac:dyDescent="0.2">
      <c r="D126" s="359"/>
      <c r="E126" s="359"/>
      <c r="F126" s="359"/>
      <c r="G126" s="359"/>
      <c r="H126" s="359"/>
      <c r="I126" s="359"/>
    </row>
    <row r="127" spans="3:14" x14ac:dyDescent="0.2">
      <c r="D127" s="758">
        <v>15</v>
      </c>
      <c r="E127" s="359"/>
      <c r="F127" s="359"/>
      <c r="G127" s="359"/>
      <c r="H127" s="359"/>
      <c r="I127" s="359"/>
    </row>
    <row r="128" spans="3:14" ht="12.75" customHeight="1" x14ac:dyDescent="0.2">
      <c r="D128" s="758"/>
      <c r="E128" s="359"/>
      <c r="F128" s="359"/>
      <c r="G128" s="359"/>
      <c r="H128" s="359"/>
      <c r="I128" s="359"/>
    </row>
    <row r="129" spans="4:9" x14ac:dyDescent="0.2">
      <c r="D129" s="405"/>
      <c r="E129" s="359"/>
      <c r="F129" s="359"/>
      <c r="G129" s="359"/>
      <c r="H129" s="357">
        <f>J18</f>
        <v>1.5</v>
      </c>
      <c r="I129" s="359"/>
    </row>
    <row r="130" spans="4:9" ht="23.25" customHeight="1" x14ac:dyDescent="0.2">
      <c r="D130" s="405">
        <f>+H111*100-D127</f>
        <v>135</v>
      </c>
      <c r="E130" s="359"/>
      <c r="F130" s="359"/>
      <c r="G130" s="359" t="s">
        <v>303</v>
      </c>
      <c r="I130" s="359"/>
    </row>
    <row r="131" spans="4:9" x14ac:dyDescent="0.2">
      <c r="D131" s="405"/>
      <c r="E131" s="359"/>
      <c r="F131" s="359"/>
      <c r="G131" s="359"/>
      <c r="H131" s="359"/>
      <c r="I131" s="359"/>
    </row>
    <row r="132" spans="4:9" x14ac:dyDescent="0.2">
      <c r="D132" s="359"/>
      <c r="E132" s="359"/>
      <c r="F132" s="359"/>
      <c r="G132" s="359"/>
      <c r="H132" s="359"/>
      <c r="I132" s="359"/>
    </row>
    <row r="133" spans="4:9" x14ac:dyDescent="0.2">
      <c r="D133" s="359"/>
      <c r="E133" s="359"/>
      <c r="F133" s="359"/>
      <c r="G133" s="359"/>
      <c r="H133" s="359"/>
      <c r="I133" s="359"/>
    </row>
    <row r="134" spans="4:9" x14ac:dyDescent="0.2">
      <c r="D134" s="359"/>
      <c r="E134" s="359"/>
      <c r="F134" s="359"/>
      <c r="G134" s="359"/>
      <c r="H134" s="359"/>
      <c r="I134" s="359"/>
    </row>
    <row r="135" spans="4:9" x14ac:dyDescent="0.2">
      <c r="D135" s="359"/>
      <c r="E135" s="359"/>
      <c r="F135" s="359"/>
      <c r="G135" s="359"/>
      <c r="H135" s="359"/>
      <c r="I135" s="359"/>
    </row>
    <row r="137" spans="4:9" x14ac:dyDescent="0.2">
      <c r="G137" s="756" t="str">
        <f>+M81</f>
        <v>Φ0 Ankraj</v>
      </c>
      <c r="H137" s="756"/>
    </row>
    <row r="138" spans="4:9" x14ac:dyDescent="0.2">
      <c r="G138" s="756" t="str">
        <f>"( "&amp;C53*100&amp;"/"&amp;D53*100&amp;" )"</f>
        <v>( 150/150 )</v>
      </c>
      <c r="H138" s="756"/>
    </row>
    <row r="139" spans="4:9" x14ac:dyDescent="0.2">
      <c r="G139" s="377" t="s">
        <v>302</v>
      </c>
      <c r="H139" s="406" t="e">
        <f>M106/100</f>
        <v>#DIV/0!</v>
      </c>
    </row>
    <row r="140" spans="4:9" x14ac:dyDescent="0.2">
      <c r="D140" s="759" t="e">
        <f>+H139*100-D130-F124</f>
        <v>#DIV/0!</v>
      </c>
      <c r="E140" s="359"/>
      <c r="F140" s="359"/>
      <c r="G140" s="359"/>
      <c r="H140" s="359"/>
    </row>
    <row r="141" spans="4:9" x14ac:dyDescent="0.2">
      <c r="D141" s="759"/>
      <c r="E141" s="359"/>
      <c r="F141" s="359"/>
      <c r="G141" s="359"/>
      <c r="H141" s="359"/>
    </row>
    <row r="142" spans="4:9" x14ac:dyDescent="0.2">
      <c r="D142" s="759"/>
      <c r="E142" s="359"/>
      <c r="F142" s="359"/>
      <c r="G142" s="359"/>
      <c r="H142" s="359"/>
    </row>
    <row r="143" spans="4:9" x14ac:dyDescent="0.2">
      <c r="D143" s="759"/>
      <c r="E143" s="359"/>
      <c r="F143" s="359"/>
      <c r="G143" s="359"/>
      <c r="H143" s="359"/>
    </row>
    <row r="144" spans="4:9" x14ac:dyDescent="0.2">
      <c r="D144" s="359"/>
      <c r="E144" s="359"/>
      <c r="F144" s="359"/>
      <c r="G144" s="359"/>
      <c r="H144" s="359"/>
    </row>
    <row r="145" spans="1:10" ht="15" customHeight="1" x14ac:dyDescent="0.2">
      <c r="D145" s="359"/>
      <c r="E145" s="359"/>
      <c r="F145" s="359"/>
      <c r="G145" s="760">
        <f>+C53*100</f>
        <v>150</v>
      </c>
      <c r="H145" s="760"/>
    </row>
    <row r="146" spans="1:10" x14ac:dyDescent="0.2">
      <c r="D146" s="359"/>
      <c r="E146" s="359"/>
      <c r="F146" s="359"/>
      <c r="G146" s="359"/>
      <c r="H146" s="359"/>
    </row>
    <row r="147" spans="1:10" x14ac:dyDescent="0.2">
      <c r="D147" s="359"/>
      <c r="E147" s="359"/>
      <c r="F147" s="359"/>
      <c r="G147" s="359"/>
      <c r="H147" s="359"/>
    </row>
    <row r="148" spans="1:10" x14ac:dyDescent="0.2">
      <c r="D148" s="359"/>
      <c r="E148" s="359"/>
      <c r="F148" s="359"/>
      <c r="G148" s="359"/>
      <c r="H148" s="359"/>
    </row>
    <row r="152" spans="1:10" ht="18" x14ac:dyDescent="0.25">
      <c r="D152" s="407"/>
      <c r="E152" s="407"/>
      <c r="F152" s="407"/>
      <c r="G152" s="408" t="s">
        <v>328</v>
      </c>
      <c r="I152" s="407"/>
      <c r="J152" s="407"/>
    </row>
    <row r="155" spans="1:10" x14ac:dyDescent="0.2">
      <c r="A155" s="384" t="s">
        <v>304</v>
      </c>
    </row>
    <row r="157" spans="1:10" x14ac:dyDescent="0.2">
      <c r="B157" s="356" t="s">
        <v>305</v>
      </c>
    </row>
    <row r="158" spans="1:10" x14ac:dyDescent="0.2">
      <c r="B158" s="356" t="s">
        <v>306</v>
      </c>
    </row>
    <row r="160" spans="1:10" ht="15.75" x14ac:dyDescent="0.3">
      <c r="B160" s="409">
        <f>+G51</f>
        <v>0</v>
      </c>
      <c r="C160" s="356" t="s">
        <v>307</v>
      </c>
      <c r="E160" s="359"/>
      <c r="F160" s="361" t="s">
        <v>308</v>
      </c>
      <c r="G160" s="363">
        <f>+I53</f>
        <v>0</v>
      </c>
      <c r="H160" s="359" t="s">
        <v>253</v>
      </c>
      <c r="I160" s="359"/>
    </row>
    <row r="162" spans="2:9" ht="15" x14ac:dyDescent="0.25">
      <c r="B162" s="377" t="s">
        <v>309</v>
      </c>
      <c r="C162" s="379" t="s">
        <v>310</v>
      </c>
    </row>
    <row r="163" spans="2:9" ht="14.25" x14ac:dyDescent="0.25">
      <c r="B163" s="377" t="s">
        <v>311</v>
      </c>
      <c r="C163" s="379" t="s">
        <v>312</v>
      </c>
      <c r="D163" s="370"/>
    </row>
    <row r="164" spans="2:9" x14ac:dyDescent="0.2">
      <c r="B164" s="397" t="s">
        <v>313</v>
      </c>
      <c r="C164" s="410">
        <v>1</v>
      </c>
      <c r="D164" s="356" t="s">
        <v>314</v>
      </c>
    </row>
    <row r="165" spans="2:9" ht="15.75" x14ac:dyDescent="0.3">
      <c r="B165" s="397" t="s">
        <v>315</v>
      </c>
      <c r="C165" s="411">
        <v>10.7</v>
      </c>
      <c r="D165" s="356" t="s">
        <v>316</v>
      </c>
    </row>
    <row r="166" spans="2:9" ht="15.75" x14ac:dyDescent="0.3">
      <c r="B166" s="397" t="s">
        <v>317</v>
      </c>
      <c r="C166" s="412">
        <f>+H180</f>
        <v>145</v>
      </c>
      <c r="D166" s="356" t="s">
        <v>266</v>
      </c>
    </row>
    <row r="167" spans="2:9" ht="15.75" x14ac:dyDescent="0.3">
      <c r="B167" s="397" t="s">
        <v>318</v>
      </c>
      <c r="C167" s="410">
        <f>PI()*C166</f>
        <v>455.53093477051999</v>
      </c>
      <c r="D167" s="356" t="s">
        <v>266</v>
      </c>
    </row>
    <row r="168" spans="2:9" ht="14.25" x14ac:dyDescent="0.25">
      <c r="B168" s="377" t="s">
        <v>311</v>
      </c>
      <c r="C168" s="398">
        <f>+C164*C165*C167*C166</f>
        <v>706756.24529646174</v>
      </c>
      <c r="D168" s="402" t="s">
        <v>319</v>
      </c>
      <c r="E168" s="378">
        <f>+C168/1000</f>
        <v>706.75624529646177</v>
      </c>
      <c r="F168" s="370" t="s">
        <v>320</v>
      </c>
      <c r="G168" s="413">
        <f>+G160</f>
        <v>0</v>
      </c>
      <c r="H168" s="414" t="str">
        <f>IF(CEILING(G168,0.05)&lt;E168,"→ OK.","→ Zımbalamaya karşı yetersizdir")</f>
        <v>→ OK.</v>
      </c>
    </row>
    <row r="173" spans="2:9" x14ac:dyDescent="0.2">
      <c r="G173" s="411">
        <f>+E186*2</f>
        <v>145</v>
      </c>
    </row>
    <row r="175" spans="2:9" x14ac:dyDescent="0.2">
      <c r="D175" s="359"/>
      <c r="E175" s="359"/>
      <c r="F175" s="365"/>
      <c r="G175" s="359"/>
      <c r="H175" s="359"/>
      <c r="I175" s="359"/>
    </row>
    <row r="176" spans="2:9" x14ac:dyDescent="0.2">
      <c r="D176" s="359"/>
      <c r="E176" s="359"/>
      <c r="F176" s="359"/>
      <c r="G176" s="359"/>
      <c r="H176" s="359"/>
      <c r="I176" s="359"/>
    </row>
    <row r="177" spans="4:9" x14ac:dyDescent="0.2">
      <c r="D177" s="359"/>
      <c r="E177" s="359"/>
      <c r="F177" s="359"/>
      <c r="G177" s="359"/>
      <c r="H177" s="359"/>
      <c r="I177" s="359"/>
    </row>
    <row r="178" spans="4:9" x14ac:dyDescent="0.2">
      <c r="D178" s="758"/>
      <c r="E178" s="359"/>
      <c r="F178" s="359"/>
      <c r="G178" s="359"/>
      <c r="H178" s="358">
        <v>5</v>
      </c>
      <c r="I178" s="359"/>
    </row>
    <row r="179" spans="4:9" ht="12.75" customHeight="1" x14ac:dyDescent="0.2">
      <c r="D179" s="758"/>
      <c r="E179" s="359"/>
      <c r="F179" s="359"/>
      <c r="G179" s="359"/>
      <c r="H179" s="358"/>
      <c r="I179" s="359"/>
    </row>
    <row r="180" spans="4:9" x14ac:dyDescent="0.2">
      <c r="D180" s="405"/>
      <c r="E180" s="359"/>
      <c r="F180" s="359"/>
      <c r="G180" s="359"/>
      <c r="H180" s="412">
        <f>+I180-H178</f>
        <v>145</v>
      </c>
      <c r="I180" s="415">
        <f>+J18*100</f>
        <v>150</v>
      </c>
    </row>
    <row r="181" spans="4:9" x14ac:dyDescent="0.2">
      <c r="D181" s="405"/>
      <c r="E181" s="359"/>
      <c r="F181" s="359"/>
      <c r="G181" s="359" t="s">
        <v>303</v>
      </c>
      <c r="I181" s="359"/>
    </row>
    <row r="182" spans="4:9" x14ac:dyDescent="0.2">
      <c r="D182" s="405"/>
      <c r="E182" s="359"/>
      <c r="F182" s="359"/>
      <c r="G182" s="359"/>
      <c r="H182" s="359"/>
      <c r="I182" s="359"/>
    </row>
    <row r="183" spans="4:9" x14ac:dyDescent="0.2">
      <c r="D183" s="359"/>
      <c r="E183" s="359"/>
      <c r="F183" s="359"/>
      <c r="G183" s="359"/>
      <c r="H183" s="359"/>
      <c r="I183" s="359"/>
    </row>
    <row r="184" spans="4:9" x14ac:dyDescent="0.2">
      <c r="D184" s="359"/>
      <c r="E184" s="359"/>
      <c r="F184" s="359"/>
      <c r="G184" s="359"/>
      <c r="H184" s="359"/>
      <c r="I184" s="359"/>
    </row>
    <row r="185" spans="4:9" x14ac:dyDescent="0.2">
      <c r="D185" s="359"/>
      <c r="E185" s="359"/>
      <c r="F185" s="359"/>
      <c r="G185" s="359"/>
      <c r="H185" s="359"/>
      <c r="I185" s="359"/>
    </row>
    <row r="186" spans="4:9" x14ac:dyDescent="0.2">
      <c r="D186" s="359"/>
      <c r="E186" s="358">
        <f>+H180/2</f>
        <v>72.5</v>
      </c>
      <c r="F186" s="358">
        <f>+E186</f>
        <v>72.5</v>
      </c>
      <c r="G186" s="359"/>
      <c r="H186" s="359"/>
      <c r="I186" s="359"/>
    </row>
    <row r="188" spans="4:9" x14ac:dyDescent="0.2">
      <c r="F188" s="756" t="str">
        <f>+G137</f>
        <v>Φ0 Ankraj</v>
      </c>
      <c r="G188" s="756"/>
    </row>
    <row r="189" spans="4:9" x14ac:dyDescent="0.2">
      <c r="G189" s="756"/>
      <c r="H189" s="756"/>
    </row>
    <row r="190" spans="4:9" x14ac:dyDescent="0.2">
      <c r="H190" s="406"/>
    </row>
    <row r="191" spans="4:9" ht="15.75" x14ac:dyDescent="0.3">
      <c r="E191" s="359"/>
      <c r="F191" s="365" t="s">
        <v>321</v>
      </c>
      <c r="G191" s="359"/>
      <c r="H191" s="359"/>
    </row>
    <row r="192" spans="4:9" x14ac:dyDescent="0.2">
      <c r="E192" s="359"/>
      <c r="F192" s="359"/>
      <c r="G192" s="359"/>
      <c r="H192" s="359"/>
    </row>
    <row r="193" spans="5:8" x14ac:dyDescent="0.2">
      <c r="E193" s="359"/>
      <c r="F193" s="359"/>
      <c r="G193" s="359"/>
      <c r="H193" s="359"/>
    </row>
  </sheetData>
  <mergeCells count="36">
    <mergeCell ref="B1:I1"/>
    <mergeCell ref="H22:I22"/>
    <mergeCell ref="C24:D24"/>
    <mergeCell ref="E24:F24"/>
    <mergeCell ref="K24:L24"/>
    <mergeCell ref="E97:F97"/>
    <mergeCell ref="B106:C106"/>
    <mergeCell ref="E106:F106"/>
    <mergeCell ref="G115:H115"/>
    <mergeCell ref="M26:M30"/>
    <mergeCell ref="A38:E38"/>
    <mergeCell ref="L72:M73"/>
    <mergeCell ref="M81:N81"/>
    <mergeCell ref="F26:F30"/>
    <mergeCell ref="I26:I30"/>
    <mergeCell ref="B66:C66"/>
    <mergeCell ref="D66:E66"/>
    <mergeCell ref="G66:H66"/>
    <mergeCell ref="B67:C67"/>
    <mergeCell ref="D67:E67"/>
    <mergeCell ref="F188:G188"/>
    <mergeCell ref="G189:H189"/>
    <mergeCell ref="B62:C62"/>
    <mergeCell ref="D62:E62"/>
    <mergeCell ref="F62:G62"/>
    <mergeCell ref="B63:C63"/>
    <mergeCell ref="D63:E63"/>
    <mergeCell ref="C116:D116"/>
    <mergeCell ref="D127:D128"/>
    <mergeCell ref="G137:H137"/>
    <mergeCell ref="G138:H138"/>
    <mergeCell ref="D140:D143"/>
    <mergeCell ref="D178:D179"/>
    <mergeCell ref="G145:H145"/>
    <mergeCell ref="B82:C82"/>
    <mergeCell ref="B97:C97"/>
  </mergeCells>
  <pageMargins left="0.75" right="0.75" top="1" bottom="1" header="0.5" footer="0.5"/>
  <pageSetup paperSize="9" orientation="landscape" horizontalDpi="4294967293" verticalDpi="1200" r:id="rId1"/>
  <headerFooter alignWithMargins="0"/>
  <drawing r:id="rId2"/>
  <legacyDrawing r:id="rId3"/>
  <oleObjects>
    <mc:AlternateContent xmlns:mc="http://schemas.openxmlformats.org/markup-compatibility/2006">
      <mc:Choice Requires="x14">
        <oleObject progId="Equation.3" shapeId="338945" r:id="rId4">
          <objectPr defaultSize="0" autoPict="0" r:id="rId5">
            <anchor moveWithCells="1" sizeWithCells="1">
              <from>
                <xdr:col>5</xdr:col>
                <xdr:colOff>219075</xdr:colOff>
                <xdr:row>61</xdr:row>
                <xdr:rowOff>19050</xdr:rowOff>
              </from>
              <to>
                <xdr:col>6</xdr:col>
                <xdr:colOff>285750</xdr:colOff>
                <xdr:row>62</xdr:row>
                <xdr:rowOff>0</xdr:rowOff>
              </to>
            </anchor>
          </objectPr>
        </oleObject>
      </mc:Choice>
      <mc:Fallback>
        <oleObject progId="Equation.3" shapeId="338945" r:id="rId4"/>
      </mc:Fallback>
    </mc:AlternateContent>
    <mc:AlternateContent xmlns:mc="http://schemas.openxmlformats.org/markup-compatibility/2006">
      <mc:Choice Requires="x14">
        <oleObject progId="Equation.3" shapeId="338948" r:id="rId6">
          <objectPr defaultSize="0" autoPict="0" r:id="rId7">
            <anchor moveWithCells="1" sizeWithCells="1">
              <from>
                <xdr:col>6</xdr:col>
                <xdr:colOff>238125</xdr:colOff>
                <xdr:row>65</xdr:row>
                <xdr:rowOff>19050</xdr:rowOff>
              </from>
              <to>
                <xdr:col>7</xdr:col>
                <xdr:colOff>381000</xdr:colOff>
                <xdr:row>66</xdr:row>
                <xdr:rowOff>0</xdr:rowOff>
              </to>
            </anchor>
          </objectPr>
        </oleObject>
      </mc:Choice>
      <mc:Fallback>
        <oleObject progId="Equation.3" shapeId="338948" r:id="rId6"/>
      </mc:Fallback>
    </mc:AlternateContent>
  </oleObjec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L578"/>
  <sheetViews>
    <sheetView tabSelected="1" showRuler="0" topLeftCell="A224" zoomScaleNormal="100" zoomScaleSheetLayoutView="100" workbookViewId="0">
      <selection activeCell="F250" sqref="F250:G250"/>
    </sheetView>
  </sheetViews>
  <sheetFormatPr defaultRowHeight="14.25" x14ac:dyDescent="0.2"/>
  <cols>
    <col min="1" max="1" width="7.140625" style="1" customWidth="1"/>
    <col min="2" max="2" width="8" style="1" customWidth="1"/>
    <col min="3" max="3" width="19.140625" style="1" customWidth="1"/>
    <col min="4" max="4" width="18.5703125" style="1" customWidth="1"/>
    <col min="5" max="5" width="8" style="261" customWidth="1"/>
    <col min="6" max="6" width="8" style="1" customWidth="1"/>
    <col min="7" max="7" width="7.7109375" style="1" customWidth="1"/>
    <col min="8" max="8" width="10.7109375" style="1" customWidth="1"/>
    <col min="9" max="9" width="10.42578125" style="1" customWidth="1"/>
    <col min="10" max="10" width="11.140625" style="1" customWidth="1"/>
    <col min="11" max="11" width="10.140625" style="1" customWidth="1"/>
    <col min="12" max="12" width="8.5703125" style="1" customWidth="1"/>
    <col min="13" max="13" width="6.85546875" style="1" customWidth="1"/>
    <col min="14" max="14" width="14.5703125" style="1" customWidth="1"/>
    <col min="15" max="15" width="13.42578125" style="1" customWidth="1"/>
    <col min="16" max="16" width="16.28515625" style="1" customWidth="1"/>
    <col min="17" max="17" width="13.7109375" style="1" customWidth="1"/>
    <col min="18" max="18" width="9.140625" style="1" customWidth="1"/>
    <col min="19" max="19" width="8.85546875" style="1" customWidth="1"/>
    <col min="20" max="20" width="5.85546875" style="1" customWidth="1"/>
    <col min="21" max="21" width="11.5703125" style="1" customWidth="1"/>
    <col min="22" max="33" width="9.140625" style="1" customWidth="1"/>
    <col min="34" max="16384" width="9.140625" style="1"/>
  </cols>
  <sheetData>
    <row r="1" spans="1:27" ht="15" x14ac:dyDescent="0.25">
      <c r="A1" s="721" t="s">
        <v>345</v>
      </c>
      <c r="B1" s="721"/>
      <c r="C1" s="721"/>
      <c r="D1" s="721"/>
      <c r="E1" s="721"/>
      <c r="F1" s="721"/>
      <c r="G1" s="721"/>
      <c r="H1" s="721"/>
      <c r="I1" s="721"/>
      <c r="J1" s="721"/>
      <c r="K1" s="721"/>
      <c r="L1" s="1">
        <v>10</v>
      </c>
      <c r="S1" s="1" t="s">
        <v>148</v>
      </c>
    </row>
    <row r="2" spans="1:27" x14ac:dyDescent="0.2">
      <c r="S2" s="1" t="s">
        <v>149</v>
      </c>
    </row>
    <row r="3" spans="1:27" x14ac:dyDescent="0.2">
      <c r="S3" s="1" t="s">
        <v>150</v>
      </c>
    </row>
    <row r="4" spans="1:27" ht="15" customHeight="1" x14ac:dyDescent="0.2">
      <c r="L4" s="696" t="s">
        <v>102</v>
      </c>
      <c r="M4" s="696"/>
      <c r="N4" s="696"/>
      <c r="O4" s="696"/>
      <c r="P4" s="696"/>
      <c r="S4" s="1" t="s">
        <v>151</v>
      </c>
    </row>
    <row r="5" spans="1:27" x14ac:dyDescent="0.2">
      <c r="L5" s="564" t="s">
        <v>103</v>
      </c>
      <c r="M5" s="167">
        <v>25</v>
      </c>
      <c r="N5" s="168" t="s">
        <v>105</v>
      </c>
      <c r="O5" s="168"/>
      <c r="P5" s="170"/>
      <c r="S5" s="1" t="s">
        <v>152</v>
      </c>
    </row>
    <row r="6" spans="1:27" x14ac:dyDescent="0.2">
      <c r="L6" s="564" t="s">
        <v>104</v>
      </c>
      <c r="M6" s="167">
        <v>420</v>
      </c>
      <c r="N6" s="168" t="s">
        <v>105</v>
      </c>
      <c r="O6" s="168"/>
      <c r="P6" s="170"/>
      <c r="S6" s="1" t="s">
        <v>153</v>
      </c>
    </row>
    <row r="7" spans="1:27" x14ac:dyDescent="0.2">
      <c r="L7" s="564" t="s">
        <v>181</v>
      </c>
      <c r="M7" s="169">
        <v>0.05</v>
      </c>
      <c r="N7" s="168" t="s">
        <v>11</v>
      </c>
      <c r="O7" s="168"/>
      <c r="P7" s="170"/>
    </row>
    <row r="8" spans="1:27" x14ac:dyDescent="0.2">
      <c r="L8" s="564" t="s">
        <v>106</v>
      </c>
      <c r="M8" s="169">
        <v>3.11</v>
      </c>
      <c r="N8" s="168" t="s">
        <v>105</v>
      </c>
      <c r="O8" s="168"/>
      <c r="P8" s="170"/>
    </row>
    <row r="9" spans="1:27" x14ac:dyDescent="0.2">
      <c r="L9" s="170"/>
      <c r="M9" s="170"/>
      <c r="N9" s="170"/>
      <c r="O9" s="170"/>
      <c r="P9" s="170"/>
      <c r="R9" s="1" t="s">
        <v>170</v>
      </c>
      <c r="U9" s="12"/>
      <c r="V9" s="74"/>
      <c r="W9" s="154"/>
    </row>
    <row r="10" spans="1:27" ht="15" x14ac:dyDescent="0.2">
      <c r="C10" s="15"/>
      <c r="L10" s="170" t="s">
        <v>107</v>
      </c>
      <c r="M10" s="170"/>
      <c r="N10" s="167">
        <v>26</v>
      </c>
      <c r="O10" s="167"/>
      <c r="P10" s="172">
        <v>15</v>
      </c>
      <c r="Q10" s="157" t="s">
        <v>169</v>
      </c>
      <c r="R10" s="74">
        <v>0</v>
      </c>
      <c r="S10" s="148">
        <v>12.5</v>
      </c>
      <c r="U10" s="12"/>
      <c r="V10" s="74"/>
      <c r="W10" s="154"/>
    </row>
    <row r="11" spans="1:27" x14ac:dyDescent="0.2">
      <c r="L11" s="170" t="s">
        <v>109</v>
      </c>
      <c r="M11" s="170"/>
      <c r="N11" s="167">
        <v>26</v>
      </c>
      <c r="O11" s="167"/>
      <c r="P11" s="172">
        <v>15</v>
      </c>
      <c r="Q11" s="157" t="s">
        <v>169</v>
      </c>
      <c r="R11" s="74">
        <v>0</v>
      </c>
      <c r="S11" s="148">
        <v>12.5</v>
      </c>
      <c r="U11" s="12"/>
      <c r="V11" s="74"/>
      <c r="W11" s="154"/>
    </row>
    <row r="12" spans="1:27" x14ac:dyDescent="0.2">
      <c r="L12" s="170" t="s">
        <v>108</v>
      </c>
      <c r="M12" s="170"/>
      <c r="N12" s="167">
        <v>26</v>
      </c>
      <c r="O12" s="167"/>
      <c r="P12" s="172">
        <v>15</v>
      </c>
      <c r="Q12" s="157" t="s">
        <v>169</v>
      </c>
      <c r="R12" s="75">
        <v>0</v>
      </c>
      <c r="S12" s="149">
        <v>12.5</v>
      </c>
    </row>
    <row r="13" spans="1:27" x14ac:dyDescent="0.2">
      <c r="L13" s="173" t="str">
        <f>A92</f>
        <v xml:space="preserve"> İNŞAAT SONU NORMAL DURUM STABİLİTE ANALİZİ (1.Durum)"</v>
      </c>
      <c r="M13" s="168"/>
      <c r="N13" s="168"/>
      <c r="O13" s="168"/>
      <c r="P13" s="168"/>
      <c r="Q13" s="95"/>
      <c r="R13" s="95"/>
      <c r="S13" s="95"/>
      <c r="T13" s="95"/>
      <c r="U13" s="95"/>
      <c r="V13" s="2"/>
      <c r="W13" s="2"/>
      <c r="X13" s="2"/>
      <c r="Y13" s="2"/>
      <c r="Z13" s="2"/>
      <c r="AA13" s="2"/>
    </row>
    <row r="14" spans="1:27" ht="18" x14ac:dyDescent="0.35">
      <c r="L14" s="174" t="s">
        <v>95</v>
      </c>
      <c r="M14" s="175" t="s">
        <v>72</v>
      </c>
      <c r="N14" s="563">
        <f>E137</f>
        <v>20.651476681797948</v>
      </c>
      <c r="O14" s="563"/>
      <c r="P14" s="563" t="str">
        <f>F137</f>
        <v>t/m²</v>
      </c>
      <c r="Q14" s="97" t="str">
        <f>G137</f>
        <v>&lt;</v>
      </c>
      <c r="R14" s="96" t="s">
        <v>75</v>
      </c>
      <c r="S14" s="98">
        <f t="shared" ref="S14:U15" si="0">I137</f>
        <v>400</v>
      </c>
      <c r="T14" s="98" t="str">
        <f t="shared" si="0"/>
        <v>t/m²</v>
      </c>
      <c r="U14" s="99" t="str">
        <f t="shared" si="0"/>
        <v>O.K.</v>
      </c>
      <c r="V14" s="2"/>
      <c r="W14" s="2"/>
      <c r="X14" s="2"/>
      <c r="Y14" s="2"/>
      <c r="Z14" s="2"/>
      <c r="AA14" s="2"/>
    </row>
    <row r="15" spans="1:27" ht="18" x14ac:dyDescent="0.35">
      <c r="L15" s="177"/>
      <c r="M15" s="175" t="s">
        <v>73</v>
      </c>
      <c r="N15" s="563">
        <f>E138</f>
        <v>7.829961455807374</v>
      </c>
      <c r="O15" s="563"/>
      <c r="P15" s="563" t="str">
        <f>F138</f>
        <v>t/m²</v>
      </c>
      <c r="Q15" s="101" t="str">
        <f>G138</f>
        <v>&gt;</v>
      </c>
      <c r="R15" s="100" t="s">
        <v>74</v>
      </c>
      <c r="S15" s="101">
        <f t="shared" si="0"/>
        <v>0</v>
      </c>
      <c r="T15" s="101" t="str">
        <f t="shared" si="0"/>
        <v>t/m²</v>
      </c>
      <c r="U15" s="102" t="str">
        <f t="shared" si="0"/>
        <v>O.K.</v>
      </c>
      <c r="V15" s="2"/>
      <c r="W15" s="2"/>
      <c r="X15" s="70"/>
      <c r="Y15" s="2"/>
      <c r="Z15" s="2"/>
      <c r="AA15" s="2"/>
    </row>
    <row r="16" spans="1:27" x14ac:dyDescent="0.2">
      <c r="L16" s="174" t="s">
        <v>96</v>
      </c>
      <c r="M16" s="552"/>
      <c r="N16" s="563">
        <f>E142</f>
        <v>4.8095301068015122</v>
      </c>
      <c r="O16" s="563"/>
      <c r="P16" s="563"/>
      <c r="Q16" s="104" t="str">
        <f>G142</f>
        <v>&gt;</v>
      </c>
      <c r="R16" s="104">
        <f>H142</f>
        <v>1.5</v>
      </c>
      <c r="S16" s="104"/>
      <c r="T16" s="103"/>
      <c r="U16" s="105" t="str">
        <f>I142</f>
        <v>O.K.</v>
      </c>
      <c r="V16" s="2"/>
      <c r="W16" s="2"/>
      <c r="X16" s="2"/>
      <c r="Y16" s="2"/>
      <c r="Z16" s="2"/>
      <c r="AA16" s="2"/>
    </row>
    <row r="17" spans="1:27" x14ac:dyDescent="0.2">
      <c r="L17" s="177" t="s">
        <v>97</v>
      </c>
      <c r="M17" s="552"/>
      <c r="N17" s="563">
        <f>F146</f>
        <v>2.9467355785255167</v>
      </c>
      <c r="O17" s="563"/>
      <c r="P17" s="563"/>
      <c r="Q17" s="104" t="str">
        <f>H146</f>
        <v>&gt;</v>
      </c>
      <c r="R17" s="104">
        <f>I146</f>
        <v>1.5</v>
      </c>
      <c r="S17" s="103"/>
      <c r="T17" s="103"/>
      <c r="U17" s="105" t="str">
        <f>J146</f>
        <v>O.K.</v>
      </c>
      <c r="V17" s="2"/>
      <c r="W17" s="2"/>
      <c r="X17" s="2"/>
      <c r="Y17" s="2"/>
      <c r="Z17" s="2"/>
      <c r="AA17" s="2"/>
    </row>
    <row r="18" spans="1:27" x14ac:dyDescent="0.2">
      <c r="L18" s="168"/>
      <c r="M18" s="168"/>
      <c r="N18" s="168"/>
      <c r="O18" s="168"/>
      <c r="P18" s="168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</row>
    <row r="19" spans="1:27" x14ac:dyDescent="0.2">
      <c r="L19" s="173" t="str">
        <f>A149</f>
        <v xml:space="preserve"> İNŞAAT SONU DEPREMLİ DURUM STABİLİTE ANALİZİ (2.Durum)"</v>
      </c>
      <c r="M19" s="168"/>
      <c r="N19" s="168"/>
      <c r="O19" s="168"/>
      <c r="P19" s="168"/>
      <c r="Q19" s="95"/>
      <c r="R19" s="95"/>
      <c r="S19" s="95"/>
      <c r="T19" s="95"/>
      <c r="U19" s="95"/>
      <c r="V19" s="2"/>
      <c r="W19" s="2"/>
      <c r="X19" s="2"/>
      <c r="Y19" s="2"/>
      <c r="Z19" s="2"/>
      <c r="AA19" s="2"/>
    </row>
    <row r="20" spans="1:27" ht="18" x14ac:dyDescent="0.35">
      <c r="A20" s="158"/>
      <c r="K20" s="150"/>
      <c r="L20" s="179" t="str">
        <f>L14</f>
        <v>gerilme</v>
      </c>
      <c r="M20" s="175" t="s">
        <v>72</v>
      </c>
      <c r="N20" s="180">
        <f>E193</f>
        <v>35.887669441246253</v>
      </c>
      <c r="O20" s="180"/>
      <c r="P20" s="181" t="str">
        <f>F193</f>
        <v>t/m²</v>
      </c>
      <c r="Q20" s="106" t="str">
        <f>G193</f>
        <v>&lt;</v>
      </c>
      <c r="R20" s="96" t="s">
        <v>75</v>
      </c>
      <c r="S20" s="107">
        <f t="shared" ref="S20:U21" si="1">I193</f>
        <v>400</v>
      </c>
      <c r="T20" s="106" t="str">
        <f t="shared" si="1"/>
        <v>t/m²</v>
      </c>
      <c r="U20" s="108" t="str">
        <f t="shared" si="1"/>
        <v>O.K.</v>
      </c>
      <c r="V20" s="2"/>
      <c r="W20" s="2"/>
      <c r="X20" s="2"/>
      <c r="Y20" s="2"/>
      <c r="Z20" s="2"/>
      <c r="AA20" s="2"/>
    </row>
    <row r="21" spans="1:27" s="2" customFormat="1" ht="14.25" customHeight="1" x14ac:dyDescent="0.35">
      <c r="A21" s="2" t="s">
        <v>0</v>
      </c>
      <c r="E21" s="193"/>
      <c r="H21" s="16" t="s">
        <v>1</v>
      </c>
      <c r="I21" s="72">
        <v>7.1</v>
      </c>
      <c r="J21" s="2" t="s">
        <v>11</v>
      </c>
      <c r="K21" s="151"/>
      <c r="L21" s="179"/>
      <c r="M21" s="175" t="s">
        <v>73</v>
      </c>
      <c r="N21" s="182">
        <f>E194</f>
        <v>0</v>
      </c>
      <c r="O21" s="182"/>
      <c r="P21" s="563" t="str">
        <f>F194</f>
        <v>t/m²</v>
      </c>
      <c r="Q21" s="109"/>
      <c r="R21" s="100" t="s">
        <v>74</v>
      </c>
      <c r="S21" s="110">
        <f t="shared" si="1"/>
        <v>0</v>
      </c>
      <c r="T21" s="110" t="str">
        <f t="shared" si="1"/>
        <v>t/m²</v>
      </c>
      <c r="U21" s="111" t="str">
        <f t="shared" si="1"/>
        <v>O.K.</v>
      </c>
    </row>
    <row r="22" spans="1:27" s="2" customFormat="1" ht="14.25" customHeight="1" x14ac:dyDescent="0.3">
      <c r="A22" s="2" t="s">
        <v>2</v>
      </c>
      <c r="E22" s="193"/>
      <c r="H22" s="16" t="s">
        <v>3</v>
      </c>
      <c r="I22" s="72">
        <v>1.5</v>
      </c>
      <c r="J22" s="2" t="s">
        <v>11</v>
      </c>
      <c r="K22" s="152">
        <f>hs/hw</f>
        <v>0.21126760563380284</v>
      </c>
      <c r="L22" s="179" t="str">
        <f>L16</f>
        <v>devrilme</v>
      </c>
      <c r="M22" s="183"/>
      <c r="N22" s="181">
        <f>E198</f>
        <v>2.1783519994836187</v>
      </c>
      <c r="O22" s="421">
        <f>+E270</f>
        <v>2.3607863169628693</v>
      </c>
      <c r="P22" s="181"/>
      <c r="Q22" s="113" t="str">
        <f>G198</f>
        <v>&gt;</v>
      </c>
      <c r="R22" s="113">
        <f>H198</f>
        <v>1.2</v>
      </c>
      <c r="S22" s="113"/>
      <c r="T22" s="113"/>
      <c r="U22" s="114" t="str">
        <f>I198</f>
        <v>O.K.</v>
      </c>
    </row>
    <row r="23" spans="1:27" s="2" customFormat="1" ht="14.25" customHeight="1" x14ac:dyDescent="0.2">
      <c r="A23" s="2" t="s">
        <v>4</v>
      </c>
      <c r="E23" s="193"/>
      <c r="H23" s="16" t="s">
        <v>5</v>
      </c>
      <c r="I23" s="200">
        <f>hw+hs</f>
        <v>8.6</v>
      </c>
      <c r="J23" s="2" t="s">
        <v>11</v>
      </c>
      <c r="K23" s="151"/>
      <c r="L23" s="179" t="str">
        <f>L17</f>
        <v>kayma</v>
      </c>
      <c r="M23" s="183"/>
      <c r="N23" s="181">
        <f>F203</f>
        <v>1.3413262645566981</v>
      </c>
      <c r="O23" s="421">
        <f>+F275</f>
        <v>1.2012349443270685</v>
      </c>
      <c r="P23" s="183"/>
      <c r="Q23" s="112" t="str">
        <f>H203</f>
        <v>&gt;</v>
      </c>
      <c r="R23" s="113">
        <f>I203</f>
        <v>1.2</v>
      </c>
      <c r="S23" s="112"/>
      <c r="T23" s="112"/>
      <c r="U23" s="114" t="str">
        <f>J203</f>
        <v>O.K.</v>
      </c>
    </row>
    <row r="24" spans="1:27" s="2" customFormat="1" ht="15.75" x14ac:dyDescent="0.3">
      <c r="A24" s="2" t="s">
        <v>214</v>
      </c>
      <c r="E24" s="193"/>
      <c r="H24" s="16" t="s">
        <v>215</v>
      </c>
      <c r="I24" s="72">
        <f>+bf+bt/2</f>
        <v>2.25</v>
      </c>
      <c r="K24" s="155"/>
      <c r="L24" s="168"/>
      <c r="M24" s="168"/>
      <c r="N24" s="168"/>
      <c r="O24" s="168"/>
      <c r="P24" s="168"/>
    </row>
    <row r="25" spans="1:27" s="2" customFormat="1" ht="14.25" customHeight="1" x14ac:dyDescent="0.3">
      <c r="A25" s="2" t="s">
        <v>12</v>
      </c>
      <c r="E25" s="193"/>
      <c r="H25" s="16" t="s">
        <v>8</v>
      </c>
      <c r="I25" s="72">
        <v>1</v>
      </c>
      <c r="J25" s="2" t="s">
        <v>11</v>
      </c>
      <c r="K25" s="151"/>
      <c r="L25" s="173" t="str">
        <f>A278</f>
        <v xml:space="preserve"> TAŞKIN HALİ NORMAL DURUM STABİLİTE ANALİZİ (3.Durum)"</v>
      </c>
      <c r="M25" s="168"/>
      <c r="N25" s="168"/>
      <c r="O25" s="168"/>
      <c r="P25" s="168"/>
      <c r="Q25" s="95"/>
      <c r="R25" s="95"/>
      <c r="S25" s="95"/>
      <c r="T25" s="95"/>
      <c r="U25" s="95"/>
    </row>
    <row r="26" spans="1:27" s="2" customFormat="1" ht="14.25" customHeight="1" x14ac:dyDescent="0.35">
      <c r="A26" s="2" t="s">
        <v>13</v>
      </c>
      <c r="D26" s="70">
        <f>hw/(bw-bt)</f>
        <v>1.4947368421052631</v>
      </c>
      <c r="E26" s="193"/>
      <c r="H26" s="16" t="s">
        <v>7</v>
      </c>
      <c r="I26" s="199">
        <v>5.75</v>
      </c>
      <c r="J26" s="2" t="s">
        <v>11</v>
      </c>
      <c r="K26" s="151">
        <f>(bw-bt)/hw</f>
        <v>0.66901408450704225</v>
      </c>
      <c r="L26" s="179" t="str">
        <f>L20</f>
        <v>gerilme</v>
      </c>
      <c r="M26" s="184" t="s">
        <v>72</v>
      </c>
      <c r="N26" s="181">
        <f>E323</f>
        <v>13.912865906956501</v>
      </c>
      <c r="O26" s="181"/>
      <c r="P26" s="185" t="str">
        <f>F323</f>
        <v>t/m²</v>
      </c>
      <c r="Q26" s="116" t="str">
        <f>G323</f>
        <v>&lt;</v>
      </c>
      <c r="R26" s="115" t="s">
        <v>75</v>
      </c>
      <c r="S26" s="117">
        <f t="shared" ref="S26:U27" si="2">I323</f>
        <v>400</v>
      </c>
      <c r="T26" s="118" t="str">
        <f t="shared" si="2"/>
        <v>t/m²</v>
      </c>
      <c r="U26" s="99" t="str">
        <f t="shared" si="2"/>
        <v>O.K.</v>
      </c>
    </row>
    <row r="27" spans="1:27" s="2" customFormat="1" ht="14.25" customHeight="1" x14ac:dyDescent="0.35">
      <c r="A27" s="2" t="s">
        <v>14</v>
      </c>
      <c r="E27" s="193"/>
      <c r="H27" s="16" t="s">
        <v>9</v>
      </c>
      <c r="I27" s="72">
        <v>0.5</v>
      </c>
      <c r="J27" s="2" t="s">
        <v>11</v>
      </c>
      <c r="K27" s="151"/>
      <c r="L27" s="179"/>
      <c r="M27" s="184" t="s">
        <v>73</v>
      </c>
      <c r="N27" s="181">
        <f>E324</f>
        <v>5.8262941727870183</v>
      </c>
      <c r="O27" s="181"/>
      <c r="P27" s="185" t="str">
        <f>F324</f>
        <v>t/m²</v>
      </c>
      <c r="Q27" s="121" t="str">
        <f>G324</f>
        <v>&gt;</v>
      </c>
      <c r="R27" s="119" t="s">
        <v>75</v>
      </c>
      <c r="S27" s="122">
        <f t="shared" si="2"/>
        <v>0</v>
      </c>
      <c r="T27" s="123" t="str">
        <f t="shared" si="2"/>
        <v>t/m²</v>
      </c>
      <c r="U27" s="124" t="str">
        <f t="shared" si="2"/>
        <v>O.K.</v>
      </c>
    </row>
    <row r="28" spans="1:27" s="2" customFormat="1" ht="14.25" customHeight="1" x14ac:dyDescent="0.3">
      <c r="A28" s="2" t="s">
        <v>15</v>
      </c>
      <c r="E28" s="193"/>
      <c r="H28" s="16" t="s">
        <v>10</v>
      </c>
      <c r="I28" s="72">
        <v>1.75</v>
      </c>
      <c r="J28" s="2" t="s">
        <v>11</v>
      </c>
      <c r="K28" s="151"/>
      <c r="L28" s="179" t="str">
        <f>L22</f>
        <v>devrilme</v>
      </c>
      <c r="M28" s="168"/>
      <c r="N28" s="181">
        <f>E328</f>
        <v>1.890942303627035</v>
      </c>
      <c r="O28" s="181"/>
      <c r="P28" s="183"/>
      <c r="Q28" s="112" t="str">
        <f>G328</f>
        <v>&gt;</v>
      </c>
      <c r="R28" s="113">
        <f>H328</f>
        <v>1.5</v>
      </c>
      <c r="S28" s="126"/>
      <c r="T28" s="125"/>
      <c r="U28" s="105" t="str">
        <f>I328</f>
        <v>O.K.</v>
      </c>
    </row>
    <row r="29" spans="1:27" s="2" customFormat="1" ht="14.25" customHeight="1" x14ac:dyDescent="0.2">
      <c r="A29" s="2" t="s">
        <v>16</v>
      </c>
      <c r="E29" s="193"/>
      <c r="H29" s="16" t="s">
        <v>6</v>
      </c>
      <c r="I29" s="85">
        <f>SUM(I26:I28)</f>
        <v>8</v>
      </c>
      <c r="J29" s="2" t="s">
        <v>11</v>
      </c>
      <c r="K29" s="151">
        <f>b/h</f>
        <v>0.93023255813953487</v>
      </c>
      <c r="L29" s="179" t="str">
        <f>L23</f>
        <v>kayma</v>
      </c>
      <c r="M29" s="168"/>
      <c r="N29" s="181">
        <f>F332</f>
        <v>1.538971715280131</v>
      </c>
      <c r="O29" s="181"/>
      <c r="P29" s="168"/>
      <c r="Q29" s="112" t="str">
        <f>H332</f>
        <v>&gt;</v>
      </c>
      <c r="R29" s="113">
        <f>I332</f>
        <v>1.5</v>
      </c>
      <c r="S29" s="126"/>
      <c r="T29" s="125"/>
      <c r="U29" s="105" t="str">
        <f>J332</f>
        <v>O.K.</v>
      </c>
    </row>
    <row r="30" spans="1:27" s="2" customFormat="1" ht="15.75" x14ac:dyDescent="0.3">
      <c r="A30" s="2" t="s">
        <v>216</v>
      </c>
      <c r="E30" s="193"/>
      <c r="H30" s="16" t="s">
        <v>217</v>
      </c>
      <c r="I30" s="72">
        <v>0</v>
      </c>
      <c r="K30" s="153"/>
      <c r="L30" s="168"/>
      <c r="M30" s="168"/>
      <c r="N30" s="168"/>
      <c r="O30" s="168"/>
      <c r="P30" s="168"/>
    </row>
    <row r="31" spans="1:27" s="2" customFormat="1" ht="15.75" x14ac:dyDescent="0.3">
      <c r="A31" s="2" t="s">
        <v>218</v>
      </c>
      <c r="E31" s="193"/>
      <c r="H31" s="16" t="s">
        <v>219</v>
      </c>
      <c r="I31" s="72">
        <v>0</v>
      </c>
      <c r="K31" s="153"/>
      <c r="L31" s="168"/>
      <c r="M31" s="168"/>
      <c r="N31" s="168"/>
      <c r="O31" s="168"/>
      <c r="P31" s="168"/>
    </row>
    <row r="32" spans="1:27" s="2" customFormat="1" ht="14.25" customHeight="1" x14ac:dyDescent="0.2">
      <c r="A32" s="193" t="s">
        <v>17</v>
      </c>
      <c r="B32" s="193"/>
      <c r="C32" s="193"/>
      <c r="D32" s="193"/>
      <c r="E32" s="193"/>
      <c r="F32" s="193"/>
      <c r="G32" s="193"/>
      <c r="H32" s="194" t="s">
        <v>18</v>
      </c>
      <c r="I32" s="195">
        <v>27.83</v>
      </c>
      <c r="J32" s="193" t="s">
        <v>19</v>
      </c>
      <c r="K32" s="153"/>
      <c r="L32" s="173" t="str">
        <f>A335</f>
        <v xml:space="preserve"> TAŞKIN SONU NORMAL DURUM STABİLİTE ANALİZİ (4.Durum)"</v>
      </c>
      <c r="M32" s="168"/>
      <c r="N32" s="168"/>
      <c r="O32" s="168"/>
      <c r="P32" s="168"/>
      <c r="Q32" s="95"/>
      <c r="R32" s="95"/>
      <c r="S32" s="95"/>
      <c r="T32" s="95"/>
      <c r="U32" s="95"/>
    </row>
    <row r="33" spans="1:27" s="2" customFormat="1" ht="14.25" customHeight="1" x14ac:dyDescent="0.35">
      <c r="A33" s="193" t="s">
        <v>20</v>
      </c>
      <c r="B33" s="193"/>
      <c r="C33" s="193"/>
      <c r="D33" s="193"/>
      <c r="E33" s="193"/>
      <c r="F33" s="193"/>
      <c r="G33" s="193"/>
      <c r="H33" s="194" t="s">
        <v>6</v>
      </c>
      <c r="I33" s="283">
        <f>ATAN((I26-I25)/I21)*180/PI()</f>
        <v>33.7830800733526</v>
      </c>
      <c r="J33" s="193" t="s">
        <v>19</v>
      </c>
      <c r="K33" s="153"/>
      <c r="L33" s="179" t="str">
        <f>L26</f>
        <v>gerilme</v>
      </c>
      <c r="M33" s="186" t="s">
        <v>72</v>
      </c>
      <c r="N33" s="181">
        <f>E375</f>
        <v>16.084118185525249</v>
      </c>
      <c r="O33" s="181"/>
      <c r="P33" s="181" t="str">
        <f>F375</f>
        <v>t/m²</v>
      </c>
      <c r="Q33" s="106" t="str">
        <f>G375</f>
        <v>&lt;</v>
      </c>
      <c r="R33" s="96" t="s">
        <v>75</v>
      </c>
      <c r="S33" s="98">
        <f t="shared" ref="S33:U34" si="3">I375</f>
        <v>400</v>
      </c>
      <c r="T33" s="98" t="str">
        <f t="shared" si="3"/>
        <v>t/m²</v>
      </c>
      <c r="U33" s="99" t="str">
        <f t="shared" si="3"/>
        <v>O.K.</v>
      </c>
    </row>
    <row r="34" spans="1:27" s="2" customFormat="1" ht="14.25" customHeight="1" x14ac:dyDescent="0.35">
      <c r="A34" s="193" t="s">
        <v>21</v>
      </c>
      <c r="B34" s="193"/>
      <c r="C34" s="193"/>
      <c r="D34" s="193"/>
      <c r="E34" s="193"/>
      <c r="F34" s="193"/>
      <c r="G34" s="193"/>
      <c r="H34" s="194" t="s">
        <v>22</v>
      </c>
      <c r="I34" s="195">
        <v>0</v>
      </c>
      <c r="J34" s="193" t="s">
        <v>19</v>
      </c>
      <c r="K34" s="153"/>
      <c r="L34" s="179"/>
      <c r="M34" s="186" t="s">
        <v>73</v>
      </c>
      <c r="N34" s="181">
        <f>E376</f>
        <v>9.9934278993919943</v>
      </c>
      <c r="O34" s="181"/>
      <c r="P34" s="181" t="str">
        <f>F376</f>
        <v>t/m²</v>
      </c>
      <c r="Q34" s="120" t="str">
        <f>G376</f>
        <v>&gt;</v>
      </c>
      <c r="R34" s="100" t="s">
        <v>74</v>
      </c>
      <c r="S34" s="127">
        <f t="shared" si="3"/>
        <v>0</v>
      </c>
      <c r="T34" s="127" t="str">
        <f t="shared" si="3"/>
        <v>t/m²</v>
      </c>
      <c r="U34" s="124" t="str">
        <f t="shared" si="3"/>
        <v>O.K.</v>
      </c>
    </row>
    <row r="35" spans="1:27" s="2" customFormat="1" ht="15" customHeight="1" x14ac:dyDescent="0.2">
      <c r="A35" s="193"/>
      <c r="B35" s="193"/>
      <c r="C35" s="193"/>
      <c r="D35" s="193"/>
      <c r="E35" s="193"/>
      <c r="F35" s="193"/>
      <c r="G35" s="193"/>
      <c r="H35" s="284" t="s">
        <v>42</v>
      </c>
      <c r="I35" s="285">
        <f>I32/2</f>
        <v>13.914999999999999</v>
      </c>
      <c r="J35" s="193" t="s">
        <v>19</v>
      </c>
      <c r="L35" s="179" t="str">
        <f>L28</f>
        <v>devrilme</v>
      </c>
      <c r="M35" s="168"/>
      <c r="N35" s="563">
        <f>E380</f>
        <v>3.1351229979106163</v>
      </c>
      <c r="O35" s="563"/>
      <c r="P35" s="183"/>
      <c r="Q35" s="112" t="str">
        <f>G380</f>
        <v>&gt;</v>
      </c>
      <c r="R35" s="113">
        <f>H380</f>
        <v>1.5</v>
      </c>
      <c r="S35" s="103"/>
      <c r="T35" s="103"/>
      <c r="U35" s="105" t="str">
        <f>I380</f>
        <v>O.K.</v>
      </c>
    </row>
    <row r="36" spans="1:27" s="2" customFormat="1" ht="15" customHeight="1" x14ac:dyDescent="0.2">
      <c r="A36" s="193" t="s">
        <v>23</v>
      </c>
      <c r="B36" s="193"/>
      <c r="C36" s="193"/>
      <c r="D36" s="193"/>
      <c r="E36" s="193"/>
      <c r="F36" s="193"/>
      <c r="G36" s="193"/>
      <c r="H36" s="196" t="s">
        <v>24</v>
      </c>
      <c r="I36" s="195">
        <v>1.1399999999999999</v>
      </c>
      <c r="J36" s="193" t="s">
        <v>25</v>
      </c>
      <c r="L36" s="179" t="str">
        <f>L29</f>
        <v>kayma</v>
      </c>
      <c r="M36" s="187"/>
      <c r="N36" s="181">
        <f>F384</f>
        <v>1.8939231654150519</v>
      </c>
      <c r="O36" s="181"/>
      <c r="P36" s="183"/>
      <c r="Q36" s="112" t="str">
        <f>H384</f>
        <v>&gt;</v>
      </c>
      <c r="R36" s="113">
        <f>I384</f>
        <v>1.5</v>
      </c>
      <c r="S36" s="103"/>
      <c r="T36" s="103"/>
      <c r="U36" s="105" t="str">
        <f>J384</f>
        <v>O.K.</v>
      </c>
    </row>
    <row r="37" spans="1:27" s="193" customFormat="1" x14ac:dyDescent="0.2">
      <c r="A37" s="193" t="s">
        <v>183</v>
      </c>
      <c r="H37" s="196" t="s">
        <v>26</v>
      </c>
      <c r="I37" s="197">
        <v>0.44600000000000001</v>
      </c>
      <c r="J37" s="193" t="s">
        <v>182</v>
      </c>
      <c r="L37" s="168"/>
      <c r="M37" s="168"/>
      <c r="N37" s="168"/>
      <c r="O37" s="168"/>
      <c r="P37" s="168"/>
    </row>
    <row r="38" spans="1:27" s="193" customFormat="1" ht="12.75" x14ac:dyDescent="0.2">
      <c r="A38" s="193" t="s">
        <v>79</v>
      </c>
      <c r="H38" s="196"/>
      <c r="I38" s="197">
        <f>A*2/3</f>
        <v>0.29733333333333334</v>
      </c>
      <c r="L38" s="442" t="str">
        <f>A387</f>
        <v xml:space="preserve"> KESİT HESAPLARI</v>
      </c>
      <c r="M38" s="168"/>
      <c r="N38" s="168"/>
      <c r="O38" s="168"/>
      <c r="P38" s="168"/>
    </row>
    <row r="39" spans="1:27" s="193" customFormat="1" ht="12.75" x14ac:dyDescent="0.2">
      <c r="A39" s="193" t="s">
        <v>39</v>
      </c>
      <c r="H39" s="196" t="s">
        <v>40</v>
      </c>
      <c r="I39" s="286">
        <v>1.5</v>
      </c>
      <c r="L39" s="168" t="s">
        <v>157</v>
      </c>
      <c r="M39" s="168"/>
      <c r="N39" s="168"/>
      <c r="O39" s="168"/>
      <c r="P39" s="168"/>
    </row>
    <row r="40" spans="1:27" s="2" customFormat="1" ht="12.75" x14ac:dyDescent="0.2">
      <c r="A40" s="193"/>
      <c r="B40" s="193"/>
      <c r="C40" s="193"/>
      <c r="D40" s="193"/>
      <c r="E40" s="193"/>
      <c r="F40" s="193"/>
      <c r="G40" s="193"/>
      <c r="H40" s="196"/>
      <c r="I40" s="287"/>
      <c r="J40" s="193"/>
      <c r="L40" s="168" t="s">
        <v>159</v>
      </c>
      <c r="M40" s="168"/>
      <c r="N40" s="168">
        <f>D449</f>
        <v>426.07499999999999</v>
      </c>
      <c r="O40" s="168"/>
      <c r="P40" s="168" t="str">
        <f>E449</f>
        <v>t/m</v>
      </c>
      <c r="Q40" s="128" t="str">
        <f>F449</f>
        <v xml:space="preserve"> &gt;      Vd =</v>
      </c>
      <c r="R40" s="128"/>
      <c r="S40" s="132">
        <f t="shared" ref="S40:U41" si="4">H449</f>
        <v>354.85992459689572</v>
      </c>
      <c r="T40" s="128" t="str">
        <f t="shared" si="4"/>
        <v>t/m</v>
      </c>
      <c r="U40" s="129" t="str">
        <f t="shared" si="4"/>
        <v>O.K.</v>
      </c>
    </row>
    <row r="41" spans="1:27" s="2" customFormat="1" ht="15.75" x14ac:dyDescent="0.3">
      <c r="A41" s="193" t="s">
        <v>27</v>
      </c>
      <c r="B41" s="193"/>
      <c r="C41" s="193"/>
      <c r="D41" s="193"/>
      <c r="E41" s="193"/>
      <c r="F41" s="193"/>
      <c r="G41" s="193"/>
      <c r="H41" s="194" t="s">
        <v>28</v>
      </c>
      <c r="I41" s="195">
        <v>2.4</v>
      </c>
      <c r="J41" s="193" t="s">
        <v>30</v>
      </c>
      <c r="L41" s="168"/>
      <c r="M41" s="168"/>
      <c r="N41" s="185">
        <f>D450</f>
        <v>1918.6200000000001</v>
      </c>
      <c r="O41" s="185"/>
      <c r="P41" s="185" t="str">
        <f>E450</f>
        <v>t/m</v>
      </c>
      <c r="Q41" s="130" t="str">
        <f>F450</f>
        <v xml:space="preserve"> &gt;      Vd =</v>
      </c>
      <c r="R41" s="130"/>
      <c r="S41" s="130">
        <f t="shared" si="4"/>
        <v>354.85992459689572</v>
      </c>
      <c r="T41" s="130" t="str">
        <f t="shared" si="4"/>
        <v>t/m</v>
      </c>
      <c r="U41" s="131" t="str">
        <f t="shared" si="4"/>
        <v>O.K.</v>
      </c>
    </row>
    <row r="42" spans="1:27" s="2" customFormat="1" ht="15.75" x14ac:dyDescent="0.3">
      <c r="A42" s="193" t="s">
        <v>31</v>
      </c>
      <c r="B42" s="193"/>
      <c r="C42" s="193"/>
      <c r="D42" s="193"/>
      <c r="E42" s="193"/>
      <c r="F42" s="193"/>
      <c r="G42" s="193"/>
      <c r="H42" s="194" t="s">
        <v>29</v>
      </c>
      <c r="I42" s="195">
        <v>1</v>
      </c>
      <c r="J42" s="193" t="s">
        <v>30</v>
      </c>
      <c r="L42" s="168" t="s">
        <v>158</v>
      </c>
      <c r="M42" s="168"/>
      <c r="N42" s="185">
        <f>D506</f>
        <v>108.38749999999999</v>
      </c>
      <c r="O42" s="185"/>
      <c r="P42" s="185" t="str">
        <f>E506</f>
        <v>t/m</v>
      </c>
      <c r="Q42" s="132" t="str">
        <f>F506</f>
        <v xml:space="preserve"> &gt;     Vd =</v>
      </c>
      <c r="R42" s="132"/>
      <c r="S42" s="132">
        <f t="shared" ref="S42:U43" si="5">H506</f>
        <v>83.919835832723678</v>
      </c>
      <c r="T42" s="132" t="str">
        <f t="shared" si="5"/>
        <v>t/m</v>
      </c>
      <c r="U42" s="133" t="str">
        <f t="shared" si="5"/>
        <v>O.K.</v>
      </c>
    </row>
    <row r="43" spans="1:27" s="2" customFormat="1" ht="15.75" x14ac:dyDescent="0.3">
      <c r="A43" s="193" t="s">
        <v>32</v>
      </c>
      <c r="B43" s="193"/>
      <c r="C43" s="193"/>
      <c r="D43" s="193"/>
      <c r="E43" s="193"/>
      <c r="F43" s="193"/>
      <c r="G43" s="193"/>
      <c r="H43" s="194" t="s">
        <v>33</v>
      </c>
      <c r="I43" s="195">
        <v>2</v>
      </c>
      <c r="J43" s="193" t="s">
        <v>30</v>
      </c>
      <c r="L43" s="168"/>
      <c r="M43" s="168"/>
      <c r="N43" s="185">
        <f>D507</f>
        <v>488.07</v>
      </c>
      <c r="O43" s="185"/>
      <c r="P43" s="185" t="str">
        <f>E507</f>
        <v>t/m</v>
      </c>
      <c r="Q43" s="130" t="str">
        <f>F507</f>
        <v xml:space="preserve"> &gt;     Vd =</v>
      </c>
      <c r="R43" s="130"/>
      <c r="S43" s="130">
        <f t="shared" si="5"/>
        <v>83.919835832723678</v>
      </c>
      <c r="T43" s="130" t="str">
        <f t="shared" si="5"/>
        <v>t/m</v>
      </c>
      <c r="U43" s="131" t="str">
        <f t="shared" si="5"/>
        <v>O.K.</v>
      </c>
    </row>
    <row r="44" spans="1:27" s="2" customFormat="1" ht="15.75" x14ac:dyDescent="0.3">
      <c r="A44" s="193" t="s">
        <v>34</v>
      </c>
      <c r="B44" s="193"/>
      <c r="C44" s="193"/>
      <c r="D44" s="193"/>
      <c r="E44" s="193"/>
      <c r="F44" s="193"/>
      <c r="G44" s="193"/>
      <c r="H44" s="194" t="s">
        <v>35</v>
      </c>
      <c r="I44" s="195">
        <v>1.8</v>
      </c>
      <c r="J44" s="193" t="s">
        <v>30</v>
      </c>
      <c r="L44" s="168" t="s">
        <v>161</v>
      </c>
      <c r="M44" s="168"/>
      <c r="N44" s="185">
        <f>D564</f>
        <v>108.38749999999999</v>
      </c>
      <c r="O44" s="185"/>
      <c r="P44" s="185" t="str">
        <f>E564</f>
        <v>t/m</v>
      </c>
      <c r="Q44" s="132" t="str">
        <f>F564</f>
        <v xml:space="preserve"> &gt;     Vd =</v>
      </c>
      <c r="R44" s="132"/>
      <c r="S44" s="132">
        <f>H564</f>
        <v>19.190621478125241</v>
      </c>
      <c r="T44" s="132" t="e">
        <f>#REF!</f>
        <v>#REF!</v>
      </c>
      <c r="U44" s="133" t="str">
        <f>J564</f>
        <v>O.K.</v>
      </c>
    </row>
    <row r="45" spans="1:27" s="2" customFormat="1" ht="14.25" customHeight="1" x14ac:dyDescent="0.2">
      <c r="A45" s="193" t="s">
        <v>36</v>
      </c>
      <c r="B45" s="193"/>
      <c r="C45" s="193"/>
      <c r="D45" s="193"/>
      <c r="E45" s="193"/>
      <c r="F45" s="193"/>
      <c r="G45" s="193"/>
      <c r="H45" s="196" t="s">
        <v>37</v>
      </c>
      <c r="I45" s="195">
        <v>0</v>
      </c>
      <c r="J45" s="193" t="s">
        <v>30</v>
      </c>
      <c r="L45" s="188"/>
      <c r="M45" s="188"/>
      <c r="N45" s="189">
        <f>D565</f>
        <v>488.07</v>
      </c>
      <c r="O45" s="189"/>
      <c r="P45" s="189" t="str">
        <f>E565</f>
        <v>t/m</v>
      </c>
      <c r="Q45" s="135" t="str">
        <f>F565</f>
        <v xml:space="preserve"> &gt;     Vd =</v>
      </c>
      <c r="R45" s="134"/>
      <c r="S45" s="134">
        <f>H565</f>
        <v>19.190621478125241</v>
      </c>
      <c r="T45" s="134" t="str">
        <f>I565</f>
        <v>t/m</v>
      </c>
      <c r="U45" s="136" t="str">
        <f>J565</f>
        <v>O.K.</v>
      </c>
    </row>
    <row r="46" spans="1:27" s="2" customFormat="1" ht="12.75" x14ac:dyDescent="0.2">
      <c r="A46" s="193"/>
      <c r="B46" s="193"/>
      <c r="C46" s="193"/>
      <c r="D46" s="193"/>
      <c r="E46" s="193"/>
      <c r="F46" s="193"/>
      <c r="G46" s="193"/>
      <c r="H46" s="193"/>
      <c r="I46" s="193"/>
      <c r="J46" s="193"/>
      <c r="L46" s="168" t="s">
        <v>160</v>
      </c>
      <c r="M46" s="168"/>
      <c r="N46" s="168"/>
      <c r="O46" s="168"/>
      <c r="P46" s="168"/>
      <c r="Q46" s="137"/>
      <c r="R46" s="137"/>
      <c r="S46" s="137"/>
      <c r="T46" s="137"/>
      <c r="U46" s="137"/>
    </row>
    <row r="47" spans="1:27" s="193" customFormat="1" ht="12.75" x14ac:dyDescent="0.2">
      <c r="A47" s="193" t="s">
        <v>38</v>
      </c>
      <c r="H47" s="225" t="s">
        <v>190</v>
      </c>
      <c r="I47" s="195">
        <v>0.65</v>
      </c>
      <c r="J47" s="288"/>
      <c r="L47" s="168" t="s">
        <v>159</v>
      </c>
      <c r="M47" s="168"/>
      <c r="N47" s="182">
        <f>E453</f>
        <v>0</v>
      </c>
      <c r="O47" s="182"/>
      <c r="P47" s="552">
        <f>F453</f>
        <v>0</v>
      </c>
      <c r="Q47" s="316">
        <f>G453</f>
        <v>0</v>
      </c>
      <c r="R47" s="317"/>
      <c r="S47" s="318">
        <f>I453</f>
        <v>0</v>
      </c>
      <c r="T47" s="317">
        <f>J453</f>
        <v>0</v>
      </c>
      <c r="U47" s="319">
        <f>K453</f>
        <v>0</v>
      </c>
      <c r="V47" s="320"/>
      <c r="W47" s="320"/>
      <c r="X47" s="320"/>
      <c r="Y47" s="320"/>
      <c r="Z47" s="320"/>
      <c r="AA47" s="320"/>
    </row>
    <row r="48" spans="1:27" s="193" customFormat="1" ht="15.75" x14ac:dyDescent="0.25">
      <c r="H48" s="194"/>
      <c r="I48" s="195"/>
      <c r="L48" s="168"/>
      <c r="M48" s="170"/>
      <c r="N48" s="190" t="e">
        <f>#REF!</f>
        <v>#REF!</v>
      </c>
      <c r="O48" s="190"/>
      <c r="P48" s="570" t="e">
        <f>#REF!</f>
        <v>#REF!</v>
      </c>
      <c r="Q48" s="321" t="e">
        <f>#REF!</f>
        <v>#REF!</v>
      </c>
      <c r="R48" s="322" t="s">
        <v>154</v>
      </c>
      <c r="S48" s="323" t="e">
        <f>#REF!</f>
        <v>#REF!</v>
      </c>
      <c r="T48" s="321" t="e">
        <f>#REF!</f>
        <v>#REF!</v>
      </c>
      <c r="U48" s="324" t="e">
        <f>#REF!</f>
        <v>#REF!</v>
      </c>
    </row>
    <row r="49" spans="1:27" s="193" customFormat="1" ht="15.75" x14ac:dyDescent="0.3">
      <c r="A49" s="193" t="s">
        <v>51</v>
      </c>
      <c r="H49" s="194" t="s">
        <v>52</v>
      </c>
      <c r="I49" s="289">
        <v>400</v>
      </c>
      <c r="J49" s="193" t="s">
        <v>25</v>
      </c>
      <c r="L49" s="168" t="s">
        <v>158</v>
      </c>
      <c r="M49" s="168"/>
      <c r="N49" s="182" t="e">
        <f>#REF!</f>
        <v>#REF!</v>
      </c>
      <c r="O49" s="182"/>
      <c r="P49" s="182" t="e">
        <f>#REF!</f>
        <v>#REF!</v>
      </c>
      <c r="Q49" s="325" t="e">
        <f>#REF!</f>
        <v>#REF!</v>
      </c>
      <c r="R49" s="318"/>
      <c r="S49" s="318" t="e">
        <f>#REF!</f>
        <v>#REF!</v>
      </c>
      <c r="T49" s="318" t="e">
        <f>#REF!</f>
        <v>#REF!</v>
      </c>
      <c r="U49" s="326" t="e">
        <f>#REF!</f>
        <v>#REF!</v>
      </c>
      <c r="V49" s="261"/>
    </row>
    <row r="50" spans="1:27" s="2" customFormat="1" x14ac:dyDescent="0.2">
      <c r="A50" s="193"/>
      <c r="B50" s="193"/>
      <c r="C50" s="193"/>
      <c r="D50" s="193"/>
      <c r="E50" s="193"/>
      <c r="F50" s="193"/>
      <c r="G50" s="193"/>
      <c r="H50" s="194"/>
      <c r="I50" s="289"/>
      <c r="J50" s="193"/>
      <c r="L50" s="168"/>
      <c r="M50" s="168"/>
      <c r="N50" s="182"/>
      <c r="O50" s="182"/>
      <c r="P50" s="182"/>
      <c r="Q50" s="201"/>
      <c r="R50" s="202"/>
      <c r="S50" s="202"/>
      <c r="T50" s="202"/>
      <c r="U50" s="203"/>
      <c r="V50" s="1"/>
    </row>
    <row r="51" spans="1:27" s="2" customFormat="1" ht="15.75" x14ac:dyDescent="0.2">
      <c r="A51" s="2" t="s">
        <v>185</v>
      </c>
      <c r="E51" s="193"/>
      <c r="H51" s="16" t="s">
        <v>186</v>
      </c>
      <c r="I51" s="72">
        <v>1.1000000000000001</v>
      </c>
      <c r="J51" s="2" t="s">
        <v>11</v>
      </c>
      <c r="L51" s="168"/>
      <c r="M51" s="168"/>
      <c r="N51" s="182" t="e">
        <f>#REF!</f>
        <v>#REF!</v>
      </c>
      <c r="O51" s="182"/>
      <c r="P51" s="182" t="e">
        <f>#REF!</f>
        <v>#REF!</v>
      </c>
      <c r="Q51" s="142" t="e">
        <f>#REF!</f>
        <v>#REF!</v>
      </c>
      <c r="R51" s="141" t="s">
        <v>154</v>
      </c>
      <c r="S51" s="142" t="e">
        <f>#REF!</f>
        <v>#REF!</v>
      </c>
      <c r="T51" s="142" t="e">
        <f>#REF!</f>
        <v>#REF!</v>
      </c>
      <c r="U51" s="143" t="e">
        <f>#REF!</f>
        <v>#REF!</v>
      </c>
      <c r="V51" s="1"/>
    </row>
    <row r="52" spans="1:27" s="2" customFormat="1" ht="15.75" x14ac:dyDescent="0.3">
      <c r="A52" s="2" t="s">
        <v>172</v>
      </c>
      <c r="E52" s="193"/>
      <c r="H52" s="16" t="s">
        <v>171</v>
      </c>
      <c r="I52" s="199">
        <f>hs</f>
        <v>1.5</v>
      </c>
      <c r="J52" s="2" t="s">
        <v>11</v>
      </c>
      <c r="L52" s="168" t="s">
        <v>161</v>
      </c>
      <c r="M52" s="168"/>
      <c r="N52" s="182" t="e">
        <f>#REF!</f>
        <v>#REF!</v>
      </c>
      <c r="O52" s="182"/>
      <c r="P52" s="552" t="e">
        <f>#REF!</f>
        <v>#REF!</v>
      </c>
      <c r="Q52" s="139" t="e">
        <f>#REF!</f>
        <v>#REF!</v>
      </c>
      <c r="R52" s="138"/>
      <c r="S52" s="138" t="e">
        <f>#REF!</f>
        <v>#REF!</v>
      </c>
      <c r="T52" s="138" t="e">
        <f>#REF!</f>
        <v>#REF!</v>
      </c>
      <c r="U52" s="140" t="e">
        <f>#REF!</f>
        <v>#REF!</v>
      </c>
      <c r="W52" s="1"/>
      <c r="X52" s="1"/>
      <c r="Y52" s="1"/>
      <c r="Z52" s="1"/>
      <c r="AA52" s="1"/>
    </row>
    <row r="53" spans="1:27" s="2" customFormat="1" ht="16.5" thickBot="1" x14ac:dyDescent="0.35">
      <c r="A53" s="2" t="s">
        <v>88</v>
      </c>
      <c r="E53" s="193"/>
      <c r="H53" s="16" t="s">
        <v>90</v>
      </c>
      <c r="I53" s="199">
        <f>L54+hs</f>
        <v>6.62</v>
      </c>
      <c r="J53" s="2" t="s">
        <v>11</v>
      </c>
      <c r="L53" s="188"/>
      <c r="M53" s="168"/>
      <c r="N53" s="182">
        <f>C572</f>
        <v>0</v>
      </c>
      <c r="O53" s="182"/>
      <c r="P53" s="182">
        <f>D572</f>
        <v>0.25</v>
      </c>
      <c r="Q53" s="142">
        <f>E572</f>
        <v>0</v>
      </c>
      <c r="R53" s="141" t="s">
        <v>154</v>
      </c>
      <c r="S53" s="142">
        <f>G572</f>
        <v>0</v>
      </c>
      <c r="T53" s="142">
        <f>H572</f>
        <v>0</v>
      </c>
      <c r="U53" s="143">
        <f>I572</f>
        <v>0</v>
      </c>
    </row>
    <row r="54" spans="1:27" s="2" customFormat="1" ht="16.5" thickBot="1" x14ac:dyDescent="0.35">
      <c r="A54" s="2" t="s">
        <v>89</v>
      </c>
      <c r="E54" s="193"/>
      <c r="H54" s="16" t="s">
        <v>91</v>
      </c>
      <c r="I54" s="200">
        <f>ROUND(MAX(hsui+L54/3,hsui),2)</f>
        <v>3.21</v>
      </c>
      <c r="J54" s="2" t="s">
        <v>11</v>
      </c>
      <c r="L54" s="269">
        <v>5.12</v>
      </c>
      <c r="M54" s="2" t="s">
        <v>184</v>
      </c>
    </row>
    <row r="55" spans="1:27" s="2" customFormat="1" ht="12.75" x14ac:dyDescent="0.2">
      <c r="E55" s="193"/>
      <c r="H55" s="16"/>
      <c r="I55" s="73"/>
      <c r="L55" s="271"/>
    </row>
    <row r="56" spans="1:27" s="2" customFormat="1" ht="5.25" customHeight="1" x14ac:dyDescent="0.2">
      <c r="E56" s="193"/>
      <c r="H56" s="16"/>
      <c r="I56" s="19"/>
    </row>
    <row r="57" spans="1:27" s="2" customFormat="1" ht="13.5" customHeight="1" x14ac:dyDescent="0.2">
      <c r="A57" s="20" t="s">
        <v>137</v>
      </c>
      <c r="E57" s="193"/>
      <c r="H57" s="16"/>
      <c r="I57" s="19"/>
    </row>
    <row r="58" spans="1:27" s="14" customFormat="1" ht="27.75" customHeight="1" x14ac:dyDescent="0.25">
      <c r="A58" s="722" t="s">
        <v>138</v>
      </c>
      <c r="B58" s="722"/>
      <c r="C58" s="722" t="s">
        <v>139</v>
      </c>
      <c r="D58" s="722"/>
      <c r="E58" s="457" t="s">
        <v>163</v>
      </c>
      <c r="F58" s="21" t="s">
        <v>164</v>
      </c>
      <c r="G58" s="21" t="s">
        <v>165</v>
      </c>
      <c r="H58" s="21" t="s">
        <v>166</v>
      </c>
      <c r="I58" s="21" t="s">
        <v>140</v>
      </c>
      <c r="J58" s="21" t="s">
        <v>141</v>
      </c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</row>
    <row r="59" spans="1:27" s="2" customFormat="1" ht="13.5" customHeight="1" x14ac:dyDescent="0.2">
      <c r="A59" s="723" t="str">
        <f>"C"&amp;M5</f>
        <v>C25</v>
      </c>
      <c r="B59" s="724"/>
      <c r="C59" s="723" t="str">
        <f>"C"&amp;M6</f>
        <v>C420</v>
      </c>
      <c r="D59" s="724"/>
      <c r="E59" s="458">
        <f>IF(fc=16,0.16,IF(fc=20,0.2,IF(fc=25,0.25,"X")))</f>
        <v>0.25</v>
      </c>
      <c r="F59" s="146">
        <f>IF(fc=16,0.11,IF(fc=20,0.13,IF(fc=25,0.17,"X")))</f>
        <v>0.17</v>
      </c>
      <c r="G59" s="147">
        <f>IF(fc=16,0.014,IF(fc=20,0.016,IF(fc=25,0.018,"X")))</f>
        <v>1.7999999999999999E-2</v>
      </c>
      <c r="H59" s="147">
        <f>IF(fc=16,0.009,IF(fc=20,0.01,IF(fc=25,0.0115,"X")))</f>
        <v>1.15E-2</v>
      </c>
      <c r="I59" s="146">
        <f>IF(fy=220,2.2,IF(fy=420,4.2,"X"))</f>
        <v>4.2</v>
      </c>
      <c r="J59" s="146">
        <f>IF(fy=220,1.91,IF(fy=420,3.65,"X"))</f>
        <v>3.65</v>
      </c>
    </row>
    <row r="60" spans="1:27" s="2" customFormat="1" ht="13.5" customHeight="1" x14ac:dyDescent="0.2">
      <c r="A60" s="145" t="s">
        <v>167</v>
      </c>
      <c r="E60" s="193"/>
      <c r="H60" s="18"/>
      <c r="I60" s="17"/>
    </row>
    <row r="61" spans="1:27" ht="21.75" customHeight="1" x14ac:dyDescent="0.25">
      <c r="A61" s="22" t="s">
        <v>53</v>
      </c>
      <c r="B61" s="549"/>
      <c r="C61" s="549"/>
      <c r="D61" s="549"/>
      <c r="E61" s="459"/>
      <c r="F61" s="549"/>
      <c r="G61" s="549"/>
      <c r="H61" s="549"/>
      <c r="I61" s="549"/>
      <c r="J61" s="549"/>
      <c r="K61" s="549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</row>
    <row r="62" spans="1:27" s="2" customFormat="1" ht="12.75" x14ac:dyDescent="0.2">
      <c r="A62" s="24"/>
      <c r="B62" s="24"/>
      <c r="C62" s="24"/>
      <c r="D62" s="24"/>
      <c r="E62" s="460"/>
      <c r="F62" s="24"/>
      <c r="G62" s="24"/>
      <c r="H62" s="24"/>
      <c r="I62" s="24"/>
      <c r="J62" s="24"/>
      <c r="K62" s="24"/>
    </row>
    <row r="63" spans="1:27" s="2" customFormat="1" ht="15.75" x14ac:dyDescent="0.3">
      <c r="A63" s="25"/>
      <c r="B63" s="24"/>
      <c r="C63" s="24"/>
      <c r="D63" s="24"/>
      <c r="E63" s="460"/>
      <c r="F63" s="24"/>
      <c r="G63" s="24"/>
      <c r="I63" s="16" t="s">
        <v>41</v>
      </c>
      <c r="J63" s="77">
        <f>COS(fi*PI()/180-beta*PI()/180)^2/(COS(beta*PI()/180)^2*COS(delta*PI()/180+beta*PI()/180)*(1+SQRT((SIN(fi*PI()/180+delta*PI()/180)*SIN(fi*PI()/180-alfa*PI()/180))/(COS(delta*PI()/180+beta*PI()/180)*COS(beta*PI()/180-alfa*PI()/180))))^2)</f>
        <v>0.69839583222809987</v>
      </c>
    </row>
    <row r="64" spans="1:27" s="2" customFormat="1" ht="12.75" x14ac:dyDescent="0.2">
      <c r="A64" s="24"/>
      <c r="B64" s="24"/>
      <c r="C64" s="24"/>
      <c r="D64" s="24"/>
      <c r="E64" s="460"/>
      <c r="F64" s="24"/>
      <c r="G64" s="24"/>
      <c r="H64" s="24"/>
      <c r="J64" s="78"/>
    </row>
    <row r="65" spans="1:27" s="2" customFormat="1" ht="12.75" x14ac:dyDescent="0.2">
      <c r="A65" s="24"/>
      <c r="B65" s="24"/>
      <c r="C65" s="24"/>
      <c r="D65" s="24"/>
      <c r="E65" s="460"/>
      <c r="F65" s="24"/>
      <c r="G65" s="24"/>
      <c r="H65" s="24"/>
      <c r="I65" s="24"/>
      <c r="J65" s="78"/>
    </row>
    <row r="66" spans="1:27" s="2" customFormat="1" ht="7.5" customHeight="1" x14ac:dyDescent="0.2">
      <c r="A66" s="24"/>
      <c r="B66" s="24"/>
      <c r="C66" s="24"/>
      <c r="D66" s="24"/>
      <c r="E66" s="460"/>
      <c r="F66" s="24"/>
      <c r="G66" s="24"/>
      <c r="H66" s="24"/>
      <c r="I66" s="24"/>
      <c r="J66" s="79"/>
    </row>
    <row r="67" spans="1:27" s="2" customFormat="1" ht="15.75" x14ac:dyDescent="0.3">
      <c r="A67" s="25"/>
      <c r="B67" s="24"/>
      <c r="C67" s="24"/>
      <c r="D67" s="24"/>
      <c r="E67" s="460"/>
      <c r="F67" s="24"/>
      <c r="G67" s="24"/>
      <c r="H67" s="24"/>
      <c r="I67" s="16" t="s">
        <v>43</v>
      </c>
      <c r="J67" s="80">
        <f>+A*2/3</f>
        <v>0.29733333333333334</v>
      </c>
    </row>
    <row r="68" spans="1:27" s="2" customFormat="1" ht="6.75" customHeight="1" x14ac:dyDescent="0.2">
      <c r="A68" s="24"/>
      <c r="B68" s="24"/>
      <c r="C68" s="24"/>
      <c r="D68" s="24"/>
      <c r="E68" s="460"/>
      <c r="F68" s="24"/>
      <c r="G68" s="24"/>
      <c r="H68" s="24"/>
      <c r="I68" s="24"/>
      <c r="J68" s="79"/>
    </row>
    <row r="69" spans="1:27" s="2" customFormat="1" ht="15.75" x14ac:dyDescent="0.3">
      <c r="A69" s="25"/>
      <c r="B69" s="24"/>
      <c r="C69" s="24"/>
      <c r="D69" s="24"/>
      <c r="E69" s="460"/>
      <c r="F69" s="24"/>
      <c r="G69" s="24"/>
      <c r="H69" s="24"/>
      <c r="I69" s="16" t="s">
        <v>44</v>
      </c>
      <c r="J69" s="80">
        <f>+ch/2</f>
        <v>0.14866666666666667</v>
      </c>
    </row>
    <row r="70" spans="1:27" s="2" customFormat="1" ht="12.75" x14ac:dyDescent="0.2">
      <c r="A70" s="24"/>
      <c r="B70" s="24"/>
      <c r="C70" s="24"/>
      <c r="D70" s="24"/>
      <c r="E70" s="460"/>
      <c r="F70" s="24"/>
      <c r="G70" s="24"/>
      <c r="H70" s="24"/>
      <c r="I70" s="24"/>
      <c r="J70" s="81"/>
      <c r="K70" s="7"/>
    </row>
    <row r="71" spans="1:27" s="2" customFormat="1" ht="12.75" x14ac:dyDescent="0.2">
      <c r="A71" s="25"/>
      <c r="B71" s="24"/>
      <c r="C71" s="24"/>
      <c r="D71" s="24"/>
      <c r="E71" s="460"/>
      <c r="F71" s="24"/>
      <c r="G71" s="24"/>
      <c r="H71" s="24"/>
      <c r="I71" s="24"/>
      <c r="J71" s="82"/>
      <c r="K71" s="7"/>
    </row>
    <row r="72" spans="1:27" s="2" customFormat="1" ht="15.75" x14ac:dyDescent="0.3">
      <c r="A72" s="25"/>
      <c r="B72" s="24"/>
      <c r="C72" s="24"/>
      <c r="D72" s="24"/>
      <c r="E72" s="460"/>
      <c r="F72" s="24"/>
      <c r="G72" s="24"/>
      <c r="H72" s="24"/>
      <c r="I72" s="18" t="s">
        <v>49</v>
      </c>
      <c r="J72" s="83">
        <f>ATAN(J67/(1+J69))*180/PI()</f>
        <v>14.512526112556856</v>
      </c>
      <c r="K72" s="7" t="s">
        <v>19</v>
      </c>
    </row>
    <row r="73" spans="1:27" s="2" customFormat="1" ht="15.75" x14ac:dyDescent="0.3">
      <c r="A73" s="25"/>
      <c r="B73" s="24"/>
      <c r="C73" s="24"/>
      <c r="D73" s="24"/>
      <c r="E73" s="460"/>
      <c r="F73" s="24"/>
      <c r="G73" s="24"/>
      <c r="H73" s="24"/>
      <c r="I73" s="18" t="s">
        <v>49</v>
      </c>
      <c r="J73" s="83">
        <f>ATAN(J67/(1-J69))*180/PI()</f>
        <v>19.252064932073758</v>
      </c>
      <c r="K73" s="7" t="s">
        <v>19</v>
      </c>
    </row>
    <row r="74" spans="1:27" s="2" customFormat="1" ht="7.5" customHeight="1" x14ac:dyDescent="0.2">
      <c r="A74" s="24"/>
      <c r="B74" s="24"/>
      <c r="C74" s="24"/>
      <c r="D74" s="24"/>
      <c r="E74" s="460"/>
      <c r="F74" s="24"/>
      <c r="G74" s="24"/>
      <c r="H74" s="24"/>
      <c r="I74" s="27"/>
      <c r="J74" s="84"/>
      <c r="K74" s="7"/>
      <c r="L74" s="1"/>
      <c r="M74" s="1"/>
      <c r="N74" s="1"/>
      <c r="O74" s="1"/>
      <c r="P74" s="1"/>
      <c r="Q74" s="1"/>
      <c r="R74" s="1"/>
      <c r="S74" s="1"/>
      <c r="T74" s="1"/>
      <c r="U74" s="1"/>
    </row>
    <row r="75" spans="1:27" s="2" customFormat="1" ht="15.75" x14ac:dyDescent="0.3">
      <c r="A75" s="25"/>
      <c r="B75" s="24"/>
      <c r="C75" s="24"/>
      <c r="D75" s="24"/>
      <c r="E75" s="460"/>
      <c r="F75" s="24"/>
      <c r="G75" s="24"/>
      <c r="H75" s="24"/>
      <c r="I75" s="18" t="s">
        <v>48</v>
      </c>
      <c r="J75" s="85">
        <f>ATAN((gdoy/(gdoy-gw))*(J67/(1+J69)))*180/PI()</f>
        <v>27.370678704768657</v>
      </c>
      <c r="K75" s="7" t="s">
        <v>19</v>
      </c>
      <c r="L75" s="1"/>
      <c r="M75" s="1"/>
      <c r="N75" s="1"/>
      <c r="O75" s="1"/>
      <c r="P75" s="1"/>
      <c r="Q75" s="1"/>
      <c r="R75" s="1"/>
      <c r="S75" s="1"/>
      <c r="T75" s="1"/>
      <c r="U75" s="1"/>
    </row>
    <row r="76" spans="1:27" s="2" customFormat="1" ht="15.75" x14ac:dyDescent="0.3">
      <c r="C76" s="24"/>
      <c r="D76" s="24"/>
      <c r="E76" s="460"/>
      <c r="F76" s="24"/>
      <c r="G76" s="24"/>
      <c r="H76" s="24"/>
      <c r="I76" s="18" t="s">
        <v>48</v>
      </c>
      <c r="J76" s="85">
        <f>ATAN((gdoy/(gdoy-gw))*(J67/(1-J69)))*180/PI()</f>
        <v>34.934766624959757</v>
      </c>
      <c r="K76" s="7" t="s">
        <v>19</v>
      </c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</row>
    <row r="77" spans="1:27" s="2" customFormat="1" x14ac:dyDescent="0.2">
      <c r="A77" s="24"/>
      <c r="B77" s="24"/>
      <c r="C77" s="24"/>
      <c r="D77" s="24"/>
      <c r="E77" s="460"/>
      <c r="F77" s="24"/>
      <c r="G77" s="24"/>
      <c r="H77" s="24"/>
      <c r="I77" s="24"/>
      <c r="J77" s="81"/>
      <c r="K77" s="7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</row>
    <row r="78" spans="1:27" s="2" customFormat="1" ht="15.75" x14ac:dyDescent="0.2">
      <c r="A78" s="24"/>
      <c r="B78" s="24"/>
      <c r="C78" s="24"/>
      <c r="D78" s="24"/>
      <c r="E78" s="460"/>
      <c r="F78" s="24"/>
      <c r="G78" s="24"/>
      <c r="H78" s="24"/>
      <c r="I78" s="215" t="s">
        <v>45</v>
      </c>
      <c r="J78" s="211">
        <v>0</v>
      </c>
      <c r="K78" s="204">
        <f>(1-cv)*COS(fi*PI()/180-lkuru2*PI()/180-beta*PI()/180)^2/(COS(lkuru2*PI()/180)*COS(beta*PI()/180)^2*COS(delta*PI()/180+lkuru2*PI()/180+beta*PI()/180)*(1+SQRT(SIN(fi*PI()/180+delta*PI()/180)*SIN(fi*PI()/180-lkuru2*PI()/180-alfa*PI()/180)/(COS(delta*PI()/180+lkuru2*PI()/180+beta*PI()/180)*COS(beta*PI()/180-alfa*PI()/180))))^2)</f>
        <v>1.1325077917087532</v>
      </c>
      <c r="L78" s="1"/>
      <c r="M78" s="348">
        <f>(1-J69)*COS(fi*PI()/180-lislak1*PI()/180-beta*PI()/180)^2/(COS(lislak1*PI()/180)*COS(beta*PI()/180)^2*COS(delta*PI()/180+lislak1*PI()/180+beta*PI()/180)*(1+SQRT(SIN(fi*PI()/180+delta*PI()/180)*SIN(fi*PI()/180-lislak1*PI()/180-alfa*PI()/180)/(COS(delta*PI()/180)*COS(beta*PI()/180-alfa*PI()/180))))^2)</f>
        <v>3.2159523554600407</v>
      </c>
      <c r="N78" s="349" t="e">
        <f>(1-J69)*COS(fi*PI()/180-lislak2*PI()/180-beta*PI()/180)^2/(COS(lislak2*PI()/180)*COS(beta*PI()/180)^2*COS(delta*PI()/180+lislak2*PI()/180+beta*PI()/180)*(1+SQRT(SIN(fi*PI()/180+delta*PI()/180)*SIN(fi*PI()/180-lislak2*PI()/180-alfa*PI()/180)/(COS(delta*PI()/180)*COS(beta*PI()/180-alfa*PI()/180))))^2)</f>
        <v>#NUM!</v>
      </c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</row>
    <row r="79" spans="1:27" s="2" customFormat="1" x14ac:dyDescent="0.2">
      <c r="A79" s="24"/>
      <c r="B79" s="24"/>
      <c r="C79" s="24"/>
      <c r="D79" s="24"/>
      <c r="E79" s="460"/>
      <c r="F79" s="24"/>
      <c r="G79" s="24"/>
      <c r="H79" s="24"/>
      <c r="I79" s="213"/>
      <c r="J79" s="208">
        <v>0</v>
      </c>
      <c r="K79" s="207">
        <v>0</v>
      </c>
      <c r="L79" s="1"/>
      <c r="M79" s="350">
        <f>(1+J69)*COS(fi*PI()/180-lislak1*PI()/180-beta*PI()/180)^2/(COS(lislak1*PI()/180)*COS(beta*PI()/180)^2*COS(delta*PI()/180+lislak1*PI()/180+beta*PI()/180)*(1+SQRT(SIN(fi*PI()/180+delta*PI()/180)*SIN(fi*PI()/180-lislak1*PI()/180-alfa*PI()/180)/(COS(delta*PI()/180)*COS(beta*PI()/180-alfa*PI()/180))))^2)</f>
        <v>4.339143232934731</v>
      </c>
      <c r="N79" s="351" t="e">
        <f>(1+J69)*COS(fi*PI()/180-lislak2*PI()/180-beta*PI()/180)^2/(COS(lislak2*PI()/180)*COS(beta*PI()/180)^2*COS(delta*PI()/180+lislak2*PI()/180+beta*PI()/180)*(1+SQRT(SIN(fi*PI()/180+delta*PI()/180)*SIN(fi*PI()/180-lislak2*PI()/180-alfa*PI()/180)/(COS(delta*PI()/180)*COS(beta*PI()/180-alfa*PI()/180))))^2)</f>
        <v>#NUM!</v>
      </c>
      <c r="O79" s="339">
        <f>+IF(lislak1&lt;fi,M78,M80)</f>
        <v>3.2159523554600407</v>
      </c>
      <c r="P79" s="339">
        <f>+IF(lislak2&lt;fi,N78,N80)</f>
        <v>3.4724735629767163</v>
      </c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</row>
    <row r="80" spans="1:27" s="2" customFormat="1" ht="15.75" x14ac:dyDescent="0.2">
      <c r="A80" s="24"/>
      <c r="B80" s="24"/>
      <c r="C80" s="24"/>
      <c r="D80" s="24"/>
      <c r="E80" s="460"/>
      <c r="F80" s="24"/>
      <c r="G80" s="24"/>
      <c r="H80" s="24"/>
      <c r="I80" s="340" t="s">
        <v>46</v>
      </c>
      <c r="J80" s="342">
        <v>0</v>
      </c>
      <c r="K80" s="343">
        <f>(1-cv)*COS(fi*PI()/180-lislak2*PI()/180-beta*PI()/180)^2/(COS(lislak2*PI()/180)*COS(beta*PI()/180)^2*COS(delta*PI()/180+lislak2*PI()/180+beta*PI()/180))</f>
        <v>6.7001868379193477</v>
      </c>
      <c r="L80" s="1"/>
      <c r="M80" s="348">
        <f>(1-J69)*COS(fi*PI()/180-lislak1*PI()/180-beta*PI()/180)^2/(COS(lislak1*PI()/180)*COS(beta*PI()/180)^2*COS(delta/2*PI()/180+lislak1*PI()/180+beta*PI()/180))</f>
        <v>2.5989492307832216</v>
      </c>
      <c r="N80" s="349">
        <f>(1-J69)*COS(fi*PI()/180-lislak2*PI()/180-beta*PI()/180)^2/(COS(lislak2*PI()/180)*COS(beta*PI()/180)^2*COS(delta/2*PI()/180+lislak2*PI()/180+beta*PI()/180))</f>
        <v>3.4724735629767163</v>
      </c>
      <c r="O80" s="339">
        <f>+IF(lislak1&lt;fi,M79,M81)</f>
        <v>4.339143232934731</v>
      </c>
      <c r="P80" s="339">
        <f>+IF(lislak2&lt;fi,N79,N81)</f>
        <v>4.6852560289811143</v>
      </c>
      <c r="R80" s="1"/>
      <c r="S80" s="1"/>
      <c r="W80" s="1"/>
      <c r="X80" s="1"/>
      <c r="Y80" s="1"/>
      <c r="Z80" s="1"/>
      <c r="AA80" s="1"/>
    </row>
    <row r="81" spans="1:27" s="2" customFormat="1" x14ac:dyDescent="0.2">
      <c r="A81" s="24"/>
      <c r="B81" s="24"/>
      <c r="C81" s="24"/>
      <c r="D81" s="24"/>
      <c r="E81" s="460"/>
      <c r="F81" s="24"/>
      <c r="G81" s="24"/>
      <c r="H81" s="24"/>
      <c r="I81" s="50"/>
      <c r="J81" s="344">
        <v>0</v>
      </c>
      <c r="K81" s="205">
        <v>0</v>
      </c>
      <c r="L81" s="1"/>
      <c r="M81" s="350">
        <f>(1+J69)*COS(fi*PI()/180-lislak1*PI()/180-beta*PI()/180)^2/(COS(lislak1*PI()/180)*COS(beta*PI()/180)^2*COS(delta/2*PI()/180+lislak1*PI()/180+beta*PI()/180))</f>
        <v>3.506648022427167</v>
      </c>
      <c r="N81" s="351">
        <f>(1+J69)*COS(fi*PI()/180-lislak2*PI()/180-beta*PI()/180)^2/(COS(lislak2*PI()/180)*COS(beta*PI()/180)^2*COS(delta/2*PI()/180+lislak2*PI()/180+beta*PI()/180))</f>
        <v>4.6852560289811143</v>
      </c>
      <c r="R81" s="1"/>
      <c r="S81" s="1"/>
      <c r="T81" s="1"/>
      <c r="W81" s="1"/>
      <c r="X81" s="1"/>
      <c r="Y81" s="1"/>
      <c r="Z81" s="1"/>
      <c r="AA81" s="1"/>
    </row>
    <row r="82" spans="1:27" s="2" customFormat="1" ht="15.75" x14ac:dyDescent="0.3">
      <c r="A82" s="2" t="s">
        <v>94</v>
      </c>
      <c r="B82" s="24"/>
      <c r="C82" s="24"/>
      <c r="D82" s="24"/>
      <c r="E82" s="460"/>
      <c r="F82" s="24"/>
      <c r="G82" s="24"/>
      <c r="H82" s="24"/>
      <c r="I82" s="215" t="s">
        <v>47</v>
      </c>
      <c r="J82" s="208">
        <v>0</v>
      </c>
      <c r="K82" s="341">
        <f>K78-J63</f>
        <v>0.43411195948065329</v>
      </c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</row>
    <row r="83" spans="1:27" s="2" customFormat="1" x14ac:dyDescent="0.2">
      <c r="B83" s="24"/>
      <c r="C83" s="24"/>
      <c r="D83" s="24"/>
      <c r="E83" s="460"/>
      <c r="F83" s="24"/>
      <c r="G83" s="24"/>
      <c r="H83" s="24"/>
      <c r="I83" s="213"/>
      <c r="J83" s="59">
        <v>0</v>
      </c>
      <c r="K83" s="210">
        <v>0</v>
      </c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</row>
    <row r="84" spans="1:27" ht="15.75" x14ac:dyDescent="0.25">
      <c r="A84" s="549"/>
      <c r="B84" s="549"/>
      <c r="C84" s="549"/>
      <c r="D84" s="549"/>
      <c r="E84" s="459"/>
      <c r="F84" s="549"/>
      <c r="G84" s="549"/>
      <c r="H84" s="549"/>
      <c r="I84" s="215" t="s">
        <v>50</v>
      </c>
      <c r="J84" s="211">
        <v>0</v>
      </c>
      <c r="K84" s="206">
        <f>K80-kas</f>
        <v>6.0017910056912473</v>
      </c>
    </row>
    <row r="85" spans="1:27" ht="15" x14ac:dyDescent="0.25">
      <c r="A85" s="549"/>
      <c r="B85" s="549"/>
      <c r="C85" s="549"/>
      <c r="D85" s="549"/>
      <c r="E85" s="459"/>
      <c r="F85" s="549"/>
      <c r="G85" s="549"/>
      <c r="H85" s="549"/>
      <c r="I85" s="214"/>
      <c r="J85" s="212">
        <v>0</v>
      </c>
      <c r="K85" s="209">
        <v>0</v>
      </c>
    </row>
    <row r="86" spans="1:27" ht="15" x14ac:dyDescent="0.25">
      <c r="A86" s="549"/>
      <c r="B86" s="549"/>
      <c r="C86" s="549"/>
      <c r="D86" s="549"/>
      <c r="E86" s="459"/>
      <c r="F86" s="549"/>
      <c r="G86" s="549"/>
      <c r="H86" s="549"/>
      <c r="I86" s="549"/>
      <c r="J86" s="549"/>
      <c r="K86" s="549"/>
    </row>
    <row r="87" spans="1:27" ht="18.75" x14ac:dyDescent="0.35">
      <c r="A87" s="549"/>
      <c r="B87" s="549"/>
      <c r="C87" s="549"/>
      <c r="D87" s="549"/>
      <c r="E87" s="459"/>
      <c r="F87" s="549"/>
      <c r="G87" s="549"/>
      <c r="H87" s="549"/>
      <c r="I87" s="568" t="s">
        <v>220</v>
      </c>
      <c r="J87" s="77">
        <f>(COS(fi*PI()/180+beta*PI()/180))^2/((COS(beta*PI()/180))^2*COS(delta*PI()/180-beta*PI()/180)*(1-SQRT(SIN(fi*PI()/180+delta*PI()/180)*SIN(fi*PI()/180+alfa*PI()/180)/COS(delta*PI()/180-beta*PI()/180)/COS(alfa*PI()/180-beta*PI()/180)))^2)</f>
        <v>2.5495030062733242</v>
      </c>
      <c r="K87" s="549"/>
    </row>
    <row r="88" spans="1:27" ht="15" x14ac:dyDescent="0.25">
      <c r="A88" s="549"/>
      <c r="B88" s="549"/>
      <c r="C88" s="549"/>
      <c r="D88" s="549"/>
      <c r="E88" s="459"/>
      <c r="F88" s="549"/>
      <c r="G88" s="549"/>
      <c r="H88" s="549"/>
      <c r="I88" s="549"/>
      <c r="J88" s="549"/>
      <c r="K88" s="549"/>
    </row>
    <row r="89" spans="1:27" ht="15" x14ac:dyDescent="0.25">
      <c r="A89" s="549"/>
      <c r="B89" s="549"/>
      <c r="C89" s="549"/>
      <c r="D89" s="549"/>
      <c r="E89" s="459"/>
      <c r="F89" s="549"/>
      <c r="G89" s="549"/>
      <c r="H89" s="549"/>
      <c r="I89" s="549"/>
      <c r="J89" s="549"/>
      <c r="K89" s="549"/>
    </row>
    <row r="90" spans="1:27" ht="15" x14ac:dyDescent="0.25">
      <c r="A90" s="549"/>
      <c r="B90" s="549"/>
      <c r="C90" s="549"/>
      <c r="D90" s="549"/>
      <c r="E90" s="459"/>
      <c r="F90" s="549"/>
      <c r="G90" s="549"/>
      <c r="H90" s="549"/>
      <c r="I90" s="549"/>
      <c r="J90" s="549"/>
      <c r="K90" s="549"/>
    </row>
    <row r="91" spans="1:27" ht="15" x14ac:dyDescent="0.25">
      <c r="A91" s="549"/>
      <c r="B91" s="549"/>
      <c r="C91" s="549"/>
      <c r="D91" s="549"/>
      <c r="E91" s="459"/>
      <c r="F91" s="549"/>
      <c r="G91" s="549"/>
      <c r="H91" s="549"/>
      <c r="I91" s="549"/>
      <c r="J91" s="549"/>
      <c r="K91" s="549"/>
    </row>
    <row r="92" spans="1:27" ht="15" hidden="1" x14ac:dyDescent="0.25">
      <c r="A92" s="715" t="s">
        <v>177</v>
      </c>
      <c r="B92" s="715"/>
      <c r="C92" s="715"/>
      <c r="D92" s="715"/>
      <c r="E92" s="715"/>
      <c r="F92" s="715"/>
      <c r="G92" s="715"/>
      <c r="H92" s="715"/>
      <c r="I92" s="715"/>
      <c r="J92" s="715"/>
      <c r="K92" s="715"/>
    </row>
    <row r="93" spans="1:27" hidden="1" x14ac:dyDescent="0.2">
      <c r="A93" s="28"/>
      <c r="B93" s="28"/>
      <c r="C93" s="28"/>
      <c r="D93" s="28"/>
      <c r="E93" s="310"/>
      <c r="F93" s="28"/>
      <c r="G93" s="28"/>
      <c r="H93" s="28"/>
      <c r="I93" s="28"/>
      <c r="J93" s="28"/>
      <c r="K93" s="28"/>
    </row>
    <row r="94" spans="1:27" hidden="1" x14ac:dyDescent="0.2">
      <c r="A94" s="28"/>
      <c r="B94" s="28"/>
      <c r="C94" s="28"/>
      <c r="D94" s="28"/>
      <c r="E94" s="310"/>
      <c r="F94" s="28"/>
      <c r="G94" s="28"/>
      <c r="H94" s="29"/>
      <c r="I94" s="30"/>
      <c r="J94" s="28"/>
      <c r="K94" s="28"/>
    </row>
    <row r="95" spans="1:27" hidden="1" x14ac:dyDescent="0.2">
      <c r="A95" s="28"/>
      <c r="B95" s="28"/>
      <c r="C95" s="28"/>
      <c r="D95" s="28"/>
      <c r="E95" s="310"/>
      <c r="F95" s="28"/>
      <c r="G95" s="28"/>
      <c r="H95" s="29"/>
      <c r="I95" s="30"/>
      <c r="J95" s="28"/>
      <c r="K95" s="28"/>
    </row>
    <row r="96" spans="1:27" hidden="1" x14ac:dyDescent="0.2">
      <c r="A96" s="28"/>
      <c r="B96" s="28"/>
      <c r="C96" s="28"/>
      <c r="D96" s="28"/>
      <c r="E96" s="310"/>
      <c r="F96" s="28"/>
      <c r="G96" s="28"/>
      <c r="H96" s="29"/>
      <c r="I96" s="30"/>
      <c r="J96" s="28"/>
      <c r="K96" s="28"/>
    </row>
    <row r="97" spans="1:38" hidden="1" x14ac:dyDescent="0.2">
      <c r="A97" s="28"/>
      <c r="B97" s="28"/>
      <c r="C97" s="28"/>
      <c r="D97" s="28"/>
      <c r="E97" s="310"/>
      <c r="F97" s="28"/>
      <c r="G97" s="28"/>
      <c r="H97" s="29"/>
      <c r="I97" s="30"/>
      <c r="J97" s="28"/>
      <c r="K97" s="28"/>
    </row>
    <row r="98" spans="1:38" hidden="1" x14ac:dyDescent="0.2">
      <c r="A98" s="28"/>
      <c r="B98" s="28"/>
      <c r="C98" s="28"/>
      <c r="D98" s="28"/>
      <c r="E98" s="310"/>
      <c r="F98" s="28"/>
      <c r="G98" s="28"/>
      <c r="H98" s="29"/>
      <c r="I98" s="30"/>
      <c r="J98" s="28"/>
      <c r="K98" s="28"/>
    </row>
    <row r="99" spans="1:38" hidden="1" x14ac:dyDescent="0.2">
      <c r="A99" s="28"/>
      <c r="B99" s="28"/>
      <c r="C99" s="28"/>
      <c r="D99" s="28"/>
      <c r="E99" s="310"/>
      <c r="F99" s="28"/>
      <c r="G99" s="28"/>
      <c r="H99" s="29"/>
      <c r="I99" s="30"/>
      <c r="J99" s="28"/>
      <c r="K99" s="28"/>
    </row>
    <row r="100" spans="1:38" hidden="1" x14ac:dyDescent="0.2">
      <c r="A100" s="28"/>
      <c r="B100" s="28"/>
      <c r="C100" s="28"/>
      <c r="D100" s="28"/>
      <c r="E100" s="310"/>
      <c r="F100" s="28"/>
      <c r="G100" s="28"/>
      <c r="H100" s="29"/>
      <c r="I100" s="30"/>
      <c r="J100" s="28"/>
      <c r="K100" s="28"/>
    </row>
    <row r="101" spans="1:38" hidden="1" x14ac:dyDescent="0.2">
      <c r="A101" s="28"/>
      <c r="B101" s="28"/>
      <c r="C101" s="28"/>
      <c r="D101" s="28"/>
      <c r="E101" s="310"/>
      <c r="F101" s="28"/>
      <c r="G101" s="28"/>
      <c r="H101" s="29"/>
      <c r="I101" s="30"/>
      <c r="J101" s="28"/>
      <c r="K101" s="28"/>
    </row>
    <row r="102" spans="1:38" hidden="1" x14ac:dyDescent="0.2">
      <c r="A102" s="28"/>
      <c r="B102" s="28"/>
      <c r="C102" s="28"/>
      <c r="D102" s="28"/>
      <c r="E102" s="310"/>
      <c r="F102" s="28"/>
      <c r="G102" s="28"/>
      <c r="H102" s="29"/>
      <c r="I102" s="30"/>
      <c r="J102" s="28"/>
      <c r="K102" s="28"/>
      <c r="L102" s="3"/>
      <c r="M102" s="3"/>
      <c r="N102" s="3"/>
      <c r="O102" s="3"/>
      <c r="P102" s="3"/>
      <c r="Q102" s="3"/>
      <c r="R102" s="3"/>
      <c r="S102" s="3"/>
      <c r="T102" s="3"/>
      <c r="U102" s="3"/>
    </row>
    <row r="103" spans="1:38" hidden="1" x14ac:dyDescent="0.2">
      <c r="A103" s="28"/>
      <c r="B103" s="28"/>
      <c r="C103" s="28"/>
      <c r="D103" s="28"/>
      <c r="E103" s="310"/>
      <c r="F103" s="28"/>
      <c r="G103" s="28"/>
      <c r="H103" s="29"/>
      <c r="I103" s="30"/>
      <c r="J103" s="28"/>
      <c r="K103" s="28"/>
      <c r="L103" s="2"/>
      <c r="M103" s="2"/>
      <c r="N103" s="2"/>
      <c r="O103" s="2"/>
      <c r="P103" s="2"/>
      <c r="Q103" s="2"/>
      <c r="R103" s="2"/>
      <c r="S103" s="2"/>
      <c r="T103" s="2"/>
      <c r="U103" s="2"/>
    </row>
    <row r="104" spans="1:38" hidden="1" x14ac:dyDescent="0.2">
      <c r="A104" s="28"/>
      <c r="B104" s="28"/>
      <c r="C104" s="28"/>
      <c r="D104" s="28"/>
      <c r="E104" s="310"/>
      <c r="F104" s="28"/>
      <c r="G104" s="28"/>
      <c r="H104" s="29"/>
      <c r="I104" s="30"/>
      <c r="J104" s="28"/>
      <c r="K104" s="28"/>
      <c r="L104" s="216"/>
      <c r="M104" s="2"/>
      <c r="N104" s="2"/>
      <c r="O104" s="2"/>
      <c r="P104" s="2"/>
      <c r="Q104" s="2"/>
      <c r="R104" s="2"/>
      <c r="S104" s="2"/>
      <c r="T104" s="2"/>
      <c r="U104" s="2"/>
      <c r="V104" s="3"/>
      <c r="W104" s="3"/>
      <c r="X104" s="3"/>
      <c r="Y104" s="3"/>
      <c r="Z104" s="3"/>
      <c r="AA104" s="3"/>
    </row>
    <row r="105" spans="1:38" hidden="1" x14ac:dyDescent="0.2">
      <c r="A105" s="28"/>
      <c r="B105" s="28"/>
      <c r="C105" s="28"/>
      <c r="D105" s="28"/>
      <c r="E105" s="310"/>
      <c r="F105" s="28"/>
      <c r="G105" s="28"/>
      <c r="H105" s="29"/>
      <c r="I105" s="30"/>
      <c r="J105" s="28"/>
      <c r="K105" s="28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</row>
    <row r="106" spans="1:38" hidden="1" x14ac:dyDescent="0.2">
      <c r="A106" s="28"/>
      <c r="B106" s="28"/>
      <c r="C106" s="28"/>
      <c r="D106" s="28"/>
      <c r="E106" s="310"/>
      <c r="F106" s="28"/>
      <c r="G106" s="28"/>
      <c r="H106" s="29"/>
      <c r="I106" s="30"/>
      <c r="J106" s="28"/>
      <c r="K106" s="28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</row>
    <row r="107" spans="1:38" hidden="1" x14ac:dyDescent="0.2">
      <c r="A107" s="28"/>
      <c r="B107" s="28"/>
      <c r="C107" s="28"/>
      <c r="D107" s="28"/>
      <c r="E107" s="310"/>
      <c r="F107" s="28"/>
      <c r="G107" s="28"/>
      <c r="H107" s="29"/>
      <c r="I107" s="30"/>
      <c r="J107" s="28"/>
      <c r="K107" s="28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</row>
    <row r="108" spans="1:38" hidden="1" x14ac:dyDescent="0.2">
      <c r="A108" s="28"/>
      <c r="B108" s="28"/>
      <c r="C108" s="28"/>
      <c r="D108" s="28"/>
      <c r="E108" s="310"/>
      <c r="F108" s="28"/>
      <c r="G108" s="28"/>
      <c r="H108" s="29"/>
      <c r="I108" s="30"/>
      <c r="J108" s="28"/>
      <c r="K108" s="28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</row>
    <row r="109" spans="1:38" hidden="1" x14ac:dyDescent="0.2">
      <c r="A109" s="28"/>
      <c r="B109" s="28"/>
      <c r="C109" s="28"/>
      <c r="D109" s="28"/>
      <c r="E109" s="310"/>
      <c r="F109" s="28"/>
      <c r="G109" s="28"/>
      <c r="H109" s="29"/>
      <c r="I109" s="30"/>
      <c r="J109" s="28"/>
      <c r="K109" s="28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</row>
    <row r="110" spans="1:38" hidden="1" x14ac:dyDescent="0.2">
      <c r="A110" s="28"/>
      <c r="B110" s="28"/>
      <c r="C110" s="28"/>
      <c r="D110" s="28"/>
      <c r="E110" s="310"/>
      <c r="F110" s="28"/>
      <c r="G110" s="28"/>
      <c r="H110" s="29"/>
      <c r="I110" s="30"/>
      <c r="J110" s="28"/>
      <c r="K110" s="28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</row>
    <row r="111" spans="1:38" hidden="1" x14ac:dyDescent="0.2">
      <c r="A111" s="28"/>
      <c r="B111" s="28"/>
      <c r="C111" s="28"/>
      <c r="D111" s="28"/>
      <c r="E111" s="310"/>
      <c r="F111" s="28"/>
      <c r="G111" s="28"/>
      <c r="H111" s="29"/>
      <c r="I111" s="30"/>
      <c r="J111" s="28"/>
      <c r="K111" s="28"/>
      <c r="V111" s="2"/>
      <c r="W111" s="2"/>
      <c r="X111" s="2"/>
      <c r="Y111" s="2"/>
      <c r="Z111" s="2"/>
      <c r="AA111" s="2"/>
      <c r="AJ111" s="12"/>
      <c r="AK111" s="12"/>
      <c r="AL111" s="12"/>
    </row>
    <row r="112" spans="1:38" s="3" customFormat="1" ht="26.25" hidden="1" customHeight="1" thickBot="1" x14ac:dyDescent="0.25">
      <c r="A112" s="627" t="s">
        <v>56</v>
      </c>
      <c r="B112" s="627"/>
      <c r="C112" s="627"/>
      <c r="D112" s="627"/>
      <c r="E112" s="627"/>
      <c r="F112" s="627" t="s">
        <v>54</v>
      </c>
      <c r="G112" s="627"/>
      <c r="H112" s="627"/>
      <c r="I112" s="628" t="s">
        <v>55</v>
      </c>
      <c r="J112" s="628"/>
      <c r="K112" s="628"/>
      <c r="L112" s="2"/>
      <c r="M112" s="2"/>
      <c r="N112" s="70">
        <f>E113+E114+E115</f>
        <v>86.31</v>
      </c>
      <c r="O112" s="70">
        <f>I113+I114+I115</f>
        <v>328.90999999999997</v>
      </c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J112" s="47"/>
      <c r="AK112" s="223"/>
      <c r="AL112" s="223"/>
    </row>
    <row r="113" spans="1:38" s="2" customFormat="1" ht="16.5" hidden="1" thickTop="1" x14ac:dyDescent="0.2">
      <c r="A113" s="31" t="s">
        <v>57</v>
      </c>
      <c r="B113" s="629" t="str">
        <f>" "&amp;ROUND((bw-bt),2)&amp;"x"&amp;hw&amp;"x"&amp;gc&amp;"/2="</f>
        <v xml:space="preserve"> 4.75x7.1x2.4/2=</v>
      </c>
      <c r="C113" s="630"/>
      <c r="D113" s="631"/>
      <c r="E113" s="461">
        <f>(bw-bt)*hw*gc/2</f>
        <v>40.47</v>
      </c>
      <c r="F113" s="725">
        <f>(bw-bt)/3+bt+bf</f>
        <v>4.333333333333333</v>
      </c>
      <c r="G113" s="726"/>
      <c r="H113" s="32"/>
      <c r="I113" s="617">
        <f>E113*F113</f>
        <v>175.36999999999998</v>
      </c>
      <c r="J113" s="618"/>
      <c r="K113" s="550"/>
      <c r="V113" s="1"/>
      <c r="W113" s="1"/>
      <c r="X113" s="1"/>
      <c r="Y113" s="1"/>
      <c r="Z113" s="1"/>
      <c r="AA113" s="1"/>
      <c r="AJ113" s="47"/>
      <c r="AK113" s="9"/>
      <c r="AL113" s="9"/>
    </row>
    <row r="114" spans="1:38" s="2" customFormat="1" ht="15.75" hidden="1" x14ac:dyDescent="0.2">
      <c r="A114" s="34" t="s">
        <v>58</v>
      </c>
      <c r="B114" s="601" t="str">
        <f>" " &amp;hw&amp; "x"&amp;bt&amp; "x"&amp;gc&amp;"="</f>
        <v xml:space="preserve"> 7.1x1x2.4=</v>
      </c>
      <c r="C114" s="602"/>
      <c r="D114" s="603"/>
      <c r="E114" s="561">
        <f>hw*bt*gc</f>
        <v>17.04</v>
      </c>
      <c r="F114" s="641">
        <f>bt*0.5+bf</f>
        <v>2.25</v>
      </c>
      <c r="G114" s="642"/>
      <c r="H114" s="35"/>
      <c r="I114" s="643">
        <f>E114*F114</f>
        <v>38.339999999999996</v>
      </c>
      <c r="J114" s="644"/>
      <c r="K114" s="544"/>
      <c r="AJ114" s="47"/>
      <c r="AK114" s="9"/>
      <c r="AL114" s="9"/>
    </row>
    <row r="115" spans="1:38" s="2" customFormat="1" ht="15.75" hidden="1" x14ac:dyDescent="0.2">
      <c r="A115" s="34" t="s">
        <v>59</v>
      </c>
      <c r="B115" s="601" t="str">
        <f>" " &amp;ROUND(b,2)&amp;"x"&amp;hs&amp;"x"&amp;gc&amp;"="</f>
        <v xml:space="preserve"> 8x1.5x2.4=</v>
      </c>
      <c r="C115" s="602"/>
      <c r="D115" s="603"/>
      <c r="E115" s="561">
        <f>b*hs*gc</f>
        <v>28.799999999999997</v>
      </c>
      <c r="F115" s="641">
        <f>b/2</f>
        <v>4</v>
      </c>
      <c r="G115" s="642"/>
      <c r="H115" s="35"/>
      <c r="I115" s="643">
        <f>E115*F115</f>
        <v>115.19999999999999</v>
      </c>
      <c r="J115" s="644"/>
      <c r="K115" s="544"/>
      <c r="AJ115" s="9"/>
      <c r="AK115" s="9"/>
      <c r="AL115" s="9"/>
    </row>
    <row r="116" spans="1:38" s="2" customFormat="1" ht="15.75" hidden="1" x14ac:dyDescent="0.2">
      <c r="A116" s="34" t="s">
        <v>347</v>
      </c>
      <c r="B116" s="601" t="str">
        <f>" "&amp;ROUND(kas,3)&amp;"x"&amp;(hw)&amp;"²x"&amp;ROUND(gnor,2)&amp;"/2xsin("&amp;(ROUND(delta,2)&amp;"+"&amp;(ROUND(beta,2))&amp;")=")</f>
        <v xml:space="preserve"> 0.698x7.1²x1.8/2xsin(13.92+33.78)=</v>
      </c>
      <c r="C116" s="602"/>
      <c r="D116" s="603"/>
      <c r="E116" s="561">
        <f>kas*(hw)*(hw)*gnor/2*SIN(beta/180*PI()+delta/180*PI())</f>
        <v>23.434881646373444</v>
      </c>
      <c r="F116" s="637">
        <f>+bf+bt+(bw-bt)/3*2</f>
        <v>5.9166666666666661</v>
      </c>
      <c r="G116" s="638"/>
      <c r="H116" s="35"/>
      <c r="I116" s="643">
        <f t="shared" ref="I116:I122" si="6">E116*F116</f>
        <v>138.65638307437621</v>
      </c>
      <c r="J116" s="644"/>
      <c r="K116" s="544"/>
      <c r="O116" s="70"/>
      <c r="P116" s="70"/>
    </row>
    <row r="117" spans="1:38" s="2" customFormat="1" ht="15.75" hidden="1" x14ac:dyDescent="0.2">
      <c r="A117" s="34" t="s">
        <v>346</v>
      </c>
      <c r="B117" s="601" t="str">
        <f>" "&amp;ROUND(kas,3)&amp;"x"&amp;(hw)&amp;"²x"&amp;ROUND(gnor,2)&amp;"/2xcos("&amp;(ROUND(delta,2)&amp;"+"&amp;(ROUND(beta,2))&amp;")=")</f>
        <v xml:space="preserve"> 0.698x7.1²x1.8/2xcos(13.92+33.78)=</v>
      </c>
      <c r="C117" s="602"/>
      <c r="D117" s="603"/>
      <c r="E117" s="561">
        <f>kas*(hw)*(hw)*gnor/2*COS(beta/180*PI()+delta/180*PI())</f>
        <v>21.325537094278392</v>
      </c>
      <c r="F117" s="637">
        <f>(hw)/3+hs</f>
        <v>3.8666666666666667</v>
      </c>
      <c r="G117" s="638"/>
      <c r="H117" s="35"/>
      <c r="I117" s="643">
        <f t="shared" si="6"/>
        <v>82.458743431209783</v>
      </c>
      <c r="J117" s="644"/>
      <c r="K117" s="544"/>
      <c r="N117" s="2" t="s">
        <v>350</v>
      </c>
      <c r="O117" s="70"/>
      <c r="P117" s="70"/>
    </row>
    <row r="118" spans="1:38" s="2" customFormat="1" ht="15.75" hidden="1" x14ac:dyDescent="0.2">
      <c r="A118" s="34" t="s">
        <v>348</v>
      </c>
      <c r="B118" s="601" t="str">
        <f>" "&amp;ROUND(kas,3)&amp;"x"&amp;(hw)&amp;"x"&amp;q&amp;"xsin("&amp;(ROUND(delta,2)&amp;"+"&amp;(ROUND(beta,2))&amp;")=")</f>
        <v xml:space="preserve"> 0.698x7.1x1.14xsin(13.92+33.78)=</v>
      </c>
      <c r="C118" s="602"/>
      <c r="D118" s="603"/>
      <c r="E118" s="561">
        <f>kas*(hw)*q*SIN(beta/180*PI()+delta/180*PI())</f>
        <v>4.1808709040478451</v>
      </c>
      <c r="F118" s="637">
        <f>+bf+bt+(bw-bt)/2</f>
        <v>5.125</v>
      </c>
      <c r="G118" s="638"/>
      <c r="H118" s="35"/>
      <c r="I118" s="643">
        <f t="shared" si="6"/>
        <v>21.426963383245205</v>
      </c>
      <c r="J118" s="644"/>
      <c r="K118" s="544"/>
      <c r="N118" s="47"/>
      <c r="O118" s="70"/>
      <c r="P118" s="70"/>
    </row>
    <row r="119" spans="1:38" s="2" customFormat="1" ht="15.75" hidden="1" x14ac:dyDescent="0.2">
      <c r="A119" s="34" t="s">
        <v>349</v>
      </c>
      <c r="B119" s="601" t="str">
        <f>" "&amp;ROUND(kas,3)&amp;"x"&amp;(hw)&amp;"x"&amp;q&amp;"xcos("&amp;(ROUND(delta,2)&amp;"+"&amp;(ROUND(beta,2))&amp;")=")</f>
        <v xml:space="preserve"> 0.698x7.1x1.14xcos(13.92+33.78)=</v>
      </c>
      <c r="C119" s="602"/>
      <c r="D119" s="603"/>
      <c r="E119" s="561">
        <f>kas*(hw)*q*COS(beta/180*PI()+delta/180*PI())</f>
        <v>3.8045559135332345</v>
      </c>
      <c r="F119" s="637">
        <f>(hw)/2+hs</f>
        <v>5.05</v>
      </c>
      <c r="G119" s="638"/>
      <c r="H119" s="35"/>
      <c r="I119" s="643">
        <f t="shared" si="6"/>
        <v>19.213007363342832</v>
      </c>
      <c r="J119" s="644"/>
      <c r="K119" s="544"/>
      <c r="N119" s="47"/>
      <c r="O119" s="70"/>
      <c r="P119" s="70"/>
    </row>
    <row r="120" spans="1:38" s="2" customFormat="1" ht="15.75" hidden="1" x14ac:dyDescent="0.3">
      <c r="A120" s="569" t="s">
        <v>332</v>
      </c>
      <c r="B120" s="718" t="str">
        <f>" " &amp;$I$30&amp; "x"&amp;$I$31&amp; "x"&amp;gc&amp;"+"&amp;I30&amp;"x"&amp;I30&amp;"/2/2x2x"&amp;gc&amp;"="</f>
        <v xml:space="preserve"> 0x0x2.4+0x0/2/2x2x2.4=</v>
      </c>
      <c r="C120" s="719"/>
      <c r="D120" s="720"/>
      <c r="E120" s="561">
        <f>($I$30*$I$31+$I$30*$I$30/2/2*2)*gc</f>
        <v>0</v>
      </c>
      <c r="F120" s="642">
        <f>(b-$I$24-$I$31/2-I30/2)</f>
        <v>5.75</v>
      </c>
      <c r="G120" s="646"/>
      <c r="H120" s="346"/>
      <c r="I120" s="644">
        <f t="shared" si="6"/>
        <v>0</v>
      </c>
      <c r="J120" s="645"/>
      <c r="K120" s="345"/>
      <c r="L120" s="437" t="s">
        <v>331</v>
      </c>
      <c r="O120" s="70"/>
    </row>
    <row r="121" spans="1:38" s="2" customFormat="1" ht="15.75" hidden="1" x14ac:dyDescent="0.2">
      <c r="A121" s="34" t="s">
        <v>212</v>
      </c>
      <c r="B121" s="601" t="str">
        <f>" "&amp;ROUND($J$87,3)&amp;"x"&amp;hs&amp;"x"&amp;$I$30&amp;"x"&amp;gnor&amp;"="</f>
        <v xml:space="preserve"> 2.55x1.5x0x1.8=</v>
      </c>
      <c r="C121" s="602"/>
      <c r="D121" s="603"/>
      <c r="E121" s="561">
        <f>gnor*$J$87*hs*$I$30</f>
        <v>0</v>
      </c>
      <c r="F121" s="642">
        <f>$I$30/2</f>
        <v>0</v>
      </c>
      <c r="G121" s="646"/>
      <c r="H121" s="346"/>
      <c r="I121" s="644">
        <f t="shared" si="6"/>
        <v>0</v>
      </c>
      <c r="J121" s="645"/>
      <c r="K121" s="544"/>
      <c r="O121" s="70"/>
    </row>
    <row r="122" spans="1:38" ht="14.25" hidden="1" customHeight="1" x14ac:dyDescent="0.3">
      <c r="A122" s="569" t="s">
        <v>213</v>
      </c>
      <c r="B122" s="601" t="str">
        <f>" "&amp;ROUND($J$87,3)&amp;"x"&amp;$I$30&amp;"x"&amp;$I$30&amp;"x"&amp;gnor&amp;"/2="</f>
        <v xml:space="preserve"> 2.55x0x0x1.8/2=</v>
      </c>
      <c r="C122" s="602"/>
      <c r="D122" s="603"/>
      <c r="E122" s="462">
        <f>$J$87*$I$30*$I$30*gnor/2</f>
        <v>0</v>
      </c>
      <c r="F122" s="642">
        <f>$I$30*2/3</f>
        <v>0</v>
      </c>
      <c r="G122" s="646"/>
      <c r="H122" s="346"/>
      <c r="I122" s="644">
        <f t="shared" si="6"/>
        <v>0</v>
      </c>
      <c r="J122" s="645"/>
      <c r="K122" s="544"/>
      <c r="V122" s="2"/>
      <c r="W122" s="2"/>
      <c r="X122" s="2"/>
      <c r="Y122" s="2"/>
      <c r="Z122" s="2"/>
      <c r="AA122" s="2"/>
    </row>
    <row r="123" spans="1:38" ht="14.25" hidden="1" customHeight="1" x14ac:dyDescent="0.2">
      <c r="A123" s="28"/>
      <c r="B123" s="28"/>
      <c r="C123" s="28"/>
      <c r="D123" s="28"/>
      <c r="E123" s="310"/>
      <c r="F123" s="567"/>
      <c r="G123" s="567"/>
      <c r="H123" s="29"/>
      <c r="I123" s="30"/>
      <c r="J123" s="28"/>
      <c r="K123" s="28"/>
      <c r="V123" s="2"/>
      <c r="W123" s="2"/>
      <c r="X123" s="2"/>
      <c r="Y123" s="2"/>
      <c r="Z123" s="2"/>
      <c r="AA123" s="2"/>
    </row>
    <row r="124" spans="1:38" ht="14.25" hidden="1" customHeight="1" x14ac:dyDescent="0.2">
      <c r="A124" s="22" t="s">
        <v>71</v>
      </c>
      <c r="B124" s="28"/>
      <c r="C124" s="28"/>
      <c r="D124" s="28"/>
      <c r="E124" s="310"/>
      <c r="F124" s="567"/>
      <c r="G124" s="567"/>
      <c r="H124" s="29"/>
      <c r="I124" s="30"/>
      <c r="J124" s="28"/>
      <c r="K124" s="28"/>
      <c r="V124" s="2"/>
      <c r="W124" s="2"/>
      <c r="X124" s="2"/>
      <c r="Y124" s="2"/>
      <c r="Z124" s="2"/>
      <c r="AA124" s="2"/>
    </row>
    <row r="125" spans="1:38" ht="14.25" hidden="1" customHeight="1" x14ac:dyDescent="0.2">
      <c r="A125" s="28"/>
      <c r="B125" s="28"/>
      <c r="C125" s="28"/>
      <c r="D125" s="28"/>
      <c r="E125" s="310"/>
      <c r="F125" s="567"/>
      <c r="G125" s="567"/>
      <c r="H125" s="29"/>
      <c r="I125" s="30"/>
      <c r="J125" s="28"/>
      <c r="K125" s="28"/>
      <c r="V125" s="2"/>
      <c r="W125" s="2"/>
      <c r="X125" s="2"/>
      <c r="Y125" s="2"/>
      <c r="Z125" s="2"/>
      <c r="AA125" s="2"/>
    </row>
    <row r="126" spans="1:38" ht="14.25" hidden="1" customHeight="1" x14ac:dyDescent="0.2">
      <c r="A126" s="28"/>
      <c r="B126" s="28"/>
      <c r="C126" s="28"/>
      <c r="D126" s="28"/>
      <c r="E126" s="310"/>
      <c r="F126" s="567"/>
      <c r="G126" s="567"/>
      <c r="H126" s="29"/>
      <c r="I126" s="30"/>
      <c r="J126" s="28"/>
      <c r="K126" s="28"/>
      <c r="V126" s="2"/>
      <c r="W126" s="2"/>
      <c r="X126" s="2"/>
      <c r="Y126" s="2"/>
      <c r="Z126" s="2"/>
      <c r="AA126" s="2"/>
    </row>
    <row r="127" spans="1:38" ht="14.25" hidden="1" customHeight="1" x14ac:dyDescent="0.2">
      <c r="A127" s="28"/>
      <c r="B127" s="28"/>
      <c r="C127" s="28"/>
      <c r="D127" s="28"/>
      <c r="E127" s="310"/>
      <c r="F127" s="567"/>
      <c r="G127" s="567"/>
      <c r="H127" s="29"/>
      <c r="I127" s="30"/>
      <c r="J127" s="28"/>
      <c r="K127" s="28"/>
      <c r="V127" s="2"/>
      <c r="W127" s="2"/>
      <c r="X127" s="2"/>
      <c r="Y127" s="2"/>
      <c r="Z127" s="2"/>
      <c r="AA127" s="2"/>
    </row>
    <row r="128" spans="1:38" ht="14.25" hidden="1" customHeight="1" x14ac:dyDescent="0.2">
      <c r="A128" s="28"/>
      <c r="B128" s="28"/>
      <c r="C128" s="28"/>
      <c r="D128" s="28"/>
      <c r="E128" s="310"/>
      <c r="F128" s="567"/>
      <c r="G128" s="567"/>
      <c r="H128" s="29"/>
      <c r="I128" s="30"/>
      <c r="J128" s="28"/>
      <c r="K128" s="28"/>
      <c r="V128" s="2"/>
      <c r="W128" s="2"/>
      <c r="X128" s="2"/>
      <c r="Y128" s="2"/>
      <c r="Z128" s="2"/>
      <c r="AA128" s="2"/>
    </row>
    <row r="129" spans="1:27" ht="14.25" hidden="1" customHeight="1" x14ac:dyDescent="0.2">
      <c r="A129" s="28"/>
      <c r="B129" s="28"/>
      <c r="C129" s="28"/>
      <c r="D129" s="28"/>
      <c r="E129" s="310"/>
      <c r="F129" s="567"/>
      <c r="G129" s="567"/>
      <c r="H129" s="29"/>
      <c r="I129" s="30"/>
      <c r="J129" s="28"/>
      <c r="K129" s="28"/>
      <c r="V129" s="2"/>
      <c r="W129" s="2"/>
      <c r="X129" s="2"/>
      <c r="Y129" s="2"/>
      <c r="Z129" s="2"/>
      <c r="AA129" s="2"/>
    </row>
    <row r="130" spans="1:27" ht="14.25" hidden="1" customHeight="1" x14ac:dyDescent="0.2">
      <c r="A130" s="28"/>
      <c r="B130" s="28"/>
      <c r="C130" s="28"/>
      <c r="D130" s="28"/>
      <c r="E130" s="310"/>
      <c r="F130" s="567"/>
      <c r="G130" s="567"/>
      <c r="H130" s="29"/>
      <c r="I130" s="30"/>
      <c r="J130" s="28"/>
      <c r="K130" s="28"/>
      <c r="V130" s="2"/>
      <c r="W130" s="2"/>
      <c r="X130" s="2"/>
      <c r="Y130" s="2"/>
      <c r="Z130" s="2"/>
      <c r="AA130" s="2"/>
    </row>
    <row r="131" spans="1:27" ht="14.25" hidden="1" customHeight="1" x14ac:dyDescent="0.2">
      <c r="A131" s="28"/>
      <c r="B131" s="28"/>
      <c r="C131" s="28"/>
      <c r="D131" s="28"/>
      <c r="E131" s="310"/>
      <c r="F131" s="567"/>
      <c r="G131" s="567"/>
      <c r="H131" s="29"/>
      <c r="I131" s="30"/>
      <c r="J131" s="28"/>
      <c r="K131" s="28"/>
      <c r="V131" s="2"/>
      <c r="W131" s="2"/>
      <c r="X131" s="2"/>
      <c r="Y131" s="2"/>
      <c r="Z131" s="2"/>
      <c r="AA131" s="2"/>
    </row>
    <row r="132" spans="1:27" ht="14.25" hidden="1" customHeight="1" x14ac:dyDescent="0.2">
      <c r="A132" s="28"/>
      <c r="B132" s="28"/>
      <c r="C132" s="28"/>
      <c r="D132" s="28"/>
      <c r="E132" s="310"/>
      <c r="F132" s="567"/>
      <c r="G132" s="567"/>
      <c r="H132" s="29"/>
      <c r="I132" s="30"/>
      <c r="J132" s="28"/>
      <c r="K132" s="28"/>
      <c r="V132" s="2"/>
      <c r="W132" s="2"/>
      <c r="X132" s="2"/>
      <c r="Y132" s="2"/>
      <c r="Z132" s="2"/>
      <c r="AA132" s="2"/>
    </row>
    <row r="133" spans="1:27" s="2" customFormat="1" ht="24.75" hidden="1" customHeight="1" x14ac:dyDescent="0.25">
      <c r="A133" s="632"/>
      <c r="B133" s="632"/>
      <c r="C133" s="633"/>
      <c r="D133" s="633"/>
      <c r="E133" s="464"/>
      <c r="F133" s="39"/>
      <c r="G133" s="558"/>
      <c r="H133" s="41"/>
      <c r="I133" s="9"/>
      <c r="J133" s="9"/>
      <c r="K133" s="558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</row>
    <row r="134" spans="1:27" s="2" customFormat="1" ht="17.25" hidden="1" customHeight="1" x14ac:dyDescent="0.2">
      <c r="A134" s="9"/>
      <c r="B134" s="42"/>
      <c r="C134" s="9"/>
      <c r="D134" s="43"/>
      <c r="E134" s="464"/>
      <c r="F134" s="558"/>
      <c r="G134" s="558"/>
      <c r="H134" s="41"/>
      <c r="I134" s="9"/>
      <c r="J134" s="9"/>
      <c r="K134" s="558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7"/>
      <c r="W134" s="7"/>
      <c r="X134" s="7"/>
      <c r="Y134" s="7"/>
      <c r="Z134" s="7"/>
      <c r="AA134" s="7"/>
    </row>
    <row r="135" spans="1:27" s="2" customFormat="1" ht="17.25" hidden="1" customHeight="1" x14ac:dyDescent="0.2">
      <c r="A135" s="558"/>
      <c r="B135" s="558"/>
      <c r="C135" s="558"/>
      <c r="D135" s="44"/>
      <c r="E135" s="465"/>
      <c r="F135" s="8"/>
      <c r="G135" s="8"/>
      <c r="H135" s="16"/>
      <c r="K135" s="8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"/>
      <c r="W135" s="1"/>
      <c r="X135" s="1"/>
      <c r="Y135" s="1"/>
      <c r="Z135" s="1"/>
      <c r="AA135" s="1"/>
    </row>
    <row r="136" spans="1:27" s="2" customFormat="1" ht="15" hidden="1" x14ac:dyDescent="0.25">
      <c r="A136" s="8"/>
      <c r="B136" s="8"/>
      <c r="C136" s="39"/>
      <c r="D136" s="37"/>
      <c r="E136" s="465"/>
      <c r="F136" s="8"/>
      <c r="G136" s="8"/>
      <c r="H136" s="16"/>
      <c r="K136" s="8"/>
      <c r="V136" s="1"/>
      <c r="W136" s="1"/>
      <c r="X136" s="1"/>
      <c r="Y136" s="1"/>
      <c r="Z136" s="1"/>
      <c r="AA136" s="1"/>
    </row>
    <row r="137" spans="1:27" s="2" customFormat="1" ht="28.5" hidden="1" customHeight="1" x14ac:dyDescent="0.2">
      <c r="A137" s="545"/>
      <c r="B137" s="649"/>
      <c r="C137" s="649"/>
      <c r="D137" s="46" t="s">
        <v>72</v>
      </c>
      <c r="E137" s="181">
        <f>IF(B138&lt;b/6,C146/b*(1+6*B138/b),2/3*C146/(b/2-B138))</f>
        <v>20.651476681797948</v>
      </c>
      <c r="F137" s="48" t="s">
        <v>25</v>
      </c>
      <c r="G137" s="48" t="str">
        <f>IF(E137&lt;I137,"&lt;","&gt;")</f>
        <v>&lt;</v>
      </c>
      <c r="H137" s="46" t="s">
        <v>75</v>
      </c>
      <c r="I137" s="49">
        <f>I49</f>
        <v>400</v>
      </c>
      <c r="J137" s="48" t="s">
        <v>25</v>
      </c>
      <c r="K137" s="50" t="str">
        <f>IF(G137="&lt;","O.K.","not O.K.")</f>
        <v>O.K.</v>
      </c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0"/>
      <c r="W137" s="10"/>
      <c r="X137" s="10"/>
      <c r="Y137" s="10"/>
      <c r="Z137" s="10"/>
      <c r="AA137" s="10"/>
    </row>
    <row r="138" spans="1:27" s="2" customFormat="1" ht="18" hidden="1" x14ac:dyDescent="0.2">
      <c r="A138" s="560">
        <f>+(A142-C142)/C146</f>
        <v>3.3997721058866639</v>
      </c>
      <c r="B138" s="643">
        <f>b/2-A138</f>
        <v>0.6002278941133361</v>
      </c>
      <c r="C138" s="643"/>
      <c r="D138" s="46" t="s">
        <v>73</v>
      </c>
      <c r="E138" s="181">
        <f>IF(B138&lt;b/6,C146/b*(1-6*B138/b),0)</f>
        <v>7.829961455807374</v>
      </c>
      <c r="F138" s="48" t="s">
        <v>25</v>
      </c>
      <c r="G138" s="48" t="str">
        <f>IF(E138&lt;I138,"&lt;","&gt;")</f>
        <v>&gt;</v>
      </c>
      <c r="H138" s="46" t="s">
        <v>74</v>
      </c>
      <c r="I138" s="49">
        <v>0</v>
      </c>
      <c r="J138" s="48" t="s">
        <v>25</v>
      </c>
      <c r="K138" s="50" t="str">
        <f>IF(E138&lt;I138,"not O.K.","O.K.")</f>
        <v>O.K.</v>
      </c>
    </row>
    <row r="139" spans="1:27" s="2" customFormat="1" hidden="1" x14ac:dyDescent="0.2">
      <c r="E139" s="193"/>
      <c r="I139" s="7"/>
      <c r="V139" s="1"/>
      <c r="W139" s="1"/>
      <c r="X139" s="1"/>
      <c r="Y139" s="1"/>
      <c r="Z139" s="1"/>
      <c r="AA139" s="1"/>
    </row>
    <row r="140" spans="1:27" hidden="1" x14ac:dyDescent="0.2">
      <c r="A140" s="22" t="s">
        <v>69</v>
      </c>
      <c r="B140" s="28"/>
      <c r="C140" s="28"/>
      <c r="D140" s="28"/>
      <c r="E140" s="310"/>
      <c r="F140" s="28"/>
      <c r="G140" s="28"/>
      <c r="H140" s="29"/>
      <c r="I140" s="30"/>
      <c r="J140" s="28"/>
      <c r="K140" s="28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</row>
    <row r="141" spans="1:27" ht="33.75" hidden="1" customHeight="1" x14ac:dyDescent="0.25">
      <c r="A141" s="650" t="s">
        <v>64</v>
      </c>
      <c r="B141" s="650"/>
      <c r="C141" s="650" t="s">
        <v>65</v>
      </c>
      <c r="D141" s="650"/>
      <c r="E141" s="727"/>
      <c r="F141" s="728"/>
      <c r="G141" s="52"/>
      <c r="H141" s="53" t="s">
        <v>66</v>
      </c>
      <c r="I141" s="54"/>
      <c r="J141" s="28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</row>
    <row r="142" spans="1:27" s="217" customFormat="1" ht="12.75" hidden="1" x14ac:dyDescent="0.2">
      <c r="A142" s="701">
        <f>SUM(I113:J116)+I118</f>
        <v>488.99334645762139</v>
      </c>
      <c r="B142" s="701"/>
      <c r="C142" s="701">
        <f>+I117+I119</f>
        <v>101.67175079455262</v>
      </c>
      <c r="D142" s="701"/>
      <c r="E142" s="656">
        <f>A142/C142</f>
        <v>4.8095301068015122</v>
      </c>
      <c r="F142" s="657"/>
      <c r="G142" s="290" t="str">
        <f>IF(E142&lt;H142,"&lt;","&gt;")</f>
        <v>&gt;</v>
      </c>
      <c r="H142" s="291">
        <v>1.5</v>
      </c>
      <c r="I142" s="292" t="str">
        <f>IF(G142="&gt;","O.K.","not O.K.")</f>
        <v>O.K.</v>
      </c>
      <c r="J142" s="293"/>
      <c r="K142" s="293"/>
      <c r="L142" s="193"/>
      <c r="M142" s="193"/>
      <c r="N142" s="193"/>
      <c r="O142" s="193"/>
      <c r="P142" s="193"/>
      <c r="Q142" s="218"/>
      <c r="R142" s="218"/>
      <c r="S142" s="218"/>
      <c r="T142" s="218"/>
      <c r="U142" s="218"/>
      <c r="V142" s="218"/>
      <c r="W142" s="218"/>
      <c r="X142" s="218"/>
      <c r="Y142" s="218"/>
      <c r="Z142" s="218"/>
      <c r="AA142" s="218"/>
    </row>
    <row r="143" spans="1:27" ht="9.75" hidden="1" customHeight="1" x14ac:dyDescent="0.2">
      <c r="A143" s="28"/>
      <c r="B143" s="28"/>
      <c r="C143" s="28"/>
      <c r="D143" s="28"/>
      <c r="E143" s="310"/>
      <c r="F143" s="28"/>
      <c r="G143" s="28"/>
      <c r="H143" s="29"/>
      <c r="I143" s="30"/>
      <c r="J143" s="28"/>
      <c r="K143" s="28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</row>
    <row r="144" spans="1:27" hidden="1" x14ac:dyDescent="0.2">
      <c r="A144" s="22" t="s">
        <v>70</v>
      </c>
      <c r="B144" s="28"/>
      <c r="C144" s="28"/>
      <c r="D144" s="28"/>
      <c r="E144" s="310"/>
      <c r="F144" s="28"/>
      <c r="G144" s="28"/>
      <c r="H144" s="29"/>
      <c r="I144" s="30"/>
      <c r="J144" s="28"/>
      <c r="K144" s="28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</row>
    <row r="145" spans="1:27" s="10" customFormat="1" ht="34.5" hidden="1" customHeight="1" x14ac:dyDescent="0.2">
      <c r="A145" s="650" t="s">
        <v>67</v>
      </c>
      <c r="B145" s="650"/>
      <c r="C145" s="650" t="s">
        <v>68</v>
      </c>
      <c r="D145" s="650"/>
      <c r="E145" s="294" t="s">
        <v>11</v>
      </c>
      <c r="F145" s="741"/>
      <c r="G145" s="742"/>
      <c r="H145" s="53"/>
      <c r="I145" s="53" t="s">
        <v>66</v>
      </c>
      <c r="J145" s="56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</row>
    <row r="146" spans="1:27" s="2" customFormat="1" ht="12.75" hidden="1" x14ac:dyDescent="0.2">
      <c r="A146" s="621">
        <f>IF((+E121+E122-E119-E117)&lt;0,-(E121+E122-E119-E117),(E121+E122-E119-E117))</f>
        <v>25.130093007811627</v>
      </c>
      <c r="B146" s="621"/>
      <c r="C146" s="621">
        <f>SUM(E113:E116)+E118+E120</f>
        <v>113.92575255042129</v>
      </c>
      <c r="D146" s="621"/>
      <c r="E146" s="298">
        <f>I47</f>
        <v>0.65</v>
      </c>
      <c r="F146" s="622">
        <f>C146*E146/A146</f>
        <v>2.9467355785255167</v>
      </c>
      <c r="G146" s="624"/>
      <c r="H146" s="4" t="str">
        <f>IF(F146&lt;I146,"&lt;","&gt;")</f>
        <v>&gt;</v>
      </c>
      <c r="I146" s="76">
        <v>1.5</v>
      </c>
      <c r="J146" s="5" t="str">
        <f>IF(H146="&gt;","O.K.","not O.K.")</f>
        <v>O.K.</v>
      </c>
      <c r="K146" s="8"/>
    </row>
    <row r="147" spans="1:27" hidden="1" x14ac:dyDescent="0.2">
      <c r="A147" s="28"/>
      <c r="B147" s="28"/>
      <c r="C147" s="28"/>
      <c r="D147" s="28"/>
      <c r="E147" s="310"/>
      <c r="F147" s="28"/>
      <c r="G147" s="28"/>
      <c r="H147" s="29"/>
      <c r="I147" s="30"/>
      <c r="J147" s="28"/>
      <c r="K147" s="28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</row>
    <row r="148" spans="1:27" s="2" customFormat="1" ht="12.75" hidden="1" x14ac:dyDescent="0.2">
      <c r="A148" s="8"/>
      <c r="B148" s="8"/>
      <c r="C148" s="8"/>
      <c r="D148" s="8"/>
      <c r="E148" s="299"/>
      <c r="F148" s="8"/>
      <c r="G148" s="8"/>
      <c r="H148" s="16"/>
      <c r="I148" s="26"/>
      <c r="J148" s="8"/>
      <c r="K148" s="8"/>
    </row>
    <row r="149" spans="1:27" s="2" customFormat="1" ht="15" hidden="1" x14ac:dyDescent="0.25">
      <c r="A149" s="715" t="s">
        <v>178</v>
      </c>
      <c r="B149" s="715"/>
      <c r="C149" s="715"/>
      <c r="D149" s="715"/>
      <c r="E149" s="715"/>
      <c r="F149" s="715"/>
      <c r="G149" s="715"/>
      <c r="H149" s="715"/>
      <c r="I149" s="715"/>
      <c r="J149" s="715"/>
      <c r="K149" s="715"/>
    </row>
    <row r="150" spans="1:27" s="2" customFormat="1" hidden="1" x14ac:dyDescent="0.2">
      <c r="A150" s="28"/>
      <c r="B150" s="28"/>
      <c r="C150" s="28"/>
      <c r="D150" s="28"/>
      <c r="E150" s="310"/>
      <c r="F150" s="28"/>
      <c r="G150" s="28"/>
      <c r="H150" s="28"/>
      <c r="I150" s="28"/>
      <c r="J150" s="28"/>
      <c r="K150" s="28"/>
      <c r="L150" s="2" t="s">
        <v>187</v>
      </c>
    </row>
    <row r="151" spans="1:27" s="2" customFormat="1" hidden="1" x14ac:dyDescent="0.2">
      <c r="A151" s="28"/>
      <c r="B151" s="28"/>
      <c r="C151" s="28"/>
      <c r="D151" s="28"/>
      <c r="E151" s="310"/>
      <c r="F151" s="28"/>
      <c r="G151" s="28"/>
      <c r="H151" s="29"/>
      <c r="I151" s="30"/>
      <c r="J151" s="28"/>
      <c r="K151" s="28"/>
    </row>
    <row r="152" spans="1:27" s="2" customFormat="1" hidden="1" x14ac:dyDescent="0.2">
      <c r="A152" s="28"/>
      <c r="B152" s="28"/>
      <c r="C152" s="28"/>
      <c r="D152" s="28"/>
      <c r="E152" s="310"/>
      <c r="F152" s="28"/>
      <c r="G152" s="28"/>
      <c r="H152" s="29"/>
      <c r="I152" s="30"/>
      <c r="J152" s="28"/>
      <c r="K152" s="28"/>
    </row>
    <row r="153" spans="1:27" s="2" customFormat="1" hidden="1" x14ac:dyDescent="0.2">
      <c r="A153" s="28"/>
      <c r="B153" s="28"/>
      <c r="C153" s="28"/>
      <c r="D153" s="28"/>
      <c r="E153" s="310"/>
      <c r="F153" s="28"/>
      <c r="G153" s="28"/>
      <c r="H153" s="29"/>
      <c r="I153" s="30"/>
      <c r="J153" s="28"/>
      <c r="K153" s="28"/>
    </row>
    <row r="154" spans="1:27" s="2" customFormat="1" hidden="1" x14ac:dyDescent="0.2">
      <c r="A154" s="28"/>
      <c r="B154" s="28"/>
      <c r="C154" s="28"/>
      <c r="D154" s="28"/>
      <c r="E154" s="310"/>
      <c r="F154" s="28"/>
      <c r="G154" s="28"/>
      <c r="H154" s="29"/>
      <c r="I154" s="30"/>
      <c r="J154" s="28"/>
      <c r="K154" s="28"/>
    </row>
    <row r="155" spans="1:27" s="2" customFormat="1" hidden="1" x14ac:dyDescent="0.2">
      <c r="A155" s="28"/>
      <c r="B155" s="28"/>
      <c r="C155" s="28"/>
      <c r="D155" s="28"/>
      <c r="E155" s="310"/>
      <c r="F155" s="28"/>
      <c r="G155" s="28"/>
      <c r="H155" s="29"/>
      <c r="I155" s="30"/>
      <c r="J155" s="28"/>
      <c r="K155" s="28"/>
    </row>
    <row r="156" spans="1:27" s="2" customFormat="1" hidden="1" x14ac:dyDescent="0.2">
      <c r="A156" s="28"/>
      <c r="B156" s="28"/>
      <c r="C156" s="28"/>
      <c r="D156" s="28"/>
      <c r="E156" s="310"/>
      <c r="F156" s="28"/>
      <c r="G156" s="28"/>
      <c r="H156" s="29"/>
      <c r="I156" s="30"/>
      <c r="J156" s="28"/>
      <c r="K156" s="28"/>
    </row>
    <row r="157" spans="1:27" s="2" customFormat="1" hidden="1" x14ac:dyDescent="0.2">
      <c r="A157" s="28"/>
      <c r="B157" s="28"/>
      <c r="C157" s="28"/>
      <c r="D157" s="28"/>
      <c r="E157" s="310"/>
      <c r="F157" s="28"/>
      <c r="G157" s="28"/>
      <c r="H157" s="29"/>
      <c r="I157" s="30"/>
      <c r="J157" s="28"/>
      <c r="K157" s="28"/>
    </row>
    <row r="158" spans="1:27" s="2" customFormat="1" hidden="1" x14ac:dyDescent="0.2">
      <c r="A158" s="28"/>
      <c r="B158" s="28"/>
      <c r="C158" s="28"/>
      <c r="D158" s="28"/>
      <c r="E158" s="310"/>
      <c r="F158" s="28"/>
      <c r="G158" s="28"/>
      <c r="H158" s="29"/>
      <c r="I158" s="30"/>
      <c r="J158" s="28"/>
      <c r="K158" s="28"/>
    </row>
    <row r="159" spans="1:27" s="2" customFormat="1" hidden="1" x14ac:dyDescent="0.2">
      <c r="A159" s="28"/>
      <c r="B159" s="28"/>
      <c r="C159" s="28"/>
      <c r="D159" s="28"/>
      <c r="E159" s="310"/>
      <c r="F159" s="28"/>
      <c r="G159" s="28"/>
      <c r="H159" s="29"/>
      <c r="I159" s="30"/>
      <c r="J159" s="28"/>
      <c r="K159" s="28"/>
    </row>
    <row r="160" spans="1:27" s="2" customFormat="1" hidden="1" x14ac:dyDescent="0.2">
      <c r="A160" s="28"/>
      <c r="B160" s="28"/>
      <c r="C160" s="28"/>
      <c r="D160" s="28"/>
      <c r="E160" s="310"/>
      <c r="F160" s="28"/>
      <c r="G160" s="28"/>
      <c r="H160" s="29"/>
      <c r="I160" s="30"/>
      <c r="J160" s="28"/>
      <c r="K160" s="28"/>
    </row>
    <row r="161" spans="1:32" s="2" customFormat="1" hidden="1" x14ac:dyDescent="0.2">
      <c r="A161" s="28"/>
      <c r="B161" s="28"/>
      <c r="C161" s="28"/>
      <c r="D161" s="28"/>
      <c r="E161" s="310"/>
      <c r="F161" s="28"/>
      <c r="G161" s="28"/>
      <c r="H161" s="29"/>
      <c r="I161" s="30"/>
      <c r="J161" s="28"/>
      <c r="K161" s="28"/>
    </row>
    <row r="162" spans="1:32" s="2" customFormat="1" hidden="1" x14ac:dyDescent="0.2">
      <c r="A162" s="28"/>
      <c r="B162" s="28"/>
      <c r="C162" s="28"/>
      <c r="D162" s="28"/>
      <c r="E162" s="310"/>
      <c r="F162" s="28"/>
      <c r="G162" s="28"/>
      <c r="H162" s="29"/>
      <c r="I162" s="30"/>
      <c r="J162" s="28"/>
      <c r="K162" s="28"/>
    </row>
    <row r="163" spans="1:32" s="2" customFormat="1" hidden="1" x14ac:dyDescent="0.2">
      <c r="A163" s="28"/>
      <c r="B163" s="28"/>
      <c r="C163" s="28"/>
      <c r="D163" s="28"/>
      <c r="E163" s="310"/>
      <c r="F163" s="28"/>
      <c r="G163" s="28"/>
      <c r="H163" s="29"/>
      <c r="I163" s="30"/>
      <c r="J163" s="28"/>
      <c r="K163" s="28"/>
    </row>
    <row r="164" spans="1:32" s="2" customFormat="1" hidden="1" x14ac:dyDescent="0.2">
      <c r="A164" s="28"/>
      <c r="B164" s="28"/>
      <c r="C164" s="28"/>
      <c r="D164" s="28"/>
      <c r="E164" s="310"/>
      <c r="F164" s="28"/>
      <c r="G164" s="28"/>
      <c r="H164" s="29"/>
      <c r="I164" s="30"/>
      <c r="J164" s="28"/>
      <c r="K164" s="28"/>
    </row>
    <row r="165" spans="1:32" s="2" customFormat="1" hidden="1" x14ac:dyDescent="0.2">
      <c r="A165" s="28"/>
      <c r="B165" s="28"/>
      <c r="C165" s="28"/>
      <c r="D165" s="28"/>
      <c r="E165" s="310"/>
      <c r="F165" s="28"/>
      <c r="G165" s="28"/>
      <c r="H165" s="29"/>
      <c r="I165" s="30"/>
      <c r="J165" s="28"/>
      <c r="K165" s="28"/>
    </row>
    <row r="166" spans="1:32" s="2" customFormat="1" hidden="1" x14ac:dyDescent="0.2">
      <c r="A166" s="28"/>
      <c r="B166" s="28"/>
      <c r="C166" s="28"/>
      <c r="D166" s="28"/>
      <c r="E166" s="310"/>
      <c r="F166" s="28"/>
      <c r="G166" s="28"/>
      <c r="H166" s="29"/>
      <c r="I166" s="30"/>
      <c r="J166" s="28"/>
      <c r="K166" s="28"/>
    </row>
    <row r="167" spans="1:32" s="2" customFormat="1" hidden="1" x14ac:dyDescent="0.2">
      <c r="A167" s="28"/>
      <c r="B167" s="28"/>
      <c r="C167" s="28"/>
      <c r="D167" s="28"/>
      <c r="E167" s="310"/>
      <c r="F167" s="28"/>
      <c r="G167" s="28"/>
      <c r="H167" s="29"/>
      <c r="I167" s="30"/>
      <c r="J167" s="28"/>
      <c r="K167" s="28"/>
    </row>
    <row r="168" spans="1:32" s="2" customFormat="1" ht="27.75" hidden="1" customHeight="1" thickBot="1" x14ac:dyDescent="0.25">
      <c r="A168" s="627" t="s">
        <v>56</v>
      </c>
      <c r="B168" s="627"/>
      <c r="C168" s="627"/>
      <c r="D168" s="627"/>
      <c r="E168" s="627"/>
      <c r="F168" s="627" t="s">
        <v>54</v>
      </c>
      <c r="G168" s="627"/>
      <c r="H168" s="627"/>
      <c r="I168" s="628" t="s">
        <v>55</v>
      </c>
      <c r="J168" s="628"/>
      <c r="K168" s="628"/>
    </row>
    <row r="169" spans="1:32" s="2" customFormat="1" ht="16.5" hidden="1" thickTop="1" x14ac:dyDescent="0.2">
      <c r="A169" s="31" t="s">
        <v>57</v>
      </c>
      <c r="B169" s="629" t="str">
        <f>+B113</f>
        <v xml:space="preserve"> 4.75x7.1x2.4/2=</v>
      </c>
      <c r="C169" s="630"/>
      <c r="D169" s="631"/>
      <c r="E169" s="461">
        <f t="shared" ref="E169:F171" si="7">+E113</f>
        <v>40.47</v>
      </c>
      <c r="F169" s="615">
        <f t="shared" si="7"/>
        <v>4.333333333333333</v>
      </c>
      <c r="G169" s="616"/>
      <c r="H169" s="32"/>
      <c r="I169" s="617">
        <f t="shared" ref="I169:I181" si="8">E169*F169</f>
        <v>175.36999999999998</v>
      </c>
      <c r="J169" s="618"/>
      <c r="K169" s="550"/>
    </row>
    <row r="170" spans="1:32" s="2" customFormat="1" ht="15.75" hidden="1" x14ac:dyDescent="0.2">
      <c r="A170" s="34" t="s">
        <v>58</v>
      </c>
      <c r="B170" s="601" t="str">
        <f>+B114</f>
        <v xml:space="preserve"> 7.1x1x2.4=</v>
      </c>
      <c r="C170" s="602"/>
      <c r="D170" s="603"/>
      <c r="E170" s="561">
        <f t="shared" si="7"/>
        <v>17.04</v>
      </c>
      <c r="F170" s="641">
        <f t="shared" si="7"/>
        <v>2.25</v>
      </c>
      <c r="G170" s="642"/>
      <c r="H170" s="35"/>
      <c r="I170" s="643">
        <f t="shared" si="8"/>
        <v>38.339999999999996</v>
      </c>
      <c r="J170" s="644"/>
      <c r="K170" s="544"/>
    </row>
    <row r="171" spans="1:32" s="2" customFormat="1" ht="15.75" hidden="1" x14ac:dyDescent="0.2">
      <c r="A171" s="34" t="s">
        <v>59</v>
      </c>
      <c r="B171" s="601" t="str">
        <f>+B115</f>
        <v xml:space="preserve"> 8x1.5x2.4=</v>
      </c>
      <c r="C171" s="602"/>
      <c r="D171" s="603"/>
      <c r="E171" s="561">
        <f t="shared" si="7"/>
        <v>28.799999999999997</v>
      </c>
      <c r="F171" s="641">
        <f t="shared" si="7"/>
        <v>4</v>
      </c>
      <c r="G171" s="642"/>
      <c r="H171" s="35"/>
      <c r="I171" s="643">
        <f t="shared" si="8"/>
        <v>115.19999999999999</v>
      </c>
      <c r="J171" s="644"/>
      <c r="K171" s="544"/>
    </row>
    <row r="172" spans="1:32" s="2" customFormat="1" ht="12.75" hidden="1" x14ac:dyDescent="0.2">
      <c r="A172" s="34"/>
      <c r="B172" s="601"/>
      <c r="C172" s="602"/>
      <c r="D172" s="603"/>
      <c r="E172" s="561"/>
      <c r="F172" s="641"/>
      <c r="G172" s="642"/>
      <c r="H172" s="35"/>
      <c r="I172" s="643"/>
      <c r="J172" s="644"/>
      <c r="K172" s="544"/>
    </row>
    <row r="173" spans="1:32" s="2" customFormat="1" ht="12.75" hidden="1" x14ac:dyDescent="0.2">
      <c r="A173" s="34"/>
      <c r="B173" s="601"/>
      <c r="C173" s="602"/>
      <c r="D173" s="603"/>
      <c r="E173" s="561"/>
      <c r="F173" s="641"/>
      <c r="G173" s="642"/>
      <c r="H173" s="35"/>
      <c r="I173" s="643"/>
      <c r="J173" s="644"/>
      <c r="K173" s="544"/>
    </row>
    <row r="174" spans="1:32" s="2" customFormat="1" ht="15.75" hidden="1" x14ac:dyDescent="0.2">
      <c r="A174" s="34" t="s">
        <v>347</v>
      </c>
      <c r="B174" s="601" t="str">
        <f>+B116</f>
        <v xml:space="preserve"> 0.698x7.1²x1.8/2xsin(13.92+33.78)=</v>
      </c>
      <c r="C174" s="602"/>
      <c r="D174" s="603"/>
      <c r="E174" s="561">
        <f>kas*(hw)*(hw)*gnor/2*SIN(beta/180*PI()+delta/180*PI())</f>
        <v>23.434881646373444</v>
      </c>
      <c r="F174" s="637">
        <f>+F116</f>
        <v>5.9166666666666661</v>
      </c>
      <c r="G174" s="638"/>
      <c r="H174" s="35"/>
      <c r="I174" s="643">
        <f>E174*F174</f>
        <v>138.65638307437621</v>
      </c>
      <c r="J174" s="644"/>
      <c r="K174" s="544"/>
    </row>
    <row r="175" spans="1:32" s="2" customFormat="1" ht="15.75" hidden="1" x14ac:dyDescent="0.2">
      <c r="A175" s="34" t="s">
        <v>346</v>
      </c>
      <c r="B175" s="601" t="str">
        <f>+B117</f>
        <v xml:space="preserve"> 0.698x7.1²x1.8/2xcos(13.92+33.78)=</v>
      </c>
      <c r="C175" s="602"/>
      <c r="D175" s="603"/>
      <c r="E175" s="561">
        <f>kas*(hw)*(hw)*gnor/2*COS(beta/180*PI()+delta/180*PI())</f>
        <v>21.325537094278392</v>
      </c>
      <c r="F175" s="637">
        <f>+F117</f>
        <v>3.8666666666666667</v>
      </c>
      <c r="G175" s="638"/>
      <c r="H175" s="35"/>
      <c r="I175" s="643">
        <f>E175*F175</f>
        <v>82.458743431209783</v>
      </c>
      <c r="J175" s="644"/>
      <c r="K175" s="544"/>
    </row>
    <row r="176" spans="1:32" s="2" customFormat="1" ht="15.75" hidden="1" x14ac:dyDescent="0.2">
      <c r="A176" s="31" t="s">
        <v>76</v>
      </c>
      <c r="B176" s="629" t="str">
        <f>" "&amp;ROUND((bw-bt),2)&amp;"x"&amp;hw&amp;"x"&amp;ROUND(gc,2)&amp;"x"&amp;ROUND(I38,3)&amp;"/2="</f>
        <v xml:space="preserve"> 4.75x7.1x2.4x0.297/2=</v>
      </c>
      <c r="C176" s="630"/>
      <c r="D176" s="631"/>
      <c r="E176" s="461">
        <f>(bw-bt)*hw*gc*I38/2</f>
        <v>12.03308</v>
      </c>
      <c r="F176" s="642">
        <f>hs+hw/3</f>
        <v>3.8666666666666667</v>
      </c>
      <c r="G176" s="646"/>
      <c r="H176" s="32"/>
      <c r="I176" s="643">
        <f t="shared" si="8"/>
        <v>46.527909333333334</v>
      </c>
      <c r="J176" s="644"/>
      <c r="K176" s="550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  <c r="AA176" s="9"/>
      <c r="AB176" s="9"/>
      <c r="AC176" s="9"/>
      <c r="AD176" s="9"/>
      <c r="AE176" s="9"/>
      <c r="AF176" s="9"/>
    </row>
    <row r="177" spans="1:32" s="2" customFormat="1" ht="15.75" hidden="1" x14ac:dyDescent="0.2">
      <c r="A177" s="34" t="s">
        <v>77</v>
      </c>
      <c r="B177" s="601" t="str">
        <f>" "&amp;hw&amp;"x"&amp;bt&amp;"x"&amp;gc&amp;"x"&amp;ROUND(I38,3)&amp;"="</f>
        <v xml:space="preserve"> 7.1x1x2.4x0.297=</v>
      </c>
      <c r="C177" s="602"/>
      <c r="D177" s="603"/>
      <c r="E177" s="561">
        <f>hw*bt*gc*I38</f>
        <v>5.06656</v>
      </c>
      <c r="F177" s="641">
        <f>hw/2+hs</f>
        <v>5.05</v>
      </c>
      <c r="G177" s="642"/>
      <c r="H177" s="35"/>
      <c r="I177" s="643">
        <f t="shared" si="8"/>
        <v>25.586127999999999</v>
      </c>
      <c r="J177" s="644"/>
      <c r="K177" s="544"/>
      <c r="N177" s="47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  <c r="AA177" s="9"/>
      <c r="AB177" s="9"/>
      <c r="AC177" s="9"/>
      <c r="AD177" s="9"/>
      <c r="AE177" s="9"/>
      <c r="AF177" s="9"/>
    </row>
    <row r="178" spans="1:32" s="2" customFormat="1" ht="15.75" hidden="1" x14ac:dyDescent="0.2">
      <c r="A178" s="34" t="s">
        <v>78</v>
      </c>
      <c r="B178" s="601" t="str">
        <f>" " &amp;ROUND(b,2)&amp;"x"&amp;hs&amp;"x"&amp;gc&amp;"x"&amp;ROUND(I38,3)&amp;"="</f>
        <v xml:space="preserve"> 8x1.5x2.4x0.297=</v>
      </c>
      <c r="C178" s="602"/>
      <c r="D178" s="603"/>
      <c r="E178" s="561">
        <f>ROUND(b*hs*gc*I38,2)</f>
        <v>8.56</v>
      </c>
      <c r="F178" s="641">
        <f>hs/2</f>
        <v>0.75</v>
      </c>
      <c r="G178" s="642"/>
      <c r="H178" s="35"/>
      <c r="I178" s="643">
        <f t="shared" si="8"/>
        <v>6.42</v>
      </c>
      <c r="J178" s="644"/>
      <c r="K178" s="544"/>
      <c r="P178" s="48"/>
      <c r="Q178" s="647"/>
      <c r="R178" s="647"/>
      <c r="S178" s="647"/>
      <c r="T178" s="47"/>
      <c r="U178" s="648"/>
      <c r="V178" s="648"/>
      <c r="W178" s="41"/>
      <c r="X178" s="653"/>
      <c r="Y178" s="653"/>
      <c r="Z178" s="558"/>
      <c r="AA178" s="9"/>
      <c r="AB178" s="9"/>
      <c r="AC178" s="9"/>
      <c r="AD178" s="9"/>
      <c r="AE178" s="9"/>
      <c r="AF178" s="9"/>
    </row>
    <row r="179" spans="1:32" s="2" customFormat="1" ht="12.75" hidden="1" x14ac:dyDescent="0.2">
      <c r="A179" s="34"/>
      <c r="B179" s="601"/>
      <c r="C179" s="602"/>
      <c r="D179" s="603"/>
      <c r="E179" s="561"/>
      <c r="F179" s="641"/>
      <c r="G179" s="642"/>
      <c r="H179" s="35"/>
      <c r="I179" s="643">
        <f>E179*F179</f>
        <v>0</v>
      </c>
      <c r="J179" s="644"/>
      <c r="K179" s="544"/>
      <c r="N179" s="70"/>
      <c r="P179" s="48"/>
      <c r="Q179" s="558"/>
      <c r="R179" s="558"/>
      <c r="S179" s="558"/>
      <c r="T179" s="47"/>
      <c r="U179" s="559"/>
      <c r="V179" s="559"/>
      <c r="W179" s="41"/>
      <c r="X179" s="553"/>
      <c r="Y179" s="553"/>
      <c r="Z179" s="558"/>
      <c r="AA179" s="9"/>
      <c r="AB179" s="9"/>
      <c r="AC179" s="9"/>
      <c r="AD179" s="9"/>
      <c r="AE179" s="9"/>
      <c r="AF179" s="9"/>
    </row>
    <row r="180" spans="1:32" s="2" customFormat="1" ht="12.75" hidden="1" x14ac:dyDescent="0.2">
      <c r="A180" s="34"/>
      <c r="B180" s="601"/>
      <c r="C180" s="602"/>
      <c r="D180" s="603"/>
      <c r="E180" s="561"/>
      <c r="F180" s="641"/>
      <c r="G180" s="642"/>
      <c r="H180" s="35"/>
      <c r="I180" s="643">
        <f>E180*F180</f>
        <v>0</v>
      </c>
      <c r="J180" s="644"/>
      <c r="K180" s="544"/>
      <c r="P180" s="48"/>
      <c r="Q180" s="558"/>
      <c r="R180" s="558"/>
      <c r="S180" s="558"/>
      <c r="T180" s="47"/>
      <c r="U180" s="559"/>
      <c r="V180" s="559"/>
      <c r="W180" s="41"/>
      <c r="X180" s="553"/>
      <c r="Y180" s="553"/>
      <c r="Z180" s="558"/>
      <c r="AA180" s="9"/>
      <c r="AB180" s="9"/>
      <c r="AC180" s="9"/>
      <c r="AD180" s="9"/>
      <c r="AE180" s="9"/>
      <c r="AF180" s="9"/>
    </row>
    <row r="181" spans="1:32" s="193" customFormat="1" ht="15.75" hidden="1" x14ac:dyDescent="0.2">
      <c r="A181" s="327" t="s">
        <v>351</v>
      </c>
      <c r="B181" s="634" t="str">
        <f>" "&amp;ROUND(MAX(J82:K83),3)&amp;"x"&amp;(hw)&amp;"²x"&amp;ROUND(gnor,2)&amp;"/2xcos("&amp;(ROUND(delta,2)&amp;"+"&amp;(ROUND(beta,2))&amp;")=")</f>
        <v xml:space="preserve"> 0.434x7.1²x1.8/2xcos(13.92+33.78)=</v>
      </c>
      <c r="C181" s="635"/>
      <c r="D181" s="636"/>
      <c r="E181" s="561">
        <f>(MAX(J82:K83))*(hw)^2*(gnor)/2*COS(beta/180*PI()+delta/180*PI())</f>
        <v>13.255621336455723</v>
      </c>
      <c r="F181" s="637">
        <f>((hw)*2/3)+hs</f>
        <v>6.2333333333333334</v>
      </c>
      <c r="G181" s="638"/>
      <c r="H181" s="328"/>
      <c r="I181" s="639">
        <f t="shared" si="8"/>
        <v>82.626706330574009</v>
      </c>
      <c r="J181" s="640"/>
      <c r="K181" s="554"/>
      <c r="P181" s="183"/>
      <c r="Q181" s="654"/>
      <c r="R181" s="654"/>
      <c r="S181" s="654"/>
      <c r="T181" s="181"/>
      <c r="U181" s="655"/>
      <c r="V181" s="655"/>
      <c r="W181" s="564"/>
      <c r="X181" s="665"/>
      <c r="Y181" s="665"/>
      <c r="Z181" s="556"/>
      <c r="AA181" s="168"/>
      <c r="AB181" s="168"/>
      <c r="AC181" s="168"/>
      <c r="AD181" s="168"/>
      <c r="AE181" s="168"/>
      <c r="AF181" s="168"/>
    </row>
    <row r="182" spans="1:32" s="193" customFormat="1" ht="15.75" hidden="1" x14ac:dyDescent="0.2">
      <c r="A182" s="327" t="s">
        <v>352</v>
      </c>
      <c r="B182" s="634" t="str">
        <f>" "&amp;ROUND(MAX(J82:K83),3)&amp;"x"&amp;(hw)&amp;"²x"&amp;ROUND(gnor,2)&amp;"/2xsin("&amp;(ROUND(delta,2)&amp;"+"&amp;(ROUND(beta,2))&amp;")=")</f>
        <v xml:space="preserve"> 0.434x7.1²x1.8/2xsin(13.92+33.78)=</v>
      </c>
      <c r="C182" s="635"/>
      <c r="D182" s="636"/>
      <c r="E182" s="561">
        <f>(MAX(J82:K83))*(hw)^2*(gnor)/2*SIN(beta/180*PI()+delta/180*PI())</f>
        <v>14.566757019795187</v>
      </c>
      <c r="F182" s="637">
        <f>+bf+bt+(bw-bt)/3</f>
        <v>4.333333333333333</v>
      </c>
      <c r="G182" s="638"/>
      <c r="H182" s="328"/>
      <c r="I182" s="639">
        <f>E182*F182</f>
        <v>63.122613752445808</v>
      </c>
      <c r="J182" s="640"/>
      <c r="K182" s="554"/>
      <c r="P182" s="183"/>
      <c r="Q182" s="654"/>
      <c r="R182" s="654"/>
      <c r="S182" s="654"/>
      <c r="T182" s="181"/>
      <c r="U182" s="655"/>
      <c r="V182" s="655"/>
      <c r="W182" s="564"/>
      <c r="X182" s="665"/>
      <c r="Y182" s="665"/>
      <c r="Z182" s="556"/>
      <c r="AA182" s="168"/>
      <c r="AB182" s="168"/>
      <c r="AC182" s="168"/>
      <c r="AD182" s="168"/>
      <c r="AE182" s="168"/>
      <c r="AF182" s="168"/>
    </row>
    <row r="183" spans="1:32" s="193" customFormat="1" ht="15.75" hidden="1" x14ac:dyDescent="0.3">
      <c r="A183" s="569" t="s">
        <v>330</v>
      </c>
      <c r="B183" s="698" t="str">
        <f>+B120</f>
        <v xml:space="preserve"> 0x0x2.4+0x0/2/2x2x2.4=</v>
      </c>
      <c r="C183" s="699"/>
      <c r="D183" s="700"/>
      <c r="E183" s="561">
        <f>+E120</f>
        <v>0</v>
      </c>
      <c r="F183" s="642">
        <f>+F120</f>
        <v>5.75</v>
      </c>
      <c r="G183" s="646"/>
      <c r="H183" s="346"/>
      <c r="I183" s="644">
        <f>E183*F183</f>
        <v>0</v>
      </c>
      <c r="J183" s="645"/>
      <c r="K183" s="345"/>
      <c r="P183" s="183"/>
      <c r="Q183" s="556"/>
      <c r="R183" s="556"/>
      <c r="S183" s="556"/>
      <c r="T183" s="181"/>
      <c r="U183" s="557"/>
      <c r="V183" s="557"/>
      <c r="W183" s="564"/>
      <c r="X183" s="563"/>
      <c r="Y183" s="563"/>
      <c r="Z183" s="556"/>
      <c r="AA183" s="168"/>
      <c r="AB183" s="168"/>
      <c r="AC183" s="168"/>
      <c r="AD183" s="168"/>
      <c r="AE183" s="168"/>
      <c r="AF183" s="168"/>
    </row>
    <row r="184" spans="1:32" s="193" customFormat="1" ht="15.75" hidden="1" x14ac:dyDescent="0.2">
      <c r="A184" s="34" t="s">
        <v>212</v>
      </c>
      <c r="B184" s="601" t="str">
        <f>" "&amp;ROUND($J$87,3)&amp;"x"&amp;hs&amp;"x"&amp;$I$30&amp;"x"&amp;gnor&amp;"="</f>
        <v xml:space="preserve"> 2.55x1.5x0x1.8=</v>
      </c>
      <c r="C184" s="602"/>
      <c r="D184" s="603"/>
      <c r="E184" s="561">
        <f>gnor*$J$87*hs*$I$30</f>
        <v>0</v>
      </c>
      <c r="F184" s="642">
        <f>$I$30/2</f>
        <v>0</v>
      </c>
      <c r="G184" s="646"/>
      <c r="H184" s="346"/>
      <c r="I184" s="644">
        <f>E184*F184</f>
        <v>0</v>
      </c>
      <c r="J184" s="645"/>
      <c r="K184" s="544"/>
      <c r="P184" s="183"/>
      <c r="Q184" s="556"/>
      <c r="R184" s="556"/>
      <c r="S184" s="556"/>
      <c r="T184" s="181"/>
      <c r="U184" s="557"/>
      <c r="V184" s="557"/>
      <c r="W184" s="564"/>
      <c r="X184" s="563"/>
      <c r="Y184" s="563"/>
      <c r="Z184" s="556"/>
      <c r="AA184" s="168"/>
      <c r="AB184" s="168"/>
      <c r="AC184" s="168"/>
      <c r="AD184" s="168"/>
      <c r="AE184" s="168"/>
      <c r="AF184" s="168"/>
    </row>
    <row r="185" spans="1:32" s="193" customFormat="1" ht="15.75" hidden="1" x14ac:dyDescent="0.3">
      <c r="A185" s="569" t="s">
        <v>213</v>
      </c>
      <c r="B185" s="601" t="str">
        <f>" "&amp;ROUND($J$87,3)&amp;"x"&amp;$I$30&amp;"x"&amp;$I$30&amp;"x"&amp;gnor&amp;"/2="</f>
        <v xml:space="preserve"> 2.55x0x0x1.8/2=</v>
      </c>
      <c r="C185" s="602"/>
      <c r="D185" s="603"/>
      <c r="E185" s="462">
        <f>$J$87*$I$30*$I$30*gnor/2</f>
        <v>0</v>
      </c>
      <c r="F185" s="642">
        <f>$I$30*2/3</f>
        <v>0</v>
      </c>
      <c r="G185" s="646"/>
      <c r="H185" s="346"/>
      <c r="I185" s="644">
        <f>E185*F185</f>
        <v>0</v>
      </c>
      <c r="J185" s="645"/>
      <c r="K185" s="544"/>
      <c r="N185" s="347"/>
      <c r="P185" s="183"/>
      <c r="Q185" s="556"/>
      <c r="R185" s="556"/>
      <c r="S185" s="556"/>
      <c r="T185" s="181"/>
      <c r="U185" s="557"/>
      <c r="V185" s="557"/>
      <c r="W185" s="564"/>
      <c r="X185" s="563"/>
      <c r="Y185" s="563"/>
      <c r="Z185" s="556"/>
      <c r="AA185" s="168"/>
      <c r="AB185" s="168"/>
      <c r="AC185" s="168"/>
      <c r="AD185" s="168"/>
      <c r="AE185" s="168"/>
      <c r="AF185" s="168"/>
    </row>
    <row r="186" spans="1:32" s="193" customFormat="1" ht="15.75" hidden="1" x14ac:dyDescent="0.3">
      <c r="A186" s="439" t="s">
        <v>333</v>
      </c>
      <c r="B186" s="661"/>
      <c r="C186" s="661"/>
      <c r="D186" s="661"/>
      <c r="E186" s="463">
        <f>+'depremli durum ankraj'!I56</f>
        <v>0</v>
      </c>
      <c r="F186" s="642"/>
      <c r="G186" s="646"/>
      <c r="H186" s="346"/>
      <c r="I186" s="645">
        <f>+E186*F186</f>
        <v>0</v>
      </c>
      <c r="J186" s="645"/>
      <c r="K186" s="544"/>
      <c r="N186" s="347"/>
      <c r="P186" s="183"/>
      <c r="Q186" s="556"/>
      <c r="R186" s="556"/>
      <c r="S186" s="556"/>
      <c r="T186" s="181"/>
      <c r="U186" s="557"/>
      <c r="V186" s="557"/>
      <c r="W186" s="564"/>
      <c r="X186" s="563"/>
      <c r="Y186" s="563"/>
      <c r="Z186" s="556"/>
      <c r="AA186" s="168"/>
      <c r="AB186" s="168"/>
      <c r="AC186" s="168"/>
      <c r="AD186" s="168"/>
      <c r="AE186" s="168"/>
      <c r="AF186" s="168"/>
    </row>
    <row r="187" spans="1:32" s="2" customFormat="1" ht="12.75" hidden="1" x14ac:dyDescent="0.2">
      <c r="A187" s="48"/>
      <c r="B187" s="558"/>
      <c r="C187" s="558"/>
      <c r="D187" s="558"/>
      <c r="E187" s="181"/>
      <c r="F187" s="559"/>
      <c r="G187" s="559"/>
      <c r="H187" s="41"/>
      <c r="I187" s="553"/>
      <c r="J187" s="553"/>
      <c r="K187" s="558"/>
      <c r="P187" s="48"/>
      <c r="Q187" s="558"/>
      <c r="R187" s="558"/>
      <c r="S187" s="558"/>
      <c r="T187" s="47"/>
      <c r="U187" s="559"/>
      <c r="V187" s="559"/>
      <c r="W187" s="41"/>
      <c r="X187" s="553"/>
      <c r="Y187" s="553"/>
      <c r="Z187" s="558"/>
      <c r="AA187" s="9"/>
      <c r="AB187" s="9"/>
      <c r="AC187" s="9"/>
      <c r="AD187" s="9"/>
      <c r="AE187" s="9"/>
      <c r="AF187" s="9"/>
    </row>
    <row r="188" spans="1:32" s="2" customFormat="1" hidden="1" x14ac:dyDescent="0.2">
      <c r="A188" s="22" t="s">
        <v>71</v>
      </c>
      <c r="B188" s="8"/>
      <c r="C188" s="8"/>
      <c r="D188" s="37"/>
      <c r="E188" s="465"/>
      <c r="F188" s="8"/>
      <c r="G188" s="8"/>
      <c r="H188" s="16"/>
      <c r="K188" s="8"/>
      <c r="P188" s="48"/>
      <c r="Q188" s="647"/>
      <c r="R188" s="647"/>
      <c r="S188" s="647"/>
      <c r="T188" s="47"/>
      <c r="U188" s="648"/>
      <c r="V188" s="648"/>
      <c r="W188" s="41"/>
      <c r="X188" s="653"/>
      <c r="Y188" s="653"/>
      <c r="Z188" s="558"/>
      <c r="AA188" s="9"/>
      <c r="AB188" s="9"/>
      <c r="AC188" s="9"/>
      <c r="AD188" s="9"/>
      <c r="AE188" s="9"/>
      <c r="AF188" s="9"/>
    </row>
    <row r="189" spans="1:32" s="2" customFormat="1" ht="29.25" hidden="1" customHeight="1" x14ac:dyDescent="0.25">
      <c r="A189" s="632"/>
      <c r="B189" s="632"/>
      <c r="C189" s="633"/>
      <c r="D189" s="633"/>
      <c r="E189" s="464"/>
      <c r="F189" s="39"/>
      <c r="G189" s="558"/>
      <c r="H189" s="41"/>
      <c r="I189" s="9"/>
      <c r="J189" s="9"/>
      <c r="K189" s="558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  <c r="AA189" s="9"/>
      <c r="AB189" s="9"/>
      <c r="AC189" s="9"/>
      <c r="AD189" s="9"/>
      <c r="AE189" s="9"/>
      <c r="AF189" s="9"/>
    </row>
    <row r="190" spans="1:32" s="2" customFormat="1" ht="19.5" hidden="1" customHeight="1" x14ac:dyDescent="0.2">
      <c r="A190" s="9"/>
      <c r="B190" s="42"/>
      <c r="C190" s="9"/>
      <c r="D190" s="43"/>
      <c r="E190" s="464"/>
      <c r="F190" s="558"/>
      <c r="G190" s="558"/>
      <c r="H190" s="41"/>
      <c r="I190" s="9"/>
      <c r="J190" s="9"/>
      <c r="K190" s="558"/>
      <c r="N190" s="70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  <c r="AA190" s="9"/>
      <c r="AB190" s="9"/>
      <c r="AC190" s="9"/>
      <c r="AD190" s="9"/>
      <c r="AE190" s="9"/>
      <c r="AF190" s="9"/>
    </row>
    <row r="191" spans="1:32" s="2" customFormat="1" ht="19.5" hidden="1" customHeight="1" x14ac:dyDescent="0.2">
      <c r="A191" s="558"/>
      <c r="B191" s="558"/>
      <c r="C191" s="558"/>
      <c r="D191" s="44"/>
      <c r="E191" s="465"/>
      <c r="F191" s="8"/>
      <c r="G191" s="8"/>
      <c r="H191" s="16"/>
      <c r="K191" s="8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  <c r="AA191" s="9"/>
      <c r="AB191" s="9"/>
      <c r="AC191" s="9"/>
      <c r="AD191" s="9"/>
      <c r="AE191" s="9"/>
      <c r="AF191" s="9"/>
    </row>
    <row r="192" spans="1:32" s="2" customFormat="1" ht="15" hidden="1" x14ac:dyDescent="0.25">
      <c r="A192" s="8"/>
      <c r="B192" s="8"/>
      <c r="C192" s="39"/>
      <c r="D192" s="37"/>
      <c r="E192" s="465"/>
      <c r="F192" s="8"/>
      <c r="G192" s="8"/>
      <c r="H192" s="16"/>
      <c r="K192" s="8"/>
      <c r="N192" s="70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  <c r="AA192" s="9"/>
      <c r="AB192" s="9"/>
      <c r="AC192" s="9"/>
      <c r="AD192" s="9"/>
      <c r="AE192" s="9"/>
      <c r="AF192" s="9"/>
    </row>
    <row r="193" spans="1:32" s="2" customFormat="1" ht="28.5" hidden="1" customHeight="1" x14ac:dyDescent="0.2">
      <c r="A193" s="545"/>
      <c r="B193" s="649"/>
      <c r="C193" s="649"/>
      <c r="D193" s="46" t="s">
        <v>72</v>
      </c>
      <c r="E193" s="181">
        <f>IF(B194&lt;b/6,C203/b*(1+6*B194/b),2/3*C203/(b/2-B194))</f>
        <v>35.887669441246253</v>
      </c>
      <c r="F193" s="48" t="s">
        <v>25</v>
      </c>
      <c r="G193" s="48" t="str">
        <f>IF(E193&lt;I193,"&lt;","&gt;")</f>
        <v>&lt;</v>
      </c>
      <c r="H193" s="46" t="s">
        <v>75</v>
      </c>
      <c r="I193" s="49">
        <f>I49</f>
        <v>400</v>
      </c>
      <c r="J193" s="48" t="s">
        <v>25</v>
      </c>
      <c r="K193" s="50" t="str">
        <f>IF(G193="&lt;","O.K.","not O.K.")</f>
        <v>O.K.</v>
      </c>
      <c r="N193" s="70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  <c r="AA193" s="9"/>
      <c r="AB193" s="9"/>
      <c r="AC193" s="9"/>
      <c r="AD193" s="9"/>
      <c r="AE193" s="9"/>
      <c r="AF193" s="9"/>
    </row>
    <row r="194" spans="1:32" s="2" customFormat="1" ht="18" hidden="1" x14ac:dyDescent="0.2">
      <c r="A194" s="560">
        <f>+(A198-C198)/C203</f>
        <v>2.3092729917478811</v>
      </c>
      <c r="B194" s="643">
        <f>b/2-A194</f>
        <v>1.6907270082521189</v>
      </c>
      <c r="C194" s="643"/>
      <c r="D194" s="46" t="s">
        <v>73</v>
      </c>
      <c r="E194" s="181">
        <f>IF(B194&lt;b/6,C203/b*(1-6*B194/b),0)</f>
        <v>0</v>
      </c>
      <c r="F194" s="48" t="s">
        <v>25</v>
      </c>
      <c r="G194" s="48" t="str">
        <f>IF(E194&lt;I194,"&lt;","&gt;")</f>
        <v>&gt;</v>
      </c>
      <c r="H194" s="46" t="s">
        <v>74</v>
      </c>
      <c r="I194" s="49">
        <v>0</v>
      </c>
      <c r="J194" s="48" t="s">
        <v>25</v>
      </c>
      <c r="K194" s="50" t="str">
        <f>IF(E194&lt;I194,"not O.K.","O.K.")</f>
        <v>O.K.</v>
      </c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  <c r="AA194" s="9"/>
      <c r="AB194" s="9"/>
      <c r="AC194" s="9"/>
      <c r="AD194" s="9"/>
      <c r="AE194" s="9"/>
      <c r="AF194" s="9"/>
    </row>
    <row r="195" spans="1:32" s="2" customFormat="1" ht="8.25" hidden="1" customHeight="1" x14ac:dyDescent="0.2">
      <c r="E195" s="193"/>
      <c r="I195" s="7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  <c r="AA195" s="9"/>
      <c r="AB195" s="9"/>
      <c r="AC195" s="9"/>
      <c r="AD195" s="9"/>
      <c r="AE195" s="9"/>
      <c r="AF195" s="9"/>
    </row>
    <row r="196" spans="1:32" s="2" customFormat="1" hidden="1" x14ac:dyDescent="0.2">
      <c r="A196" s="22" t="s">
        <v>69</v>
      </c>
      <c r="B196" s="28"/>
      <c r="C196" s="28"/>
      <c r="D196" s="28"/>
      <c r="E196" s="310"/>
      <c r="F196" s="28"/>
      <c r="G196" s="28"/>
      <c r="H196" s="29"/>
      <c r="I196" s="30"/>
      <c r="J196" s="28"/>
      <c r="K196" s="28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  <c r="AA196" s="9"/>
      <c r="AB196" s="9"/>
      <c r="AC196" s="9"/>
      <c r="AD196" s="9"/>
      <c r="AE196" s="9"/>
      <c r="AF196" s="9"/>
    </row>
    <row r="197" spans="1:32" s="2" customFormat="1" ht="33" hidden="1" customHeight="1" x14ac:dyDescent="0.25">
      <c r="A197" s="650" t="s">
        <v>64</v>
      </c>
      <c r="B197" s="650"/>
      <c r="C197" s="650" t="s">
        <v>65</v>
      </c>
      <c r="D197" s="650"/>
      <c r="E197" s="727"/>
      <c r="F197" s="728"/>
      <c r="G197" s="52"/>
      <c r="H197" s="53" t="s">
        <v>66</v>
      </c>
      <c r="I197" s="54"/>
      <c r="J197" s="28"/>
      <c r="K197" s="1"/>
    </row>
    <row r="198" spans="1:32" s="2" customFormat="1" ht="12.75" hidden="1" x14ac:dyDescent="0.2">
      <c r="A198" s="621">
        <f>+I169+I170+I171+I174+I182</f>
        <v>530.68899682682195</v>
      </c>
      <c r="B198" s="621"/>
      <c r="C198" s="621">
        <f>+I181+I176+I177+I178+I175</f>
        <v>243.61948709511711</v>
      </c>
      <c r="D198" s="621"/>
      <c r="E198" s="622">
        <f>A198/C198</f>
        <v>2.1783519994836187</v>
      </c>
      <c r="F198" s="624"/>
      <c r="G198" s="4" t="str">
        <f>IF(E198&lt;H198,"&lt;","&gt;")</f>
        <v>&gt;</v>
      </c>
      <c r="H198" s="76">
        <v>1.2</v>
      </c>
      <c r="I198" s="5" t="str">
        <f>IF(G198="&gt;","O.K.","not O.K.")</f>
        <v>O.K.</v>
      </c>
      <c r="J198" s="7"/>
      <c r="K198" s="7"/>
    </row>
    <row r="199" spans="1:32" s="2" customFormat="1" ht="12.75" hidden="1" customHeight="1" x14ac:dyDescent="0.2">
      <c r="A199" s="622">
        <f>+A198+I186</f>
        <v>530.68899682682195</v>
      </c>
      <c r="B199" s="623"/>
      <c r="C199" s="621">
        <f>+C198</f>
        <v>243.61948709511711</v>
      </c>
      <c r="D199" s="621"/>
      <c r="E199" s="622">
        <f>A199/C199</f>
        <v>2.1783519994836187</v>
      </c>
      <c r="F199" s="624"/>
      <c r="G199" s="4" t="str">
        <f>IF(E199&lt;H199,"&lt;","&gt;")</f>
        <v>&gt;</v>
      </c>
      <c r="H199" s="76">
        <v>1.2</v>
      </c>
      <c r="I199" s="5" t="str">
        <f>IF(G199="&gt;","O.K.","not O.K.")</f>
        <v>O.K.</v>
      </c>
      <c r="J199" s="28" t="s">
        <v>327</v>
      </c>
      <c r="K199" s="28"/>
    </row>
    <row r="200" spans="1:32" s="2" customFormat="1" ht="15" hidden="1" customHeight="1" x14ac:dyDescent="0.2">
      <c r="A200" s="28"/>
      <c r="B200" s="28"/>
      <c r="C200" s="28"/>
      <c r="D200" s="28"/>
      <c r="E200" s="310"/>
      <c r="F200" s="28"/>
      <c r="G200" s="28"/>
      <c r="H200" s="29"/>
      <c r="I200" s="30"/>
      <c r="J200" s="28"/>
      <c r="K200" s="28"/>
    </row>
    <row r="201" spans="1:32" s="2" customFormat="1" hidden="1" x14ac:dyDescent="0.2">
      <c r="A201" s="22" t="s">
        <v>70</v>
      </c>
      <c r="B201" s="28"/>
      <c r="C201" s="28"/>
      <c r="D201" s="28"/>
      <c r="E201" s="310"/>
      <c r="F201" s="28"/>
      <c r="G201" s="28"/>
      <c r="H201" s="29"/>
      <c r="I201" s="30"/>
      <c r="J201" s="28"/>
      <c r="K201" s="28"/>
    </row>
    <row r="202" spans="1:32" s="2" customFormat="1" ht="31.5" hidden="1" customHeight="1" x14ac:dyDescent="0.2">
      <c r="A202" s="650" t="s">
        <v>67</v>
      </c>
      <c r="B202" s="650"/>
      <c r="C202" s="650" t="s">
        <v>68</v>
      </c>
      <c r="D202" s="650"/>
      <c r="E202" s="294" t="s">
        <v>11</v>
      </c>
      <c r="F202" s="741"/>
      <c r="G202" s="742"/>
      <c r="H202" s="53"/>
      <c r="I202" s="53" t="s">
        <v>66</v>
      </c>
      <c r="J202" s="56"/>
      <c r="K202" s="10"/>
    </row>
    <row r="203" spans="1:32" s="2" customFormat="1" ht="12.75" hidden="1" x14ac:dyDescent="0.2">
      <c r="A203" s="621">
        <f>SUM(E175:E181)-E184-E185</f>
        <v>60.240798430734124</v>
      </c>
      <c r="B203" s="621"/>
      <c r="C203" s="621">
        <f>SUM(E169:E174)+E182</f>
        <v>124.31163866616863</v>
      </c>
      <c r="D203" s="621"/>
      <c r="E203" s="298">
        <f>I47</f>
        <v>0.65</v>
      </c>
      <c r="F203" s="622">
        <f>C203*E203/A203</f>
        <v>1.3413262645566981</v>
      </c>
      <c r="G203" s="624"/>
      <c r="H203" s="4" t="str">
        <f>IF(F203&lt;I203,"&lt;","&gt;")</f>
        <v>&gt;</v>
      </c>
      <c r="I203" s="76">
        <v>1.2</v>
      </c>
      <c r="J203" s="5" t="str">
        <f>IF(H203="&gt;","O.K.","not O.K.")</f>
        <v>O.K.</v>
      </c>
      <c r="K203" s="8"/>
    </row>
    <row r="204" spans="1:32" s="2" customFormat="1" ht="12.75" hidden="1" customHeight="1" x14ac:dyDescent="0.2">
      <c r="A204" s="643">
        <f>+A203</f>
        <v>60.240798430734124</v>
      </c>
      <c r="B204" s="643"/>
      <c r="C204" s="643">
        <f>+C203+E186</f>
        <v>124.31163866616863</v>
      </c>
      <c r="D204" s="643"/>
      <c r="E204" s="298">
        <f>I47</f>
        <v>0.65</v>
      </c>
      <c r="F204" s="622">
        <f>C204*E204/A204</f>
        <v>1.3413262645566981</v>
      </c>
      <c r="G204" s="624"/>
      <c r="H204" s="4" t="str">
        <f>IF(F204&lt;I204,"&lt;","&gt;")</f>
        <v>&gt;</v>
      </c>
      <c r="I204" s="76">
        <v>1.2</v>
      </c>
      <c r="J204" s="5" t="str">
        <f>IF(H204="&gt;","O.K.","not O.K.")</f>
        <v>O.K.</v>
      </c>
      <c r="K204" s="8" t="s">
        <v>327</v>
      </c>
    </row>
    <row r="205" spans="1:32" s="2" customFormat="1" ht="9.75" hidden="1" customHeight="1" x14ac:dyDescent="0.2">
      <c r="A205" s="28"/>
      <c r="B205" s="28"/>
      <c r="C205" s="28"/>
      <c r="D205" s="28"/>
      <c r="E205" s="310"/>
      <c r="F205" s="28"/>
      <c r="G205" s="28"/>
      <c r="H205" s="29"/>
      <c r="I205" s="30"/>
      <c r="J205" s="28"/>
      <c r="K205" s="28"/>
    </row>
    <row r="206" spans="1:32" s="2" customFormat="1" ht="9.75" customHeight="1" x14ac:dyDescent="0.2">
      <c r="A206" s="28"/>
      <c r="B206" s="28"/>
      <c r="C206" s="28"/>
      <c r="D206" s="28"/>
      <c r="E206" s="310"/>
      <c r="F206" s="28"/>
      <c r="G206" s="28"/>
      <c r="H206" s="29"/>
      <c r="I206" s="30"/>
      <c r="J206" s="28"/>
      <c r="K206" s="28"/>
    </row>
    <row r="207" spans="1:32" s="2" customFormat="1" ht="15" x14ac:dyDescent="0.25">
      <c r="A207" s="715" t="s">
        <v>353</v>
      </c>
      <c r="B207" s="715"/>
      <c r="C207" s="715"/>
      <c r="D207" s="715"/>
      <c r="E207" s="715"/>
      <c r="F207" s="715"/>
      <c r="G207" s="715"/>
      <c r="H207" s="715"/>
      <c r="I207" s="715"/>
      <c r="J207" s="715"/>
      <c r="K207" s="715"/>
    </row>
    <row r="208" spans="1:32" s="2" customFormat="1" x14ac:dyDescent="0.2">
      <c r="A208" s="28"/>
      <c r="B208" s="28"/>
      <c r="C208" s="28"/>
      <c r="D208" s="28"/>
      <c r="E208" s="310"/>
      <c r="F208" s="28"/>
      <c r="G208" s="28"/>
      <c r="H208" s="28"/>
      <c r="I208" s="28"/>
      <c r="J208" s="28"/>
      <c r="K208" s="28"/>
      <c r="L208" s="2" t="s">
        <v>187</v>
      </c>
    </row>
    <row r="209" spans="1:11" s="2" customFormat="1" x14ac:dyDescent="0.2">
      <c r="A209" s="28"/>
      <c r="B209" s="28"/>
      <c r="C209" s="28"/>
      <c r="D209" s="28"/>
      <c r="E209" s="310"/>
      <c r="F209" s="28"/>
      <c r="G209" s="28"/>
      <c r="H209" s="29"/>
      <c r="I209" s="30"/>
      <c r="J209" s="28"/>
      <c r="K209" s="28"/>
    </row>
    <row r="210" spans="1:11" s="2" customFormat="1" x14ac:dyDescent="0.2">
      <c r="A210" s="28"/>
      <c r="B210" s="28"/>
      <c r="C210" s="28"/>
      <c r="D210" s="28"/>
      <c r="E210" s="310"/>
      <c r="F210" s="28"/>
      <c r="G210" s="28"/>
      <c r="H210" s="29"/>
      <c r="I210" s="30"/>
      <c r="J210" s="28"/>
      <c r="K210" s="28"/>
    </row>
    <row r="211" spans="1:11" s="2" customFormat="1" x14ac:dyDescent="0.2">
      <c r="A211" s="28"/>
      <c r="B211" s="28"/>
      <c r="C211" s="28"/>
      <c r="D211" s="28"/>
      <c r="E211" s="310"/>
      <c r="F211" s="28"/>
      <c r="G211" s="28"/>
      <c r="H211" s="29"/>
      <c r="I211" s="30"/>
      <c r="J211" s="28"/>
      <c r="K211" s="28"/>
    </row>
    <row r="212" spans="1:11" s="2" customFormat="1" x14ac:dyDescent="0.2">
      <c r="A212" s="28"/>
      <c r="B212" s="28"/>
      <c r="C212" s="28"/>
      <c r="D212" s="28"/>
      <c r="E212" s="310"/>
      <c r="F212" s="28"/>
      <c r="G212" s="28"/>
      <c r="H212" s="29"/>
      <c r="I212" s="30"/>
      <c r="J212" s="28"/>
      <c r="K212" s="28"/>
    </row>
    <row r="213" spans="1:11" s="2" customFormat="1" x14ac:dyDescent="0.2">
      <c r="A213" s="28"/>
      <c r="B213" s="28"/>
      <c r="C213" s="28"/>
      <c r="D213" s="28"/>
      <c r="E213" s="310"/>
      <c r="F213" s="28"/>
      <c r="G213" s="28"/>
      <c r="H213" s="29"/>
      <c r="I213" s="30"/>
      <c r="J213" s="28"/>
      <c r="K213" s="28"/>
    </row>
    <row r="214" spans="1:11" s="2" customFormat="1" x14ac:dyDescent="0.2">
      <c r="A214" s="28"/>
      <c r="B214" s="28"/>
      <c r="C214" s="28"/>
      <c r="D214" s="28"/>
      <c r="E214" s="310"/>
      <c r="F214" s="28"/>
      <c r="G214" s="28"/>
      <c r="H214" s="29"/>
      <c r="I214" s="30"/>
      <c r="J214" s="28"/>
      <c r="K214" s="28"/>
    </row>
    <row r="215" spans="1:11" s="2" customFormat="1" x14ac:dyDescent="0.2">
      <c r="A215" s="28"/>
      <c r="B215" s="28"/>
      <c r="C215" s="28"/>
      <c r="D215" s="28"/>
      <c r="E215" s="310"/>
      <c r="F215" s="28"/>
      <c r="G215" s="28"/>
      <c r="H215" s="29"/>
      <c r="I215" s="30"/>
      <c r="J215" s="28"/>
      <c r="K215" s="28"/>
    </row>
    <row r="216" spans="1:11" s="2" customFormat="1" x14ac:dyDescent="0.2">
      <c r="A216" s="28"/>
      <c r="B216" s="28"/>
      <c r="C216" s="28"/>
      <c r="D216" s="28"/>
      <c r="E216" s="310"/>
      <c r="F216" s="28"/>
      <c r="G216" s="28"/>
      <c r="H216" s="29"/>
      <c r="I216" s="30"/>
      <c r="J216" s="28"/>
      <c r="K216" s="28"/>
    </row>
    <row r="217" spans="1:11" s="2" customFormat="1" x14ac:dyDescent="0.2">
      <c r="A217" s="28"/>
      <c r="B217" s="28"/>
      <c r="C217" s="28"/>
      <c r="D217" s="28"/>
      <c r="E217" s="310"/>
      <c r="F217" s="28"/>
      <c r="G217" s="28"/>
      <c r="H217" s="29"/>
      <c r="I217" s="30"/>
      <c r="J217" s="28"/>
      <c r="K217" s="28"/>
    </row>
    <row r="218" spans="1:11" s="2" customFormat="1" x14ac:dyDescent="0.2">
      <c r="A218" s="28"/>
      <c r="B218" s="28"/>
      <c r="C218" s="28"/>
      <c r="D218" s="28"/>
      <c r="E218" s="310"/>
      <c r="F218" s="28"/>
      <c r="G218" s="28"/>
      <c r="H218" s="29"/>
      <c r="I218" s="30"/>
      <c r="J218" s="28"/>
      <c r="K218" s="28"/>
    </row>
    <row r="219" spans="1:11" s="2" customFormat="1" x14ac:dyDescent="0.2">
      <c r="A219" s="28"/>
      <c r="B219" s="28"/>
      <c r="C219" s="28"/>
      <c r="D219" s="28"/>
      <c r="E219" s="310"/>
      <c r="F219" s="28"/>
      <c r="G219" s="28"/>
      <c r="H219" s="29"/>
      <c r="I219" s="30"/>
      <c r="J219" s="28"/>
      <c r="K219" s="28"/>
    </row>
    <row r="220" spans="1:11" s="2" customFormat="1" x14ac:dyDescent="0.2">
      <c r="A220" s="28"/>
      <c r="B220" s="28"/>
      <c r="C220" s="28"/>
      <c r="D220" s="28"/>
      <c r="E220" s="310"/>
      <c r="F220" s="28"/>
      <c r="G220" s="28"/>
      <c r="H220" s="29"/>
      <c r="I220" s="30"/>
      <c r="J220" s="28"/>
      <c r="K220" s="28"/>
    </row>
    <row r="221" spans="1:11" s="2" customFormat="1" x14ac:dyDescent="0.2">
      <c r="A221" s="28"/>
      <c r="B221" s="28"/>
      <c r="C221" s="28"/>
      <c r="D221" s="28"/>
      <c r="E221" s="310"/>
      <c r="F221" s="28"/>
      <c r="G221" s="28"/>
      <c r="H221" s="29"/>
      <c r="I221" s="30"/>
      <c r="J221" s="28"/>
      <c r="K221" s="28"/>
    </row>
    <row r="222" spans="1:11" s="2" customFormat="1" x14ac:dyDescent="0.2">
      <c r="A222" s="28"/>
      <c r="B222" s="28"/>
      <c r="C222" s="28"/>
      <c r="D222" s="28"/>
      <c r="E222" s="310"/>
      <c r="F222" s="28"/>
      <c r="G222" s="28"/>
      <c r="H222" s="29"/>
      <c r="I222" s="30"/>
      <c r="J222" s="28"/>
      <c r="K222" s="28"/>
    </row>
    <row r="223" spans="1:11" s="2" customFormat="1" x14ac:dyDescent="0.2">
      <c r="A223" s="28"/>
      <c r="B223" s="28"/>
      <c r="C223" s="28"/>
      <c r="D223" s="28"/>
      <c r="E223" s="310"/>
      <c r="F223" s="28"/>
      <c r="G223" s="28"/>
      <c r="H223" s="29"/>
      <c r="I223" s="30"/>
      <c r="J223" s="28"/>
      <c r="K223" s="28"/>
    </row>
    <row r="224" spans="1:11" s="2" customFormat="1" x14ac:dyDescent="0.2">
      <c r="A224" s="28"/>
      <c r="B224" s="28"/>
      <c r="C224" s="28"/>
      <c r="D224" s="28"/>
      <c r="E224" s="310"/>
      <c r="F224" s="28"/>
      <c r="G224" s="28"/>
      <c r="H224" s="29"/>
      <c r="I224" s="30"/>
      <c r="J224" s="28"/>
      <c r="K224" s="28"/>
    </row>
    <row r="225" spans="1:32" s="2" customFormat="1" x14ac:dyDescent="0.2">
      <c r="A225" s="28"/>
      <c r="B225" s="28"/>
      <c r="C225" s="28"/>
      <c r="D225" s="28"/>
      <c r="E225" s="310"/>
      <c r="F225" s="28"/>
      <c r="G225" s="28"/>
      <c r="H225" s="29"/>
      <c r="I225" s="30"/>
      <c r="J225" s="28"/>
      <c r="K225" s="28"/>
    </row>
    <row r="226" spans="1:32" s="2" customFormat="1" ht="27.75" customHeight="1" thickBot="1" x14ac:dyDescent="0.25">
      <c r="A226" s="627" t="s">
        <v>56</v>
      </c>
      <c r="B226" s="627"/>
      <c r="C226" s="627"/>
      <c r="D226" s="627"/>
      <c r="E226" s="627"/>
      <c r="F226" s="627" t="s">
        <v>54</v>
      </c>
      <c r="G226" s="627"/>
      <c r="H226" s="627"/>
      <c r="I226" s="628" t="s">
        <v>55</v>
      </c>
      <c r="J226" s="628"/>
      <c r="K226" s="628"/>
    </row>
    <row r="227" spans="1:32" s="2" customFormat="1" ht="16.5" thickTop="1" x14ac:dyDescent="0.2">
      <c r="A227" s="31" t="s">
        <v>57</v>
      </c>
      <c r="B227" s="629" t="str">
        <f>+B169</f>
        <v xml:space="preserve"> 4.75x7.1x2.4/2=</v>
      </c>
      <c r="C227" s="630"/>
      <c r="D227" s="631"/>
      <c r="E227" s="461">
        <f t="shared" ref="E227:F229" si="9">+E169</f>
        <v>40.47</v>
      </c>
      <c r="F227" s="615">
        <f t="shared" si="9"/>
        <v>4.333333333333333</v>
      </c>
      <c r="G227" s="616"/>
      <c r="H227" s="32"/>
      <c r="I227" s="617">
        <f>E227*F227</f>
        <v>175.36999999999998</v>
      </c>
      <c r="J227" s="618"/>
      <c r="K227" s="550"/>
      <c r="L227" s="70"/>
    </row>
    <row r="228" spans="1:32" s="2" customFormat="1" ht="15.75" x14ac:dyDescent="0.2">
      <c r="A228" s="34" t="s">
        <v>58</v>
      </c>
      <c r="B228" s="601" t="str">
        <f>+B170</f>
        <v xml:space="preserve"> 7.1x1x2.4=</v>
      </c>
      <c r="C228" s="602"/>
      <c r="D228" s="603"/>
      <c r="E228" s="561">
        <f t="shared" si="9"/>
        <v>17.04</v>
      </c>
      <c r="F228" s="641">
        <f t="shared" si="9"/>
        <v>2.25</v>
      </c>
      <c r="G228" s="642"/>
      <c r="H228" s="35"/>
      <c r="I228" s="643">
        <f>E228*F228</f>
        <v>38.339999999999996</v>
      </c>
      <c r="J228" s="644"/>
      <c r="K228" s="544"/>
      <c r="L228" s="70"/>
    </row>
    <row r="229" spans="1:32" s="2" customFormat="1" ht="15.75" x14ac:dyDescent="0.2">
      <c r="A229" s="34" t="s">
        <v>59</v>
      </c>
      <c r="B229" s="601" t="str">
        <f>+B171</f>
        <v xml:space="preserve"> 8x1.5x2.4=</v>
      </c>
      <c r="C229" s="602"/>
      <c r="D229" s="603"/>
      <c r="E229" s="561">
        <f t="shared" si="9"/>
        <v>28.799999999999997</v>
      </c>
      <c r="F229" s="641">
        <f t="shared" si="9"/>
        <v>4</v>
      </c>
      <c r="G229" s="642"/>
      <c r="H229" s="35"/>
      <c r="I229" s="643">
        <f>E229*F229</f>
        <v>115.19999999999999</v>
      </c>
      <c r="J229" s="644"/>
      <c r="K229" s="544"/>
      <c r="L229" s="70"/>
    </row>
    <row r="230" spans="1:32" s="2" customFormat="1" ht="15.75" x14ac:dyDescent="0.2">
      <c r="A230" s="31" t="s">
        <v>76</v>
      </c>
      <c r="B230" s="629" t="str">
        <f>" "&amp;ROUND((bw-bt),2)&amp;"x"&amp;hw&amp;"x"&amp;ROUND(gc,2)&amp;"x"&amp;ROUND(I38,3)&amp;"/2="</f>
        <v xml:space="preserve"> 4.75x7.1x2.4x0.297/2=</v>
      </c>
      <c r="C230" s="630"/>
      <c r="D230" s="631"/>
      <c r="E230" s="461">
        <f>(bw-bt)*hw*gc*I38/2</f>
        <v>12.03308</v>
      </c>
      <c r="F230" s="642">
        <f>hs+hw/3</f>
        <v>3.8666666666666667</v>
      </c>
      <c r="G230" s="646"/>
      <c r="H230" s="32"/>
      <c r="I230" s="643">
        <f t="shared" ref="I230:I254" si="10">E230*F230</f>
        <v>46.527909333333334</v>
      </c>
      <c r="J230" s="644"/>
      <c r="K230" s="550"/>
      <c r="L230" s="70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  <c r="AA230" s="9"/>
      <c r="AB230" s="9"/>
      <c r="AC230" s="9"/>
      <c r="AD230" s="9"/>
      <c r="AE230" s="9"/>
      <c r="AF230" s="9"/>
    </row>
    <row r="231" spans="1:32" s="2" customFormat="1" ht="15.75" x14ac:dyDescent="0.2">
      <c r="A231" s="34" t="s">
        <v>77</v>
      </c>
      <c r="B231" s="601" t="str">
        <f>" "&amp;hw&amp;"x"&amp;bt&amp;"x"&amp;gc&amp;"x"&amp;ROUND(I38,3)&amp;"="</f>
        <v xml:space="preserve"> 7.1x1x2.4x0.297=</v>
      </c>
      <c r="C231" s="602"/>
      <c r="D231" s="603"/>
      <c r="E231" s="561">
        <f>hw*bt*gc*I38</f>
        <v>5.06656</v>
      </c>
      <c r="F231" s="641">
        <f>hw/2+hs</f>
        <v>5.05</v>
      </c>
      <c r="G231" s="642"/>
      <c r="H231" s="35"/>
      <c r="I231" s="643">
        <f t="shared" si="10"/>
        <v>25.586127999999999</v>
      </c>
      <c r="J231" s="644"/>
      <c r="K231" s="544"/>
      <c r="L231" s="70"/>
      <c r="N231" s="47">
        <f>SUM(E230:E232)</f>
        <v>25.659640000000003</v>
      </c>
      <c r="O231" s="47">
        <f>SUM(I230:I232)</f>
        <v>78.53403733333333</v>
      </c>
      <c r="P231" s="47"/>
      <c r="Q231" s="47"/>
      <c r="S231" s="9"/>
      <c r="T231" s="9"/>
      <c r="U231" s="9"/>
      <c r="V231" s="9"/>
      <c r="W231" s="9"/>
      <c r="X231" s="9"/>
      <c r="Y231" s="9"/>
      <c r="Z231" s="9"/>
      <c r="AA231" s="9"/>
      <c r="AB231" s="9"/>
      <c r="AC231" s="9"/>
      <c r="AD231" s="9"/>
      <c r="AE231" s="9"/>
      <c r="AF231" s="9"/>
    </row>
    <row r="232" spans="1:32" s="2" customFormat="1" ht="15.75" x14ac:dyDescent="0.2">
      <c r="A232" s="34" t="s">
        <v>78</v>
      </c>
      <c r="B232" s="601" t="str">
        <f>" " &amp;ROUND(b,2)&amp;"x"&amp;hs&amp;"x"&amp;gc&amp;"x"&amp;ROUND(I38,3)&amp;"="</f>
        <v xml:space="preserve"> 8x1.5x2.4x0.297=</v>
      </c>
      <c r="C232" s="602"/>
      <c r="D232" s="603"/>
      <c r="E232" s="561">
        <f>ROUND(b*hs*gc*I38,2)</f>
        <v>8.56</v>
      </c>
      <c r="F232" s="641">
        <f>hs/2</f>
        <v>0.75</v>
      </c>
      <c r="G232" s="642"/>
      <c r="H232" s="35"/>
      <c r="I232" s="643">
        <f t="shared" si="10"/>
        <v>6.42</v>
      </c>
      <c r="J232" s="644"/>
      <c r="K232" s="544"/>
      <c r="L232" s="70"/>
      <c r="P232" s="48"/>
      <c r="Q232" s="647"/>
      <c r="R232" s="647"/>
      <c r="S232" s="647"/>
      <c r="T232" s="47"/>
      <c r="U232" s="648"/>
      <c r="V232" s="648"/>
      <c r="W232" s="41"/>
      <c r="X232" s="653"/>
      <c r="Y232" s="653"/>
      <c r="Z232" s="558"/>
      <c r="AA232" s="9"/>
      <c r="AB232" s="9"/>
      <c r="AC232" s="9"/>
      <c r="AD232" s="9"/>
      <c r="AE232" s="9"/>
      <c r="AF232" s="9"/>
    </row>
    <row r="233" spans="1:32" s="2" customFormat="1" ht="12.75" x14ac:dyDescent="0.2">
      <c r="A233" s="796"/>
      <c r="B233" s="797"/>
      <c r="C233" s="797"/>
      <c r="D233" s="797"/>
      <c r="E233" s="797"/>
      <c r="F233" s="797"/>
      <c r="G233" s="797"/>
      <c r="H233" s="797"/>
      <c r="I233" s="797"/>
      <c r="J233" s="797"/>
      <c r="K233" s="797"/>
      <c r="L233" s="797"/>
      <c r="M233" s="797"/>
      <c r="P233" s="48"/>
      <c r="Q233" s="590"/>
      <c r="R233" s="590"/>
      <c r="S233" s="590"/>
      <c r="T233" s="47"/>
      <c r="U233" s="591"/>
      <c r="V233" s="591"/>
      <c r="W233" s="41"/>
      <c r="X233" s="592"/>
      <c r="Y233" s="592"/>
      <c r="Z233" s="590"/>
      <c r="AA233" s="9"/>
      <c r="AB233" s="9"/>
      <c r="AC233" s="9"/>
      <c r="AD233" s="9"/>
      <c r="AE233" s="9"/>
      <c r="AF233" s="9"/>
    </row>
    <row r="234" spans="1:32" s="2" customFormat="1" ht="15.75" x14ac:dyDescent="0.2">
      <c r="A234" s="34" t="s">
        <v>346</v>
      </c>
      <c r="B234" s="601" t="str">
        <f>" "&amp;ROUND(kas,3)&amp;"x"&amp;(hw)&amp;"²x"&amp;ROUND(gdoy,2)&amp;"/2xCOS("&amp;(ROUND(delta,2)&amp;"+"&amp;(ROUND(beta,2))&amp;")=")</f>
        <v xml:space="preserve"> 0.698x7.1²x2/2xCOS(13.92+33.78)=</v>
      </c>
      <c r="C234" s="602"/>
      <c r="D234" s="603"/>
      <c r="E234" s="561">
        <f>kas*(h-(hsui+p))*(h-(hsui+p))*gnor/2*COS(beta/180*PI()+delta/180*PI())</f>
        <v>15.229504768776476</v>
      </c>
      <c r="F234" s="637">
        <f>(h-(hsui+p))/3+(hsui+p)</f>
        <v>4.5999999999999996</v>
      </c>
      <c r="G234" s="638"/>
      <c r="H234" s="35"/>
      <c r="I234" s="643">
        <f>E234*F234</f>
        <v>70.055721936371782</v>
      </c>
      <c r="J234" s="644"/>
      <c r="K234" s="544"/>
      <c r="L234" s="790">
        <v>1</v>
      </c>
      <c r="M234" s="792" t="s">
        <v>376</v>
      </c>
      <c r="P234" s="48"/>
      <c r="Q234" s="590"/>
      <c r="R234" s="590"/>
      <c r="S234" s="590"/>
      <c r="T234" s="47"/>
      <c r="U234" s="591"/>
      <c r="V234" s="591"/>
      <c r="W234" s="41"/>
      <c r="X234" s="592"/>
      <c r="Y234" s="592"/>
      <c r="Z234" s="590"/>
      <c r="AA234" s="9"/>
      <c r="AB234" s="9"/>
      <c r="AC234" s="9"/>
      <c r="AD234" s="9"/>
      <c r="AE234" s="9"/>
      <c r="AF234" s="9"/>
    </row>
    <row r="235" spans="1:32" s="2" customFormat="1" ht="15.75" x14ac:dyDescent="0.2">
      <c r="A235" s="34" t="s">
        <v>347</v>
      </c>
      <c r="B235" s="601" t="str">
        <f>" "&amp;ROUND(kas,3)&amp;"x"&amp;(hw)&amp;"²x"&amp;ROUND(gdoy,2)&amp;"/2xsin("&amp;(ROUND(delta,2)&amp;"+"&amp;(ROUND(beta,2))&amp;")=")</f>
        <v xml:space="preserve"> 0.698x7.1²x2/2xsin(13.92+33.78)=</v>
      </c>
      <c r="C235" s="602"/>
      <c r="D235" s="603"/>
      <c r="E235" s="561">
        <f>kas*(h-(hsui+p))*(h-(hsui+p))*gnor/2*SIN(beta/180*PI()+delta/180*PI())</f>
        <v>16.735880564757867</v>
      </c>
      <c r="F235" s="784">
        <f>+F174</f>
        <v>5.9166666666666661</v>
      </c>
      <c r="G235" s="785"/>
      <c r="H235" s="35"/>
      <c r="I235" s="643">
        <f>E235*F235</f>
        <v>99.020626674817365</v>
      </c>
      <c r="J235" s="644"/>
      <c r="K235" s="544"/>
      <c r="L235" s="791"/>
      <c r="M235" s="793"/>
      <c r="P235" s="48"/>
      <c r="Q235" s="590"/>
      <c r="R235" s="590"/>
      <c r="S235" s="590"/>
      <c r="T235" s="47"/>
      <c r="U235" s="591"/>
      <c r="V235" s="591"/>
      <c r="W235" s="41"/>
      <c r="X235" s="592"/>
      <c r="Y235" s="592"/>
      <c r="Z235" s="590"/>
      <c r="AA235" s="9"/>
      <c r="AB235" s="9"/>
      <c r="AC235" s="9"/>
      <c r="AD235" s="9"/>
      <c r="AE235" s="9"/>
      <c r="AF235" s="9"/>
    </row>
    <row r="236" spans="1:32" s="2" customFormat="1" ht="12.75" x14ac:dyDescent="0.2">
      <c r="A236" s="786"/>
      <c r="B236" s="787"/>
      <c r="C236" s="787"/>
      <c r="D236" s="787"/>
      <c r="E236" s="787"/>
      <c r="F236" s="787"/>
      <c r="G236" s="787"/>
      <c r="H236" s="787"/>
      <c r="I236" s="787"/>
      <c r="J236" s="787"/>
      <c r="K236" s="787"/>
      <c r="L236" s="787"/>
      <c r="M236" s="793"/>
      <c r="P236" s="48"/>
      <c r="Q236" s="590"/>
      <c r="R236" s="590"/>
      <c r="S236" s="590"/>
      <c r="T236" s="47"/>
      <c r="U236" s="591"/>
      <c r="V236" s="591"/>
      <c r="W236" s="41"/>
      <c r="X236" s="592"/>
      <c r="Y236" s="592"/>
      <c r="Z236" s="590"/>
      <c r="AA236" s="9"/>
      <c r="AB236" s="9"/>
      <c r="AC236" s="9"/>
      <c r="AD236" s="9"/>
      <c r="AE236" s="9"/>
      <c r="AF236" s="9"/>
    </row>
    <row r="237" spans="1:32" s="2" customFormat="1" ht="15.75" x14ac:dyDescent="0.2">
      <c r="A237" s="34" t="s">
        <v>346</v>
      </c>
      <c r="B237" s="601" t="str">
        <f>" "&amp;ROUND(kas,3)&amp;"x"&amp;(hw)&amp;"²x"&amp;ROUND(gdoy,2)&amp;"/2xCOS("&amp;(ROUND(delta,2)&amp;"+"&amp;(ROUND(beta,2))&amp;")=")</f>
        <v xml:space="preserve"> 0.698x7.1²x2/2xCOS(13.92+33.78)=</v>
      </c>
      <c r="C237" s="602"/>
      <c r="D237" s="603"/>
      <c r="E237" s="593">
        <f>kas*(h-(hsui+p))*(hsui+p)*gnor*COS(beta/180*PI()+delta/180*PI())</f>
        <v>13.198904132939612</v>
      </c>
      <c r="F237" s="637">
        <f>(hsui+p)/2</f>
        <v>1.3</v>
      </c>
      <c r="G237" s="638"/>
      <c r="H237" s="35"/>
      <c r="I237" s="643">
        <f>E237*F237</f>
        <v>17.158575372821495</v>
      </c>
      <c r="J237" s="644"/>
      <c r="K237" s="589"/>
      <c r="L237" s="790">
        <v>2</v>
      </c>
      <c r="M237" s="793"/>
      <c r="P237" s="48"/>
      <c r="Q237" s="590"/>
      <c r="R237" s="590"/>
      <c r="S237" s="590"/>
      <c r="T237" s="47"/>
      <c r="U237" s="591"/>
      <c r="V237" s="591"/>
      <c r="W237" s="41"/>
      <c r="X237" s="592"/>
      <c r="Y237" s="592"/>
      <c r="Z237" s="590"/>
      <c r="AA237" s="9"/>
      <c r="AB237" s="9"/>
      <c r="AC237" s="9"/>
      <c r="AD237" s="9"/>
      <c r="AE237" s="9"/>
      <c r="AF237" s="9"/>
    </row>
    <row r="238" spans="1:32" s="2" customFormat="1" ht="15.75" x14ac:dyDescent="0.2">
      <c r="A238" s="34" t="s">
        <v>347</v>
      </c>
      <c r="B238" s="601" t="str">
        <f>" "&amp;ROUND(kas,3)&amp;"x"&amp;(hw)&amp;"²x"&amp;ROUND(gdoy,2)&amp;"/2xsin("&amp;(ROUND(delta,2)&amp;"+"&amp;(ROUND(beta,2))&amp;")=")</f>
        <v xml:space="preserve"> 0.698x7.1²x2/2xsin(13.92+33.78)=</v>
      </c>
      <c r="C238" s="602"/>
      <c r="D238" s="603"/>
      <c r="E238" s="593">
        <f>kas*(h-(hsui+p))*(hsui+p)*gnor*SIN(beta/180*PI()+delta/180*PI())</f>
        <v>14.504429822790151</v>
      </c>
      <c r="F238" s="784">
        <f>(hsui+p)/2</f>
        <v>1.3</v>
      </c>
      <c r="G238" s="785"/>
      <c r="H238" s="35"/>
      <c r="I238" s="643">
        <f>E238*F238</f>
        <v>18.855758769627197</v>
      </c>
      <c r="J238" s="644"/>
      <c r="K238" s="589"/>
      <c r="L238" s="791"/>
      <c r="M238" s="793"/>
      <c r="P238" s="48"/>
      <c r="Q238" s="590"/>
      <c r="R238" s="590"/>
      <c r="S238" s="590"/>
      <c r="T238" s="47"/>
      <c r="U238" s="591"/>
      <c r="V238" s="591"/>
      <c r="W238" s="41"/>
      <c r="X238" s="592"/>
      <c r="Y238" s="592"/>
      <c r="Z238" s="590"/>
      <c r="AA238" s="9"/>
      <c r="AB238" s="9"/>
      <c r="AC238" s="9"/>
      <c r="AD238" s="9"/>
      <c r="AE238" s="9"/>
      <c r="AF238" s="9"/>
    </row>
    <row r="239" spans="1:32" s="2" customFormat="1" ht="12.75" x14ac:dyDescent="0.2">
      <c r="A239" s="786"/>
      <c r="B239" s="787"/>
      <c r="C239" s="787"/>
      <c r="D239" s="787"/>
      <c r="E239" s="787"/>
      <c r="F239" s="787"/>
      <c r="G239" s="787"/>
      <c r="H239" s="787"/>
      <c r="I239" s="787"/>
      <c r="J239" s="787"/>
      <c r="K239" s="787"/>
      <c r="L239" s="787"/>
      <c r="M239" s="793"/>
      <c r="P239" s="48"/>
      <c r="Q239" s="590"/>
      <c r="R239" s="590"/>
      <c r="S239" s="590"/>
      <c r="T239" s="47"/>
      <c r="U239" s="591"/>
      <c r="V239" s="591"/>
      <c r="W239" s="41"/>
      <c r="X239" s="592"/>
      <c r="Y239" s="592"/>
      <c r="Z239" s="590"/>
      <c r="AA239" s="9"/>
      <c r="AB239" s="9"/>
      <c r="AC239" s="9"/>
      <c r="AD239" s="9"/>
      <c r="AE239" s="9"/>
      <c r="AF239" s="9"/>
    </row>
    <row r="240" spans="1:32" s="2" customFormat="1" ht="15.75" x14ac:dyDescent="0.2">
      <c r="A240" s="34" t="s">
        <v>346</v>
      </c>
      <c r="B240" s="601" t="str">
        <f>" "&amp;ROUND(kas,3)&amp;"x"&amp;(hw)&amp;"²x"&amp;ROUND(gdoy,2)&amp;"/2xCOS("&amp;(ROUND(delta,2)&amp;"+"&amp;(ROUND(beta,2))&amp;")=")</f>
        <v xml:space="preserve"> 0.698x7.1²x2/2xCOS(13.92+33.78)=</v>
      </c>
      <c r="C240" s="602"/>
      <c r="D240" s="603"/>
      <c r="E240" s="593">
        <f>kas*(h-(hsui+p))^2*(gdoy-1)/2*COS(beta/180*PI()+delta/180*PI())</f>
        <v>8.460835982653597</v>
      </c>
      <c r="F240" s="637">
        <f>(hsui+p)/3</f>
        <v>0.8666666666666667</v>
      </c>
      <c r="G240" s="638"/>
      <c r="H240" s="35"/>
      <c r="I240" s="643">
        <f>E240*F240</f>
        <v>7.3327245182997842</v>
      </c>
      <c r="J240" s="644"/>
      <c r="K240" s="589"/>
      <c r="L240" s="790">
        <v>3</v>
      </c>
      <c r="M240" s="793"/>
      <c r="P240" s="48"/>
      <c r="Q240" s="590"/>
      <c r="R240" s="590"/>
      <c r="S240" s="590"/>
      <c r="T240" s="47"/>
      <c r="U240" s="591"/>
      <c r="V240" s="591"/>
      <c r="W240" s="41"/>
      <c r="X240" s="592"/>
      <c r="Y240" s="592"/>
      <c r="Z240" s="590"/>
      <c r="AA240" s="9"/>
      <c r="AB240" s="9"/>
      <c r="AC240" s="9"/>
      <c r="AD240" s="9"/>
      <c r="AE240" s="9"/>
      <c r="AF240" s="9"/>
    </row>
    <row r="241" spans="1:32" s="2" customFormat="1" ht="15.75" x14ac:dyDescent="0.2">
      <c r="A241" s="34" t="s">
        <v>347</v>
      </c>
      <c r="B241" s="601" t="str">
        <f>" "&amp;ROUND(kas,3)&amp;"x"&amp;(hw)&amp;"²x"&amp;ROUND(gdoy,2)&amp;"/2xsin("&amp;(ROUND(delta,2)&amp;"+"&amp;(ROUND(beta,2))&amp;")=")</f>
        <v xml:space="preserve"> 0.698x7.1²x2/2xsin(13.92+33.78)=</v>
      </c>
      <c r="C241" s="602"/>
      <c r="D241" s="603"/>
      <c r="E241" s="593">
        <f>kas*(h-(hsui+p))^2*(gdoy-1)/2*SIN(beta/180*PI()+delta/180*PI())</f>
        <v>9.2977114248654811</v>
      </c>
      <c r="F241" s="784">
        <f>+F178</f>
        <v>0.75</v>
      </c>
      <c r="G241" s="785"/>
      <c r="H241" s="35"/>
      <c r="I241" s="643">
        <f>E241*F241</f>
        <v>6.9732835686491104</v>
      </c>
      <c r="J241" s="644"/>
      <c r="K241" s="589"/>
      <c r="L241" s="791"/>
      <c r="M241" s="794"/>
      <c r="P241" s="48"/>
      <c r="Q241" s="590"/>
      <c r="R241" s="590"/>
      <c r="S241" s="590"/>
      <c r="T241" s="47"/>
      <c r="U241" s="591"/>
      <c r="V241" s="591"/>
      <c r="W241" s="41"/>
      <c r="X241" s="592"/>
      <c r="Y241" s="592"/>
      <c r="Z241" s="590"/>
      <c r="AA241" s="9"/>
      <c r="AB241" s="9"/>
      <c r="AC241" s="9"/>
      <c r="AD241" s="9"/>
      <c r="AE241" s="9"/>
      <c r="AF241" s="9"/>
    </row>
    <row r="242" spans="1:32" s="2" customFormat="1" ht="12.75" x14ac:dyDescent="0.2">
      <c r="A242" s="795"/>
      <c r="B242" s="795"/>
      <c r="C242" s="795"/>
      <c r="D242" s="795"/>
      <c r="E242" s="795"/>
      <c r="F242" s="795"/>
      <c r="G242" s="795"/>
      <c r="H242" s="795"/>
      <c r="I242" s="795"/>
      <c r="J242" s="795"/>
      <c r="K242" s="795"/>
      <c r="L242" s="795"/>
      <c r="M242" s="795"/>
      <c r="P242" s="48"/>
      <c r="Q242" s="590"/>
      <c r="R242" s="590"/>
      <c r="S242" s="590"/>
      <c r="T242" s="47"/>
      <c r="U242" s="591"/>
      <c r="V242" s="591"/>
      <c r="W242" s="41"/>
      <c r="X242" s="592"/>
      <c r="Y242" s="592"/>
      <c r="Z242" s="590"/>
      <c r="AA242" s="9"/>
      <c r="AB242" s="9"/>
      <c r="AC242" s="9"/>
      <c r="AD242" s="9"/>
      <c r="AE242" s="9"/>
      <c r="AF242" s="9"/>
    </row>
    <row r="243" spans="1:32" s="2" customFormat="1" ht="15.75" x14ac:dyDescent="0.2">
      <c r="A243" s="327" t="s">
        <v>351</v>
      </c>
      <c r="B243" s="634" t="str">
        <f>" "&amp;ROUND(MAX(J82:K83),3)&amp;"x"&amp;(hw)&amp;"²x"&amp;ROUND(gdoy,2)&amp;"/2xcos("&amp;(ROUND(delta,2)&amp;"+"&amp;(ROUND(beta,2))&amp;")=")</f>
        <v xml:space="preserve"> 0.434x7.1²x2/2xcos(13.92+33.78)=</v>
      </c>
      <c r="C243" s="635"/>
      <c r="D243" s="636"/>
      <c r="E243" s="561">
        <f>MAX(J82:K83)*(h-(hsui+p))^2*gnor/2*COS(beta/180*PI()+delta/180*PI())</f>
        <v>9.4664226961397731</v>
      </c>
      <c r="F243" s="637">
        <f>(h-(hsui+p))/2+(hsui+p)</f>
        <v>5.6</v>
      </c>
      <c r="G243" s="638"/>
      <c r="H243" s="328"/>
      <c r="I243" s="639">
        <f>E243*F243</f>
        <v>53.011967098382726</v>
      </c>
      <c r="J243" s="640"/>
      <c r="K243" s="554"/>
      <c r="L243" s="790">
        <v>1</v>
      </c>
      <c r="M243" s="792" t="s">
        <v>377</v>
      </c>
      <c r="P243" s="48"/>
      <c r="Q243" s="590"/>
      <c r="R243" s="590"/>
      <c r="S243" s="590"/>
      <c r="T243" s="47"/>
      <c r="U243" s="591"/>
      <c r="V243" s="591"/>
      <c r="W243" s="41"/>
      <c r="X243" s="592"/>
      <c r="Y243" s="592"/>
      <c r="Z243" s="590"/>
      <c r="AA243" s="9"/>
      <c r="AB243" s="9"/>
      <c r="AC243" s="9"/>
      <c r="AD243" s="9"/>
      <c r="AE243" s="9"/>
      <c r="AF243" s="9"/>
    </row>
    <row r="244" spans="1:32" s="2" customFormat="1" ht="15.75" x14ac:dyDescent="0.2">
      <c r="A244" s="327" t="s">
        <v>352</v>
      </c>
      <c r="B244" s="634" t="str">
        <f>" "&amp;ROUND(MAX(J84:K85),3)&amp;"x"&amp;(hw)&amp;"²x"&amp;ROUND(gdoy,2)&amp;"/2xsin("&amp;(ROUND(delta,2)&amp;"+"&amp;(ROUND(beta,2))&amp;")=")</f>
        <v xml:space="preserve"> 6.002x7.1²x2/2xsin(13.92+33.78)=</v>
      </c>
      <c r="C244" s="635"/>
      <c r="D244" s="636"/>
      <c r="E244" s="593">
        <f>MAX(J82:K83)*(h-(hsui+p))^2*gnor/2*SIN(beta/180*PI()+delta/180*PI())</f>
        <v>10.402762402551611</v>
      </c>
      <c r="F244" s="784">
        <f>+bf+bt+(bw-bt)/3</f>
        <v>4.333333333333333</v>
      </c>
      <c r="G244" s="785"/>
      <c r="H244" s="328"/>
      <c r="I244" s="639">
        <f>E244*F244</f>
        <v>45.078637077723641</v>
      </c>
      <c r="J244" s="640"/>
      <c r="K244" s="554"/>
      <c r="L244" s="791"/>
      <c r="M244" s="793"/>
      <c r="P244" s="48"/>
      <c r="Q244" s="590"/>
      <c r="R244" s="590"/>
      <c r="S244" s="590"/>
      <c r="T244" s="47"/>
      <c r="U244" s="591"/>
      <c r="V244" s="591"/>
      <c r="W244" s="41"/>
      <c r="X244" s="592"/>
      <c r="Y244" s="592"/>
      <c r="Z244" s="590"/>
      <c r="AA244" s="9"/>
      <c r="AB244" s="9"/>
      <c r="AC244" s="9"/>
      <c r="AD244" s="9"/>
      <c r="AE244" s="9"/>
      <c r="AF244" s="9"/>
    </row>
    <row r="245" spans="1:32" s="2" customFormat="1" ht="12.75" x14ac:dyDescent="0.2">
      <c r="A245" s="788"/>
      <c r="B245" s="789"/>
      <c r="C245" s="789"/>
      <c r="D245" s="789"/>
      <c r="E245" s="789"/>
      <c r="F245" s="789"/>
      <c r="G245" s="789"/>
      <c r="H245" s="789"/>
      <c r="I245" s="789"/>
      <c r="J245" s="789"/>
      <c r="K245" s="789"/>
      <c r="L245" s="789"/>
      <c r="M245" s="793"/>
      <c r="P245" s="48"/>
      <c r="Q245" s="590"/>
      <c r="R245" s="590"/>
      <c r="S245" s="590"/>
      <c r="T245" s="47"/>
      <c r="U245" s="591"/>
      <c r="V245" s="591"/>
      <c r="W245" s="41"/>
      <c r="X245" s="592"/>
      <c r="Y245" s="592"/>
      <c r="Z245" s="590"/>
      <c r="AA245" s="9"/>
      <c r="AB245" s="9"/>
      <c r="AC245" s="9"/>
      <c r="AD245" s="9"/>
      <c r="AE245" s="9"/>
      <c r="AF245" s="9"/>
    </row>
    <row r="246" spans="1:32" s="2" customFormat="1" ht="15.75" x14ac:dyDescent="0.2">
      <c r="A246" s="34" t="s">
        <v>346</v>
      </c>
      <c r="B246" s="601" t="str">
        <f>" "&amp;ROUND(kas,3)&amp;"x"&amp;(hw)&amp;"²x"&amp;ROUND(gdoy,2)&amp;"/2xCOS("&amp;(ROUND(delta,2)&amp;"+"&amp;(ROUND(beta,2))&amp;")=")</f>
        <v xml:space="preserve"> 0.698x7.1²x2/2xCOS(13.92+33.78)=</v>
      </c>
      <c r="C246" s="602"/>
      <c r="D246" s="603"/>
      <c r="E246" s="800">
        <f>MAX(J82:K83)*kas*(h-(hsui+p))*(hsui+p)*gnor*COS(beta/180*PI()+delta/180*PI())</f>
        <v>5.7298021361477085</v>
      </c>
      <c r="F246" s="597"/>
      <c r="G246" s="598"/>
      <c r="H246" s="328"/>
      <c r="I246" s="599"/>
      <c r="J246" s="600"/>
      <c r="K246" s="594"/>
      <c r="L246" s="790">
        <v>2</v>
      </c>
      <c r="M246" s="793"/>
      <c r="P246" s="48"/>
      <c r="Q246" s="590"/>
      <c r="R246" s="590"/>
      <c r="S246" s="590"/>
      <c r="T246" s="47"/>
      <c r="U246" s="591"/>
      <c r="V246" s="591"/>
      <c r="W246" s="41"/>
      <c r="X246" s="592"/>
      <c r="Y246" s="592"/>
      <c r="Z246" s="590"/>
      <c r="AA246" s="9"/>
      <c r="AB246" s="9"/>
      <c r="AC246" s="9"/>
      <c r="AD246" s="9"/>
      <c r="AE246" s="9"/>
      <c r="AF246" s="9"/>
    </row>
    <row r="247" spans="1:32" s="2" customFormat="1" ht="15.75" x14ac:dyDescent="0.2">
      <c r="A247" s="34" t="s">
        <v>347</v>
      </c>
      <c r="B247" s="601" t="str">
        <f>" "&amp;ROUND(kas,3)&amp;"x"&amp;(hw)&amp;"²x"&amp;ROUND(gdoy,2)&amp;"/2xsin("&amp;(ROUND(delta,2)&amp;"+"&amp;(ROUND(beta,2))&amp;")=")</f>
        <v xml:space="preserve"> 0.698x7.1²x2/2xsin(13.92+33.78)=</v>
      </c>
      <c r="C247" s="602"/>
      <c r="D247" s="603"/>
      <c r="E247" s="800">
        <f>MAX(J82:K83)*kas*(h-(hsui+p))*(hsui+p)*gnor*SIN(beta/180*PI()+delta/180*PI())</f>
        <v>6.2965464515210572</v>
      </c>
      <c r="F247" s="597"/>
      <c r="G247" s="598"/>
      <c r="H247" s="328"/>
      <c r="I247" s="599"/>
      <c r="J247" s="600"/>
      <c r="K247" s="594"/>
      <c r="L247" s="791"/>
      <c r="M247" s="793"/>
      <c r="P247" s="48"/>
      <c r="Q247" s="590"/>
      <c r="R247" s="590"/>
      <c r="S247" s="590"/>
      <c r="T247" s="47"/>
      <c r="U247" s="591"/>
      <c r="V247" s="591"/>
      <c r="W247" s="41"/>
      <c r="X247" s="592"/>
      <c r="Y247" s="592"/>
      <c r="Z247" s="590"/>
      <c r="AA247" s="9"/>
      <c r="AB247" s="9"/>
      <c r="AC247" s="9"/>
      <c r="AD247" s="9"/>
      <c r="AE247" s="9"/>
      <c r="AF247" s="9"/>
    </row>
    <row r="248" spans="1:32" s="2" customFormat="1" ht="12.75" x14ac:dyDescent="0.2">
      <c r="A248" s="788"/>
      <c r="B248" s="789"/>
      <c r="C248" s="789"/>
      <c r="D248" s="789"/>
      <c r="E248" s="789"/>
      <c r="F248" s="789"/>
      <c r="G248" s="789"/>
      <c r="H248" s="789"/>
      <c r="I248" s="789"/>
      <c r="J248" s="789"/>
      <c r="K248" s="789"/>
      <c r="L248" s="789"/>
      <c r="M248" s="793"/>
      <c r="P248" s="48"/>
      <c r="Q248" s="590"/>
      <c r="R248" s="590"/>
      <c r="S248" s="590"/>
      <c r="T248" s="47"/>
      <c r="U248" s="591"/>
      <c r="V248" s="591"/>
      <c r="W248" s="41"/>
      <c r="X248" s="592"/>
      <c r="Y248" s="592"/>
      <c r="Z248" s="590"/>
      <c r="AA248" s="9"/>
      <c r="AB248" s="9"/>
      <c r="AC248" s="9"/>
      <c r="AD248" s="9"/>
      <c r="AE248" s="9"/>
      <c r="AF248" s="9"/>
    </row>
    <row r="249" spans="1:32" s="2" customFormat="1" ht="15.75" x14ac:dyDescent="0.2">
      <c r="A249" s="34" t="s">
        <v>346</v>
      </c>
      <c r="B249" s="601" t="str">
        <f>" "&amp;ROUND(kas,3)&amp;"x"&amp;(hw)&amp;"²x"&amp;ROUND(gdoy,2)&amp;"/2xCOS("&amp;(ROUND(delta,2)&amp;"+"&amp;(ROUND(beta,2))&amp;")=")</f>
        <v xml:space="preserve"> 0.698x7.1²x2/2xCOS(13.92+33.78)=</v>
      </c>
      <c r="C249" s="602"/>
      <c r="D249" s="603"/>
      <c r="E249" s="593">
        <f>MAX(J82:K83)*(h-(hsui+p))^2*(gdoy-1)/2*COS(beta/180*PI()+delta/180*PI())</f>
        <v>5.2591237200776515</v>
      </c>
      <c r="F249" s="637">
        <f>(hsui+p)/3</f>
        <v>0.8666666666666667</v>
      </c>
      <c r="G249" s="638"/>
      <c r="H249" s="35"/>
      <c r="I249" s="643">
        <f>E249*F249</f>
        <v>4.5579072240672982</v>
      </c>
      <c r="J249" s="644"/>
      <c r="K249" s="589"/>
      <c r="L249" s="790">
        <v>3</v>
      </c>
      <c r="M249" s="793"/>
      <c r="P249" s="48"/>
      <c r="Q249" s="590"/>
      <c r="R249" s="590"/>
      <c r="S249" s="590"/>
      <c r="T249" s="47"/>
      <c r="U249" s="591"/>
      <c r="V249" s="591"/>
      <c r="W249" s="41"/>
      <c r="X249" s="592"/>
      <c r="Y249" s="592"/>
      <c r="Z249" s="590"/>
      <c r="AA249" s="9"/>
      <c r="AB249" s="9"/>
      <c r="AC249" s="9"/>
      <c r="AD249" s="9"/>
      <c r="AE249" s="9"/>
      <c r="AF249" s="9"/>
    </row>
    <row r="250" spans="1:32" s="2" customFormat="1" ht="15.75" x14ac:dyDescent="0.2">
      <c r="A250" s="34" t="s">
        <v>347</v>
      </c>
      <c r="B250" s="601" t="str">
        <f>" "&amp;ROUND(kas,3)&amp;"x"&amp;(hw)&amp;"²x"&amp;ROUND(gdoy,2)&amp;"/2xsin("&amp;(ROUND(delta,2)&amp;"+"&amp;(ROUND(beta,2))&amp;")=")</f>
        <v xml:space="preserve"> 0.698x7.1²x2/2xsin(13.92+33.78)=</v>
      </c>
      <c r="C250" s="602"/>
      <c r="D250" s="603"/>
      <c r="E250" s="593">
        <f>MAX(J82:K83)*(h-(hsui+p))^2*(gdoy-1)/2*SIN(beta/180*PI()+delta/180*PI())</f>
        <v>5.779312445862006</v>
      </c>
      <c r="F250" s="784">
        <f>+F187</f>
        <v>0</v>
      </c>
      <c r="G250" s="785"/>
      <c r="H250" s="35"/>
      <c r="I250" s="643">
        <f>E250*F250</f>
        <v>0</v>
      </c>
      <c r="J250" s="644"/>
      <c r="K250" s="589"/>
      <c r="L250" s="791"/>
      <c r="M250" s="794"/>
      <c r="P250" s="48"/>
      <c r="Q250" s="590"/>
      <c r="R250" s="590"/>
      <c r="S250" s="590"/>
      <c r="T250" s="47"/>
      <c r="U250" s="591"/>
      <c r="V250" s="591"/>
      <c r="W250" s="41"/>
      <c r="X250" s="592"/>
      <c r="Y250" s="592"/>
      <c r="Z250" s="590"/>
      <c r="AA250" s="9"/>
      <c r="AB250" s="9"/>
      <c r="AC250" s="9"/>
      <c r="AD250" s="9"/>
      <c r="AE250" s="9"/>
      <c r="AF250" s="9"/>
    </row>
    <row r="251" spans="1:32" s="2" customFormat="1" ht="12.75" x14ac:dyDescent="0.2">
      <c r="A251" s="798"/>
      <c r="B251" s="799"/>
      <c r="C251" s="799"/>
      <c r="D251" s="799"/>
      <c r="E251" s="799"/>
      <c r="F251" s="799"/>
      <c r="G251" s="799"/>
      <c r="H251" s="799"/>
      <c r="I251" s="799"/>
      <c r="J251" s="799"/>
      <c r="K251" s="799"/>
      <c r="L251" s="799"/>
      <c r="M251" s="799"/>
      <c r="P251" s="48"/>
      <c r="Q251" s="590"/>
      <c r="R251" s="590"/>
      <c r="S251" s="590"/>
      <c r="T251" s="47"/>
      <c r="U251" s="591"/>
      <c r="V251" s="591"/>
      <c r="W251" s="41"/>
      <c r="X251" s="592"/>
      <c r="Y251" s="592"/>
      <c r="Z251" s="590"/>
      <c r="AA251" s="9"/>
      <c r="AB251" s="9"/>
      <c r="AC251" s="9"/>
      <c r="AD251" s="9"/>
      <c r="AE251" s="9"/>
      <c r="AF251" s="9"/>
    </row>
    <row r="252" spans="1:32" s="2" customFormat="1" ht="12.75" x14ac:dyDescent="0.2">
      <c r="A252" s="327"/>
      <c r="B252" s="594"/>
      <c r="C252" s="595"/>
      <c r="D252" s="596"/>
      <c r="E252" s="593"/>
      <c r="F252" s="597"/>
      <c r="G252" s="598"/>
      <c r="H252" s="328"/>
      <c r="I252" s="599"/>
      <c r="J252" s="600"/>
      <c r="K252" s="594"/>
      <c r="L252" s="70"/>
      <c r="P252" s="48"/>
      <c r="Q252" s="590"/>
      <c r="R252" s="590"/>
      <c r="S252" s="590"/>
      <c r="T252" s="47"/>
      <c r="U252" s="591"/>
      <c r="V252" s="591"/>
      <c r="W252" s="41"/>
      <c r="X252" s="592"/>
      <c r="Y252" s="592"/>
      <c r="Z252" s="590"/>
      <c r="AA252" s="9"/>
      <c r="AB252" s="9"/>
      <c r="AC252" s="9"/>
      <c r="AD252" s="9"/>
      <c r="AE252" s="9"/>
      <c r="AF252" s="9"/>
    </row>
    <row r="253" spans="1:32" s="2" customFormat="1" ht="12.75" x14ac:dyDescent="0.2">
      <c r="A253" s="327"/>
      <c r="B253" s="594"/>
      <c r="C253" s="595"/>
      <c r="D253" s="596"/>
      <c r="E253" s="593"/>
      <c r="F253" s="597"/>
      <c r="G253" s="598"/>
      <c r="H253" s="328"/>
      <c r="I253" s="599"/>
      <c r="J253" s="600"/>
      <c r="K253" s="594"/>
      <c r="L253" s="70"/>
      <c r="P253" s="48"/>
      <c r="Q253" s="590"/>
      <c r="R253" s="590"/>
      <c r="S253" s="590"/>
      <c r="T253" s="47"/>
      <c r="U253" s="591"/>
      <c r="V253" s="591"/>
      <c r="W253" s="41"/>
      <c r="X253" s="592"/>
      <c r="Y253" s="592"/>
      <c r="Z253" s="590"/>
      <c r="AA253" s="9"/>
      <c r="AB253" s="9"/>
      <c r="AC253" s="9"/>
      <c r="AD253" s="9"/>
      <c r="AE253" s="9"/>
      <c r="AF253" s="9"/>
    </row>
    <row r="254" spans="1:32" s="2" customFormat="1" ht="15.75" x14ac:dyDescent="0.2">
      <c r="A254" s="34" t="s">
        <v>93</v>
      </c>
      <c r="B254" s="601" t="str">
        <f>" "&amp;gw&amp;"x"&amp;(hsui+p)&amp;"²/2="</f>
        <v xml:space="preserve"> 1x2.6²/2=</v>
      </c>
      <c r="C254" s="602"/>
      <c r="D254" s="603"/>
      <c r="E254" s="561">
        <f>0.5*(hsui+p)^2*gw</f>
        <v>3.3800000000000003</v>
      </c>
      <c r="F254" s="641">
        <f>(hsui+p)/3</f>
        <v>0.8666666666666667</v>
      </c>
      <c r="G254" s="642"/>
      <c r="H254" s="35"/>
      <c r="I254" s="643">
        <f t="shared" si="10"/>
        <v>2.9293333333333336</v>
      </c>
      <c r="J254" s="644"/>
      <c r="K254" s="544"/>
      <c r="L254" s="70"/>
    </row>
    <row r="255" spans="1:32" s="193" customFormat="1" ht="15.75" x14ac:dyDescent="0.3">
      <c r="A255" s="569" t="s">
        <v>330</v>
      </c>
      <c r="B255" s="698" t="str">
        <f>+B178</f>
        <v xml:space="preserve"> 8x1.5x2.4x0.297=</v>
      </c>
      <c r="C255" s="699"/>
      <c r="D255" s="700"/>
      <c r="E255" s="561">
        <v>0</v>
      </c>
      <c r="F255" s="642">
        <f>+F178</f>
        <v>0.75</v>
      </c>
      <c r="G255" s="646"/>
      <c r="H255" s="346"/>
      <c r="I255" s="644">
        <f>E255*F255</f>
        <v>0</v>
      </c>
      <c r="J255" s="645"/>
      <c r="K255" s="345"/>
      <c r="L255" s="347"/>
      <c r="P255" s="183"/>
      <c r="Q255" s="556"/>
      <c r="R255" s="556"/>
      <c r="S255" s="556"/>
      <c r="T255" s="181"/>
      <c r="U255" s="557"/>
      <c r="V255" s="557"/>
      <c r="W255" s="564"/>
      <c r="X255" s="563"/>
      <c r="Y255" s="563"/>
      <c r="Z255" s="556"/>
      <c r="AA255" s="168"/>
      <c r="AB255" s="168"/>
      <c r="AC255" s="168"/>
      <c r="AD255" s="168"/>
      <c r="AE255" s="168"/>
      <c r="AF255" s="168"/>
    </row>
    <row r="256" spans="1:32" s="193" customFormat="1" ht="15.75" x14ac:dyDescent="0.2">
      <c r="A256" s="34" t="s">
        <v>212</v>
      </c>
      <c r="B256" s="601" t="str">
        <f>" "&amp;ROUND($J$87,3)&amp;"x"&amp;hs&amp;"x"&amp;$I$30&amp;"x"&amp;gnor&amp;"="</f>
        <v xml:space="preserve"> 2.55x1.5x0x1.8=</v>
      </c>
      <c r="C256" s="602"/>
      <c r="D256" s="603"/>
      <c r="E256" s="561">
        <f>gnor*$J$87*hs*$I$30</f>
        <v>0</v>
      </c>
      <c r="F256" s="642">
        <f>$I$30/2</f>
        <v>0</v>
      </c>
      <c r="G256" s="646"/>
      <c r="H256" s="346"/>
      <c r="I256" s="644">
        <f>E256*F256</f>
        <v>0</v>
      </c>
      <c r="J256" s="645"/>
      <c r="K256" s="544"/>
      <c r="L256" s="347"/>
      <c r="P256" s="183"/>
      <c r="Q256" s="556"/>
      <c r="R256" s="556"/>
      <c r="S256" s="556"/>
      <c r="T256" s="181"/>
      <c r="U256" s="557"/>
      <c r="V256" s="557"/>
      <c r="W256" s="564"/>
      <c r="X256" s="563"/>
      <c r="Y256" s="563"/>
      <c r="Z256" s="556"/>
      <c r="AA256" s="168"/>
      <c r="AB256" s="168"/>
      <c r="AC256" s="168"/>
      <c r="AD256" s="168"/>
      <c r="AE256" s="168"/>
      <c r="AF256" s="168"/>
    </row>
    <row r="257" spans="1:32" s="193" customFormat="1" ht="15.75" x14ac:dyDescent="0.3">
      <c r="A257" s="569" t="s">
        <v>213</v>
      </c>
      <c r="B257" s="601" t="str">
        <f>" "&amp;ROUND($J$87,3)&amp;"x"&amp;$I$30&amp;"x"&amp;$I$30&amp;"x"&amp;gnor&amp;"/2="</f>
        <v xml:space="preserve"> 2.55x0x0x1.8/2=</v>
      </c>
      <c r="C257" s="602"/>
      <c r="D257" s="603"/>
      <c r="E257" s="462">
        <f>$J$87*$I$30*$I$30*gnor/2</f>
        <v>0</v>
      </c>
      <c r="F257" s="642">
        <f>$I$30*2/3</f>
        <v>0</v>
      </c>
      <c r="G257" s="646"/>
      <c r="H257" s="346"/>
      <c r="I257" s="644">
        <f>E257*F257</f>
        <v>0</v>
      </c>
      <c r="J257" s="645"/>
      <c r="K257" s="544"/>
      <c r="N257" s="347"/>
      <c r="P257" s="183"/>
      <c r="Q257" s="556"/>
      <c r="R257" s="556"/>
      <c r="S257" s="556"/>
      <c r="T257" s="181"/>
      <c r="U257" s="557"/>
      <c r="V257" s="557"/>
      <c r="W257" s="564"/>
      <c r="X257" s="563"/>
      <c r="Y257" s="563"/>
      <c r="Z257" s="556"/>
      <c r="AA257" s="168"/>
      <c r="AB257" s="168"/>
      <c r="AC257" s="168"/>
      <c r="AD257" s="168"/>
      <c r="AE257" s="168"/>
      <c r="AF257" s="168"/>
    </row>
    <row r="258" spans="1:32" s="193" customFormat="1" ht="15.75" hidden="1" x14ac:dyDescent="0.3">
      <c r="A258" s="439" t="s">
        <v>333</v>
      </c>
      <c r="B258" s="661"/>
      <c r="C258" s="661"/>
      <c r="D258" s="661"/>
      <c r="E258" s="463">
        <f>+'depremli durum ankraj'!I114</f>
        <v>0</v>
      </c>
      <c r="F258" s="642"/>
      <c r="G258" s="646"/>
      <c r="H258" s="346"/>
      <c r="I258" s="645">
        <f>+E258*F258</f>
        <v>0</v>
      </c>
      <c r="J258" s="645"/>
      <c r="K258" s="544"/>
      <c r="N258" s="347"/>
      <c r="P258" s="183"/>
      <c r="Q258" s="556"/>
      <c r="R258" s="556"/>
      <c r="S258" s="556"/>
      <c r="T258" s="181"/>
      <c r="U258" s="557"/>
      <c r="V258" s="557"/>
      <c r="W258" s="564"/>
      <c r="X258" s="563"/>
      <c r="Y258" s="563"/>
      <c r="Z258" s="556"/>
      <c r="AA258" s="168"/>
      <c r="AB258" s="168"/>
      <c r="AC258" s="168"/>
      <c r="AD258" s="168"/>
      <c r="AE258" s="168"/>
      <c r="AF258" s="168"/>
    </row>
    <row r="259" spans="1:32" s="2" customFormat="1" ht="12.75" x14ac:dyDescent="0.2">
      <c r="A259" s="48"/>
      <c r="B259" s="558"/>
      <c r="C259" s="558"/>
      <c r="D259" s="558"/>
      <c r="E259" s="181"/>
      <c r="F259" s="559"/>
      <c r="G259" s="559"/>
      <c r="H259" s="41"/>
      <c r="I259" s="553"/>
      <c r="J259" s="553"/>
      <c r="K259" s="558"/>
      <c r="P259" s="48"/>
      <c r="Q259" s="558"/>
      <c r="R259" s="558"/>
      <c r="S259" s="558"/>
      <c r="T259" s="47"/>
      <c r="U259" s="559"/>
      <c r="V259" s="559"/>
      <c r="W259" s="41"/>
      <c r="X259" s="553"/>
      <c r="Y259" s="553"/>
      <c r="Z259" s="558"/>
      <c r="AA259" s="9"/>
      <c r="AB259" s="9"/>
      <c r="AC259" s="9"/>
      <c r="AD259" s="9"/>
      <c r="AE259" s="9"/>
      <c r="AF259" s="9"/>
    </row>
    <row r="260" spans="1:32" s="2" customFormat="1" x14ac:dyDescent="0.2">
      <c r="A260" s="22" t="s">
        <v>71</v>
      </c>
      <c r="B260" s="8"/>
      <c r="C260" s="8"/>
      <c r="D260" s="37"/>
      <c r="E260" s="465"/>
      <c r="F260" s="8"/>
      <c r="G260" s="8"/>
      <c r="H260" s="16"/>
      <c r="K260" s="8"/>
      <c r="P260" s="48"/>
      <c r="Q260" s="647"/>
      <c r="R260" s="647"/>
      <c r="S260" s="647"/>
      <c r="T260" s="47"/>
      <c r="U260" s="648"/>
      <c r="V260" s="648"/>
      <c r="W260" s="41"/>
      <c r="X260" s="653"/>
      <c r="Y260" s="653"/>
      <c r="Z260" s="558"/>
      <c r="AA260" s="9"/>
      <c r="AB260" s="9"/>
      <c r="AC260" s="9"/>
      <c r="AD260" s="9"/>
      <c r="AE260" s="9"/>
      <c r="AF260" s="9"/>
    </row>
    <row r="261" spans="1:32" s="2" customFormat="1" ht="29.25" customHeight="1" x14ac:dyDescent="0.25">
      <c r="A261" s="632"/>
      <c r="B261" s="632"/>
      <c r="C261" s="633"/>
      <c r="D261" s="633"/>
      <c r="E261" s="464"/>
      <c r="F261" s="39"/>
      <c r="G261" s="558"/>
      <c r="H261" s="41"/>
      <c r="I261" s="9"/>
      <c r="J261" s="9"/>
      <c r="K261" s="558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  <c r="AA261" s="9"/>
      <c r="AB261" s="9"/>
      <c r="AC261" s="9"/>
      <c r="AD261" s="9"/>
      <c r="AE261" s="9"/>
      <c r="AF261" s="9"/>
    </row>
    <row r="262" spans="1:32" s="2" customFormat="1" ht="19.5" customHeight="1" x14ac:dyDescent="0.2">
      <c r="A262" s="9"/>
      <c r="B262" s="42"/>
      <c r="C262" s="9"/>
      <c r="D262" s="43"/>
      <c r="E262" s="464"/>
      <c r="F262" s="558"/>
      <c r="G262" s="558"/>
      <c r="H262" s="41"/>
      <c r="I262" s="9"/>
      <c r="J262" s="9"/>
      <c r="K262" s="558"/>
      <c r="N262" s="70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  <c r="AA262" s="9"/>
      <c r="AB262" s="9"/>
      <c r="AC262" s="9"/>
      <c r="AD262" s="9"/>
      <c r="AE262" s="9"/>
      <c r="AF262" s="9"/>
    </row>
    <row r="263" spans="1:32" s="2" customFormat="1" ht="19.5" customHeight="1" x14ac:dyDescent="0.2">
      <c r="A263" s="558"/>
      <c r="B263" s="558"/>
      <c r="C263" s="558"/>
      <c r="D263" s="44"/>
      <c r="E263" s="465"/>
      <c r="F263" s="8"/>
      <c r="G263" s="8"/>
      <c r="H263" s="16"/>
      <c r="K263" s="8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  <c r="AA263" s="9"/>
      <c r="AB263" s="9"/>
      <c r="AC263" s="9"/>
      <c r="AD263" s="9"/>
      <c r="AE263" s="9"/>
      <c r="AF263" s="9"/>
    </row>
    <row r="264" spans="1:32" s="2" customFormat="1" ht="15" x14ac:dyDescent="0.25">
      <c r="A264" s="8"/>
      <c r="B264" s="8"/>
      <c r="C264" s="39"/>
      <c r="D264" s="37"/>
      <c r="E264" s="465"/>
      <c r="F264" s="8"/>
      <c r="G264" s="8"/>
      <c r="H264" s="16"/>
      <c r="K264" s="8"/>
      <c r="N264" s="70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  <c r="AA264" s="9"/>
      <c r="AB264" s="9"/>
      <c r="AC264" s="9"/>
      <c r="AD264" s="9"/>
      <c r="AE264" s="9"/>
      <c r="AF264" s="9"/>
    </row>
    <row r="265" spans="1:32" s="2" customFormat="1" ht="28.5" customHeight="1" x14ac:dyDescent="0.2">
      <c r="A265" s="545"/>
      <c r="B265" s="649"/>
      <c r="C265" s="649"/>
      <c r="D265" s="46" t="s">
        <v>72</v>
      </c>
      <c r="E265" s="181">
        <f>IF(B266&lt;b/6,C275/b*(1+6*B266/b),2/3*C275/(b/2-B266))</f>
        <v>57.885408454078345</v>
      </c>
      <c r="F265" s="48" t="s">
        <v>25</v>
      </c>
      <c r="G265" s="48" t="str">
        <f>IF(E265&lt;I265,"&lt;","&gt;")</f>
        <v>&lt;</v>
      </c>
      <c r="H265" s="46" t="s">
        <v>75</v>
      </c>
      <c r="I265" s="49">
        <f>I49</f>
        <v>400</v>
      </c>
      <c r="J265" s="48" t="s">
        <v>25</v>
      </c>
      <c r="K265" s="50" t="str">
        <f>IF(G265="&lt;","O.K.","not O.K.")</f>
        <v>O.K.</v>
      </c>
      <c r="N265" s="70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  <c r="AA265" s="9"/>
      <c r="AB265" s="9"/>
      <c r="AC265" s="9"/>
      <c r="AD265" s="9"/>
      <c r="AE265" s="9"/>
      <c r="AF265" s="9"/>
    </row>
    <row r="266" spans="1:32" s="2" customFormat="1" ht="18" x14ac:dyDescent="0.2">
      <c r="A266" s="560">
        <f>+(A270-C270)/C275</f>
        <v>1.7775094145245629</v>
      </c>
      <c r="B266" s="643">
        <f>b/2-A266</f>
        <v>2.2224905854754371</v>
      </c>
      <c r="C266" s="643"/>
      <c r="D266" s="46" t="s">
        <v>73</v>
      </c>
      <c r="E266" s="181">
        <f>IF(B266&lt;b/6,C275/b*(1-6*B266/b),0)</f>
        <v>0</v>
      </c>
      <c r="F266" s="48" t="s">
        <v>25</v>
      </c>
      <c r="G266" s="48" t="str">
        <f>IF(E266&lt;I266,"&lt;","&gt;")</f>
        <v>&gt;</v>
      </c>
      <c r="H266" s="46" t="s">
        <v>74</v>
      </c>
      <c r="I266" s="49">
        <v>0</v>
      </c>
      <c r="J266" s="48" t="s">
        <v>25</v>
      </c>
      <c r="K266" s="50" t="str">
        <f>IF(E266&lt;I266,"not O.K.","O.K.")</f>
        <v>O.K.</v>
      </c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  <c r="AA266" s="9"/>
      <c r="AB266" s="9"/>
      <c r="AC266" s="9"/>
      <c r="AD266" s="9"/>
      <c r="AE266" s="9"/>
      <c r="AF266" s="9"/>
    </row>
    <row r="267" spans="1:32" s="2" customFormat="1" ht="8.25" customHeight="1" x14ac:dyDescent="0.2">
      <c r="E267" s="193"/>
      <c r="I267" s="7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  <c r="AA267" s="9"/>
      <c r="AB267" s="9"/>
      <c r="AC267" s="9"/>
      <c r="AD267" s="9"/>
      <c r="AE267" s="9"/>
      <c r="AF267" s="9"/>
    </row>
    <row r="268" spans="1:32" s="2" customFormat="1" x14ac:dyDescent="0.2">
      <c r="A268" s="22" t="s">
        <v>69</v>
      </c>
      <c r="B268" s="28"/>
      <c r="C268" s="28"/>
      <c r="D268" s="28"/>
      <c r="E268" s="310"/>
      <c r="F268" s="28"/>
      <c r="G268" s="28"/>
      <c r="H268" s="29"/>
      <c r="I268" s="30"/>
      <c r="J268" s="28"/>
      <c r="K268" s="28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  <c r="AA268" s="9"/>
      <c r="AB268" s="9"/>
      <c r="AC268" s="9"/>
      <c r="AD268" s="9"/>
      <c r="AE268" s="9"/>
      <c r="AF268" s="9"/>
    </row>
    <row r="269" spans="1:32" s="2" customFormat="1" ht="33" customHeight="1" x14ac:dyDescent="0.25">
      <c r="A269" s="650" t="s">
        <v>64</v>
      </c>
      <c r="B269" s="650"/>
      <c r="C269" s="651" t="s">
        <v>65</v>
      </c>
      <c r="D269" s="652"/>
      <c r="E269" s="540"/>
      <c r="F269" s="52"/>
      <c r="G269" s="6"/>
      <c r="H269" s="541" t="s">
        <v>66</v>
      </c>
      <c r="J269" s="28"/>
      <c r="K269" s="1"/>
    </row>
    <row r="270" spans="1:32" s="2" customFormat="1" ht="12.75" x14ac:dyDescent="0.2">
      <c r="A270" s="621">
        <f>+I227+I228+I229+I235+I244+I254</f>
        <v>475.93859708587428</v>
      </c>
      <c r="B270" s="621"/>
      <c r="C270" s="622">
        <f>+I243+I230+I231+I232+I234</f>
        <v>201.60172636808784</v>
      </c>
      <c r="D270" s="623"/>
      <c r="E270" s="548">
        <f>A270/C270</f>
        <v>2.3607863169628693</v>
      </c>
      <c r="F270" s="4" t="str">
        <f>IF(E270&lt;G270,"&lt;","&gt;")</f>
        <v>&gt;</v>
      </c>
      <c r="G270" s="76">
        <v>1.2</v>
      </c>
      <c r="H270" s="5" t="str">
        <f>IF(F270="&gt;","O.K.","not O.K.")</f>
        <v>O.K.</v>
      </c>
      <c r="J270" s="7"/>
      <c r="K270" s="7"/>
    </row>
    <row r="271" spans="1:32" s="2" customFormat="1" ht="12.75" hidden="1" customHeight="1" x14ac:dyDescent="0.2">
      <c r="A271" s="622">
        <f>+A270+I258</f>
        <v>475.93859708587428</v>
      </c>
      <c r="B271" s="623"/>
      <c r="C271" s="621">
        <f>+C270</f>
        <v>201.60172636808784</v>
      </c>
      <c r="D271" s="621"/>
      <c r="E271" s="622">
        <f>A271/C271</f>
        <v>2.3607863169628693</v>
      </c>
      <c r="F271" s="624"/>
      <c r="G271" s="4" t="str">
        <f>IF(E271&lt;H271,"&lt;","&gt;")</f>
        <v>&gt;</v>
      </c>
      <c r="H271" s="76">
        <v>1.2</v>
      </c>
      <c r="I271" s="5" t="str">
        <f>IF(G271="&gt;","O.K.","not O.K.")</f>
        <v>O.K.</v>
      </c>
      <c r="J271" s="28" t="s">
        <v>327</v>
      </c>
      <c r="K271" s="28"/>
    </row>
    <row r="272" spans="1:32" s="2" customFormat="1" ht="15" customHeight="1" x14ac:dyDescent="0.2">
      <c r="A272" s="28"/>
      <c r="B272" s="28"/>
      <c r="C272" s="28"/>
      <c r="D272" s="28"/>
      <c r="E272" s="310"/>
      <c r="F272" s="28"/>
      <c r="G272" s="28"/>
      <c r="H272" s="29"/>
      <c r="I272" s="30"/>
      <c r="J272" s="28"/>
      <c r="K272" s="28"/>
    </row>
    <row r="273" spans="1:11" s="2" customFormat="1" x14ac:dyDescent="0.2">
      <c r="A273" s="22" t="s">
        <v>70</v>
      </c>
      <c r="B273" s="28"/>
      <c r="C273" s="28"/>
      <c r="D273" s="28"/>
      <c r="E273" s="310"/>
      <c r="F273" s="28"/>
      <c r="G273" s="28"/>
      <c r="H273" s="29"/>
      <c r="I273" s="30"/>
      <c r="J273" s="28"/>
      <c r="K273" s="28"/>
    </row>
    <row r="274" spans="1:11" s="2" customFormat="1" ht="31.5" customHeight="1" x14ac:dyDescent="0.2">
      <c r="A274" s="650" t="s">
        <v>67</v>
      </c>
      <c r="B274" s="650"/>
      <c r="C274" s="651" t="s">
        <v>68</v>
      </c>
      <c r="D274" s="652"/>
      <c r="E274" s="539" t="s">
        <v>11</v>
      </c>
      <c r="F274" s="741"/>
      <c r="G274" s="742"/>
      <c r="H274" s="53"/>
      <c r="I274" s="53" t="s">
        <v>66</v>
      </c>
      <c r="J274" s="56"/>
      <c r="K274" s="10"/>
    </row>
    <row r="275" spans="1:11" s="2" customFormat="1" ht="12.75" x14ac:dyDescent="0.2">
      <c r="A275" s="621">
        <f>SUM(E234:E243)-E256-E257-E254</f>
        <v>83.513689392922956</v>
      </c>
      <c r="B275" s="621"/>
      <c r="C275" s="622">
        <f>SUM(E227:E235)+E244</f>
        <v>154.33778773608597</v>
      </c>
      <c r="D275" s="623"/>
      <c r="E275" s="298">
        <f>+E203</f>
        <v>0.65</v>
      </c>
      <c r="F275" s="622">
        <f>C275*E275/A275</f>
        <v>1.2012349443270685</v>
      </c>
      <c r="G275" s="624"/>
      <c r="H275" s="4" t="str">
        <f>IF(F275&lt;I275,"&lt;","&gt;")</f>
        <v>&gt;</v>
      </c>
      <c r="I275" s="76">
        <v>1.2</v>
      </c>
      <c r="J275" s="5" t="str">
        <f>IF(H275="&gt;","O.K.","not O.K.")</f>
        <v>O.K.</v>
      </c>
      <c r="K275" s="8"/>
    </row>
    <row r="276" spans="1:11" s="2" customFormat="1" ht="9.75" customHeight="1" x14ac:dyDescent="0.2">
      <c r="A276" s="28"/>
      <c r="B276" s="28"/>
      <c r="C276" s="28"/>
      <c r="D276" s="28"/>
      <c r="E276" s="310"/>
      <c r="F276" s="28"/>
      <c r="G276" s="28"/>
      <c r="H276" s="29"/>
      <c r="I276" s="30"/>
      <c r="J276" s="28"/>
      <c r="K276" s="28"/>
    </row>
    <row r="277" spans="1:11" s="2" customFormat="1" ht="9.75" customHeight="1" x14ac:dyDescent="0.2">
      <c r="A277" s="28"/>
      <c r="B277" s="28"/>
      <c r="C277" s="28"/>
      <c r="D277" s="28"/>
      <c r="E277" s="310"/>
      <c r="F277" s="28"/>
      <c r="G277" s="28"/>
      <c r="H277" s="29"/>
      <c r="I277" s="30"/>
      <c r="J277" s="28"/>
      <c r="K277" s="28"/>
    </row>
    <row r="278" spans="1:11" s="2" customFormat="1" ht="15" x14ac:dyDescent="0.25">
      <c r="A278" s="715" t="s">
        <v>343</v>
      </c>
      <c r="B278" s="715"/>
      <c r="C278" s="715"/>
      <c r="D278" s="715"/>
      <c r="E278" s="715"/>
      <c r="F278" s="715"/>
      <c r="G278" s="715"/>
      <c r="H278" s="715"/>
      <c r="I278" s="715"/>
      <c r="J278" s="715"/>
      <c r="K278" s="715"/>
    </row>
    <row r="279" spans="1:11" s="2" customFormat="1" x14ac:dyDescent="0.2">
      <c r="A279" s="28"/>
      <c r="B279" s="28"/>
      <c r="C279" s="28"/>
      <c r="D279" s="28"/>
      <c r="E279" s="310"/>
      <c r="F279" s="28"/>
      <c r="G279" s="28"/>
      <c r="H279" s="28"/>
      <c r="I279" s="28"/>
      <c r="J279" s="28"/>
      <c r="K279" s="28"/>
    </row>
    <row r="280" spans="1:11" s="2" customFormat="1" ht="26.25" customHeight="1" x14ac:dyDescent="0.2">
      <c r="A280" s="28"/>
      <c r="B280" s="28"/>
      <c r="C280" s="28"/>
      <c r="D280" s="28"/>
      <c r="E280" s="310"/>
      <c r="F280" s="28"/>
      <c r="G280" s="28"/>
      <c r="H280" s="29"/>
      <c r="I280" s="30"/>
      <c r="J280" s="28"/>
      <c r="K280" s="28"/>
    </row>
    <row r="281" spans="1:11" s="2" customFormat="1" ht="26.25" customHeight="1" x14ac:dyDescent="0.2">
      <c r="A281" s="28"/>
      <c r="B281" s="28"/>
      <c r="C281" s="28"/>
      <c r="D281" s="28"/>
      <c r="E281" s="310"/>
      <c r="F281" s="28"/>
      <c r="G281" s="28"/>
      <c r="H281" s="29"/>
      <c r="I281" s="30"/>
      <c r="J281" s="28"/>
      <c r="K281" s="28"/>
    </row>
    <row r="282" spans="1:11" s="2" customFormat="1" x14ac:dyDescent="0.2">
      <c r="A282" s="28"/>
      <c r="B282" s="28"/>
      <c r="C282" s="28"/>
      <c r="D282" s="28"/>
      <c r="E282" s="310"/>
      <c r="F282" s="28"/>
      <c r="G282" s="28"/>
      <c r="H282" s="29"/>
      <c r="I282" s="30"/>
      <c r="J282" s="28"/>
      <c r="K282" s="28"/>
    </row>
    <row r="283" spans="1:11" s="2" customFormat="1" x14ac:dyDescent="0.2">
      <c r="A283" s="28"/>
      <c r="B283" s="28"/>
      <c r="C283" s="28"/>
      <c r="D283" s="28"/>
      <c r="E283" s="310"/>
      <c r="F283" s="28"/>
      <c r="G283" s="28"/>
      <c r="H283" s="29"/>
      <c r="I283" s="30"/>
      <c r="J283" s="28"/>
      <c r="K283" s="28"/>
    </row>
    <row r="284" spans="1:11" s="2" customFormat="1" x14ac:dyDescent="0.2">
      <c r="A284" s="28"/>
      <c r="B284" s="28"/>
      <c r="C284" s="28"/>
      <c r="D284" s="28"/>
      <c r="E284" s="310"/>
      <c r="F284" s="28"/>
      <c r="G284" s="28"/>
      <c r="H284" s="29"/>
      <c r="I284" s="30"/>
      <c r="J284" s="28"/>
      <c r="K284" s="28"/>
    </row>
    <row r="285" spans="1:11" s="2" customFormat="1" x14ac:dyDescent="0.2">
      <c r="A285" s="28"/>
      <c r="B285" s="28"/>
      <c r="C285" s="28"/>
      <c r="D285" s="28"/>
      <c r="E285" s="310"/>
      <c r="F285" s="28"/>
      <c r="G285" s="28"/>
      <c r="H285" s="29"/>
      <c r="I285" s="30"/>
      <c r="J285" s="28"/>
      <c r="K285" s="28"/>
    </row>
    <row r="286" spans="1:11" s="2" customFormat="1" x14ac:dyDescent="0.2">
      <c r="A286" s="28"/>
      <c r="B286" s="28"/>
      <c r="C286" s="28"/>
      <c r="D286" s="28"/>
      <c r="E286" s="310"/>
      <c r="F286" s="28"/>
      <c r="G286" s="28"/>
      <c r="H286" s="29"/>
      <c r="I286" s="30"/>
      <c r="J286" s="28"/>
      <c r="K286" s="28"/>
    </row>
    <row r="287" spans="1:11" s="2" customFormat="1" x14ac:dyDescent="0.2">
      <c r="A287" s="28"/>
      <c r="B287" s="28"/>
      <c r="C287" s="28"/>
      <c r="D287" s="28"/>
      <c r="E287" s="310"/>
      <c r="F287" s="28"/>
      <c r="G287" s="28"/>
      <c r="H287" s="29"/>
      <c r="I287" s="30"/>
      <c r="J287" s="28"/>
      <c r="K287" s="28"/>
    </row>
    <row r="288" spans="1:11" s="2" customFormat="1" x14ac:dyDescent="0.2">
      <c r="A288" s="28"/>
      <c r="B288" s="28"/>
      <c r="C288" s="28"/>
      <c r="D288" s="28"/>
      <c r="E288" s="310"/>
      <c r="F288" s="28"/>
      <c r="G288" s="28"/>
      <c r="H288" s="29"/>
      <c r="I288" s="30"/>
      <c r="J288" s="28"/>
      <c r="K288" s="28"/>
    </row>
    <row r="289" spans="1:11" s="2" customFormat="1" x14ac:dyDescent="0.2">
      <c r="A289" s="28"/>
      <c r="B289" s="28"/>
      <c r="C289" s="28"/>
      <c r="D289" s="28"/>
      <c r="E289" s="310"/>
      <c r="F289" s="28"/>
      <c r="G289" s="28"/>
      <c r="H289" s="29"/>
      <c r="I289" s="30"/>
      <c r="J289" s="28"/>
      <c r="K289" s="28"/>
    </row>
    <row r="290" spans="1:11" s="2" customFormat="1" x14ac:dyDescent="0.2">
      <c r="A290" s="28"/>
      <c r="B290" s="28"/>
      <c r="C290" s="28"/>
      <c r="D290" s="28"/>
      <c r="E290" s="310"/>
      <c r="F290" s="28"/>
      <c r="G290" s="28"/>
      <c r="H290" s="29"/>
      <c r="I290" s="30"/>
      <c r="J290" s="28"/>
      <c r="K290" s="28"/>
    </row>
    <row r="291" spans="1:11" s="2" customFormat="1" x14ac:dyDescent="0.2">
      <c r="A291" s="28"/>
      <c r="B291" s="28"/>
      <c r="C291" s="28"/>
      <c r="D291" s="28"/>
      <c r="E291" s="310"/>
      <c r="F291" s="28"/>
      <c r="G291" s="28"/>
      <c r="H291" s="29"/>
      <c r="I291" s="30"/>
      <c r="J291" s="28"/>
      <c r="K291" s="28"/>
    </row>
    <row r="292" spans="1:11" s="2" customFormat="1" x14ac:dyDescent="0.2">
      <c r="A292" s="28"/>
      <c r="B292" s="28"/>
      <c r="C292" s="28"/>
      <c r="D292" s="28"/>
      <c r="E292" s="310"/>
      <c r="F292" s="28"/>
      <c r="G292" s="28"/>
      <c r="H292" s="29"/>
      <c r="I292" s="30"/>
      <c r="J292" s="28"/>
      <c r="K292" s="28"/>
    </row>
    <row r="293" spans="1:11" s="2" customFormat="1" x14ac:dyDescent="0.2">
      <c r="A293" s="28"/>
      <c r="B293" s="28"/>
      <c r="C293" s="28"/>
      <c r="D293" s="28"/>
      <c r="E293" s="310"/>
      <c r="F293" s="28"/>
      <c r="G293" s="28"/>
      <c r="H293" s="29"/>
      <c r="I293" s="30"/>
      <c r="J293" s="28"/>
      <c r="K293" s="28"/>
    </row>
    <row r="294" spans="1:11" s="2" customFormat="1" x14ac:dyDescent="0.2">
      <c r="A294" s="28"/>
      <c r="B294" s="28"/>
      <c r="C294" s="28"/>
      <c r="D294" s="28"/>
      <c r="E294" s="310"/>
      <c r="F294" s="28"/>
      <c r="G294" s="28"/>
      <c r="H294" s="29"/>
      <c r="I294" s="30"/>
      <c r="J294" s="28"/>
      <c r="K294" s="28"/>
    </row>
    <row r="295" spans="1:11" s="2" customFormat="1" x14ac:dyDescent="0.2">
      <c r="A295" s="28"/>
      <c r="B295" s="28"/>
      <c r="C295" s="28"/>
      <c r="D295" s="28"/>
      <c r="E295" s="310"/>
      <c r="F295" s="28"/>
      <c r="G295" s="28"/>
      <c r="H295" s="29"/>
      <c r="I295" s="30"/>
      <c r="J295" s="28"/>
      <c r="K295" s="28"/>
    </row>
    <row r="296" spans="1:11" s="2" customFormat="1" x14ac:dyDescent="0.2">
      <c r="A296" s="28"/>
      <c r="B296" s="28"/>
      <c r="C296" s="28"/>
      <c r="D296" s="28"/>
      <c r="E296" s="310"/>
      <c r="F296" s="28"/>
      <c r="G296" s="28"/>
      <c r="H296" s="29"/>
      <c r="I296" s="30"/>
      <c r="J296" s="28"/>
      <c r="K296" s="28"/>
    </row>
    <row r="297" spans="1:11" s="2" customFormat="1" ht="28.5" customHeight="1" thickBot="1" x14ac:dyDescent="0.25">
      <c r="A297" s="627" t="s">
        <v>56</v>
      </c>
      <c r="B297" s="627"/>
      <c r="C297" s="627"/>
      <c r="D297" s="627"/>
      <c r="E297" s="627"/>
      <c r="F297" s="627" t="s">
        <v>54</v>
      </c>
      <c r="G297" s="627"/>
      <c r="H297" s="627"/>
      <c r="I297" s="628" t="s">
        <v>55</v>
      </c>
      <c r="J297" s="628"/>
      <c r="K297" s="628"/>
    </row>
    <row r="298" spans="1:11" s="2" customFormat="1" ht="16.5" thickTop="1" x14ac:dyDescent="0.2">
      <c r="A298" s="31" t="s">
        <v>57</v>
      </c>
      <c r="B298" s="629" t="str">
        <f>" "&amp;ROUND((bw-bt),2)&amp;"x"&amp;hw&amp;"x"&amp;gc&amp;"/2="</f>
        <v xml:space="preserve"> 4.75x7.1x2.4/2=</v>
      </c>
      <c r="C298" s="630"/>
      <c r="D298" s="631"/>
      <c r="E298" s="461">
        <f>(bw-bt)*hw*gc/2</f>
        <v>40.47</v>
      </c>
      <c r="F298" s="716">
        <f>(bw-bt)/3+bt+bf</f>
        <v>4.333333333333333</v>
      </c>
      <c r="G298" s="717"/>
      <c r="H298" s="32"/>
      <c r="I298" s="617">
        <f>E298*F298</f>
        <v>175.36999999999998</v>
      </c>
      <c r="J298" s="618"/>
      <c r="K298" s="550"/>
    </row>
    <row r="299" spans="1:11" s="2" customFormat="1" ht="15.75" x14ac:dyDescent="0.2">
      <c r="A299" s="34" t="s">
        <v>58</v>
      </c>
      <c r="B299" s="601" t="str">
        <f>" " &amp;hw&amp; "x"&amp;bt&amp; "x"&amp;gc&amp;"="</f>
        <v xml:space="preserve"> 7.1x1x2.4=</v>
      </c>
      <c r="C299" s="602"/>
      <c r="D299" s="603"/>
      <c r="E299" s="561">
        <f>hw*bt*gc</f>
        <v>17.04</v>
      </c>
      <c r="F299" s="625">
        <f>bt*0.5+bf</f>
        <v>2.25</v>
      </c>
      <c r="G299" s="626"/>
      <c r="H299" s="35"/>
      <c r="I299" s="643">
        <f>E299*F299</f>
        <v>38.339999999999996</v>
      </c>
      <c r="J299" s="644"/>
      <c r="K299" s="544"/>
    </row>
    <row r="300" spans="1:11" s="2" customFormat="1" ht="15.75" x14ac:dyDescent="0.2">
      <c r="A300" s="34" t="s">
        <v>59</v>
      </c>
      <c r="B300" s="601" t="str">
        <f>" " &amp;ROUND(b,2)&amp;"x"&amp;hs&amp;"x"&amp;gc&amp;"="</f>
        <v xml:space="preserve"> 8x1.5x2.4=</v>
      </c>
      <c r="C300" s="602"/>
      <c r="D300" s="603"/>
      <c r="E300" s="561">
        <f>ROUND(b*hs*gc,2)</f>
        <v>28.8</v>
      </c>
      <c r="F300" s="625">
        <f>b/2</f>
        <v>4</v>
      </c>
      <c r="G300" s="626"/>
      <c r="H300" s="35"/>
      <c r="I300" s="643">
        <f>E300*F300</f>
        <v>115.2</v>
      </c>
      <c r="J300" s="644"/>
      <c r="K300" s="544"/>
    </row>
    <row r="301" spans="1:11" s="2" customFormat="1" ht="12.75" hidden="1" x14ac:dyDescent="0.2">
      <c r="A301" s="34"/>
      <c r="B301" s="601"/>
      <c r="C301" s="602"/>
      <c r="D301" s="603"/>
      <c r="E301" s="561"/>
      <c r="F301" s="625"/>
      <c r="G301" s="626"/>
      <c r="H301" s="35"/>
      <c r="I301" s="643"/>
      <c r="J301" s="644"/>
      <c r="K301" s="544"/>
    </row>
    <row r="302" spans="1:11" s="2" customFormat="1" ht="12.75" hidden="1" x14ac:dyDescent="0.2">
      <c r="A302" s="34"/>
      <c r="B302" s="601"/>
      <c r="C302" s="602"/>
      <c r="D302" s="603"/>
      <c r="E302" s="561"/>
      <c r="F302" s="625"/>
      <c r="G302" s="626"/>
      <c r="H302" s="35"/>
      <c r="I302" s="643"/>
      <c r="J302" s="644"/>
      <c r="K302" s="544"/>
    </row>
    <row r="303" spans="1:11" s="2" customFormat="1" ht="12.75" hidden="1" x14ac:dyDescent="0.2">
      <c r="A303" s="34"/>
      <c r="B303" s="601"/>
      <c r="C303" s="602"/>
      <c r="D303" s="603"/>
      <c r="E303" s="561"/>
      <c r="F303" s="625"/>
      <c r="G303" s="626"/>
      <c r="H303" s="35"/>
      <c r="I303" s="643"/>
      <c r="J303" s="644"/>
      <c r="K303" s="544"/>
    </row>
    <row r="304" spans="1:11" s="2" customFormat="1" ht="12.75" hidden="1" x14ac:dyDescent="0.2">
      <c r="A304" s="34"/>
      <c r="B304" s="601"/>
      <c r="C304" s="602"/>
      <c r="D304" s="603"/>
      <c r="E304" s="561"/>
      <c r="F304" s="625"/>
      <c r="G304" s="626"/>
      <c r="H304" s="35"/>
      <c r="I304" s="643"/>
      <c r="J304" s="644"/>
      <c r="K304" s="544"/>
    </row>
    <row r="305" spans="1:32" s="2" customFormat="1" ht="15.75" x14ac:dyDescent="0.2">
      <c r="A305" s="34" t="s">
        <v>87</v>
      </c>
      <c r="B305" s="601" t="str">
        <f>" "&amp;bf&amp;"x"&amp;ROUND(hsuf-hs,2)&amp;"x"&amp;gw&amp;"="</f>
        <v xml:space="preserve"> 1.75x5.12x1=</v>
      </c>
      <c r="C305" s="602"/>
      <c r="D305" s="603"/>
      <c r="E305" s="561">
        <f>bf*(hsuf-hs)*gw</f>
        <v>8.9600000000000009</v>
      </c>
      <c r="F305" s="625">
        <f>bf/2</f>
        <v>0.875</v>
      </c>
      <c r="G305" s="626"/>
      <c r="H305" s="35"/>
      <c r="I305" s="643">
        <f>E305*F305</f>
        <v>7.8400000000000007</v>
      </c>
      <c r="J305" s="644"/>
      <c r="K305" s="544"/>
    </row>
    <row r="306" spans="1:32" s="2" customFormat="1" ht="15" customHeight="1" x14ac:dyDescent="0.2">
      <c r="A306" s="34" t="s">
        <v>82</v>
      </c>
      <c r="B306" s="601" t="str">
        <f>" "&amp;ROUND(b,2)&amp;"x"&amp;hsuf&amp;"x"&amp;gw&amp;"="</f>
        <v xml:space="preserve"> 8x6.62x1=</v>
      </c>
      <c r="C306" s="602"/>
      <c r="D306" s="603"/>
      <c r="E306" s="561">
        <f>b*hsuf*gw</f>
        <v>52.96</v>
      </c>
      <c r="F306" s="625">
        <f>b/2</f>
        <v>4</v>
      </c>
      <c r="G306" s="626"/>
      <c r="H306" s="35"/>
      <c r="I306" s="643">
        <f t="shared" ref="I306:I315" si="11">E306*F306</f>
        <v>211.84</v>
      </c>
      <c r="J306" s="644"/>
      <c r="K306" s="544"/>
    </row>
    <row r="307" spans="1:32" s="2" customFormat="1" ht="15.75" x14ac:dyDescent="0.2">
      <c r="A307" s="220" t="s">
        <v>354</v>
      </c>
      <c r="B307" s="601" t="str">
        <f>" "&amp;ROUND(kas,3)&amp;"x"&amp;ROUND(h-hsuf,3)&amp;"²x"&amp;ROUND(gnor,2)&amp;"/2xcos("&amp;(ROUND(delta,2)&amp;"+"&amp;(ROUND(beta,2))&amp;")=")</f>
        <v xml:space="preserve"> 0.698x1.98²x1.8/2xcos(13.92+33.78)=</v>
      </c>
      <c r="C307" s="602"/>
      <c r="D307" s="603"/>
      <c r="E307" s="561">
        <f>kas*(h-hsuf)^2*gnor/2*COS(beta/180*PI()+delta/180*PI())</f>
        <v>1.6584930693197577</v>
      </c>
      <c r="F307" s="625">
        <f>(hw-L54)/3+L54+hs</f>
        <v>7.28</v>
      </c>
      <c r="G307" s="626"/>
      <c r="H307" s="35"/>
      <c r="I307" s="643">
        <f t="shared" si="11"/>
        <v>12.073829544647836</v>
      </c>
      <c r="J307" s="644"/>
      <c r="K307" s="544"/>
    </row>
    <row r="308" spans="1:32" s="2" customFormat="1" ht="15.75" x14ac:dyDescent="0.2">
      <c r="A308" s="220" t="s">
        <v>355</v>
      </c>
      <c r="B308" s="601" t="str">
        <f>" "&amp;ROUND(kas,3)&amp;"x"&amp;ROUND(h-hsuf,3)&amp;"²x"&amp;ROUND(gnor,2)&amp;"/2xsin("&amp;(ROUND(delta,2)&amp;"+"&amp;(ROUND(beta,2))&amp;")=")</f>
        <v xml:space="preserve"> 0.698x1.98²x1.8/2xsin(13.92+33.78)=</v>
      </c>
      <c r="C308" s="602"/>
      <c r="D308" s="603"/>
      <c r="E308" s="561">
        <f>kas*(h-hsuf)^2*gnor/2*SIN(beta/180*PI()+delta/180*PI())</f>
        <v>1.8225373935021312</v>
      </c>
      <c r="F308" s="637">
        <f>+bf+bt+((hw-L54)*SIN(beta/180*PI()+delta/180*PI()))/3*2</f>
        <v>3.726283276178131</v>
      </c>
      <c r="G308" s="638"/>
      <c r="H308" s="35"/>
      <c r="I308" s="643">
        <f t="shared" si="11"/>
        <v>6.7912906096162731</v>
      </c>
      <c r="J308" s="644"/>
      <c r="K308" s="544"/>
    </row>
    <row r="309" spans="1:32" s="2" customFormat="1" ht="15.75" x14ac:dyDescent="0.2">
      <c r="A309" s="34" t="s">
        <v>356</v>
      </c>
      <c r="B309" s="718" t="str">
        <f>ROUND(kas,3)&amp;"x"&amp;ROUND(gnor,2)&amp;"x"&amp;ROUND((hw-L54),2)&amp;"x"&amp;ROUND((hsuf),2)&amp;" x cos("&amp;(ROUND(delta,2)&amp;"+"&amp;(ROUND(beta,2))&amp;")=")</f>
        <v>0.698x1.8x1.98x6.62 x cos(13.92+33.78)=</v>
      </c>
      <c r="C309" s="719"/>
      <c r="D309" s="720"/>
      <c r="E309" s="561">
        <f>(kas*(gnor*(hw-L54)*(hsuf))*COS(beta/180*PI()+delta/180*PI()))</f>
        <v>11.09012537262303</v>
      </c>
      <c r="F309" s="772">
        <f>+hsuf/2</f>
        <v>3.31</v>
      </c>
      <c r="G309" s="773"/>
      <c r="H309" s="35"/>
      <c r="I309" s="643">
        <f t="shared" si="11"/>
        <v>36.70831498338223</v>
      </c>
      <c r="J309" s="644"/>
      <c r="K309" s="544"/>
    </row>
    <row r="310" spans="1:32" s="2" customFormat="1" ht="15.75" x14ac:dyDescent="0.2">
      <c r="A310" s="34" t="s">
        <v>357</v>
      </c>
      <c r="B310" s="718" t="str">
        <f>ROUND(kas,3)&amp;"x"&amp;ROUND(gnor,2)&amp;"x"&amp;ROUND((hw-L54),2)&amp;"x"&amp;ROUND((hsuf),2)&amp;" x cos("&amp;(ROUND(delta,2)&amp;"+"&amp;(ROUND(beta,2))&amp;")=")</f>
        <v>0.698x1.8x1.98x6.62 x cos(13.92+33.78)=</v>
      </c>
      <c r="C310" s="719"/>
      <c r="D310" s="720"/>
      <c r="E310" s="561">
        <f>(kas*(gnor*(hw-L54)*(hsuf))*SIN(beta/180*PI()+delta/180*PI()))</f>
        <v>12.187068227256677</v>
      </c>
      <c r="F310" s="753">
        <f>+(bw-(hsuf/2*COS(beta/180*PI()+delta/180*PI())))+bt+bf</f>
        <v>6.2722465454044256</v>
      </c>
      <c r="G310" s="753"/>
      <c r="H310" s="35"/>
      <c r="I310" s="643">
        <f t="shared" si="11"/>
        <v>76.440296587018736</v>
      </c>
      <c r="J310" s="644"/>
      <c r="K310" s="544"/>
    </row>
    <row r="311" spans="1:32" s="2" customFormat="1" ht="15.75" x14ac:dyDescent="0.2">
      <c r="A311" s="34" t="s">
        <v>358</v>
      </c>
      <c r="B311" s="718" t="str">
        <f>ROUND(kas,3)&amp;"x"&amp;"("&amp;ROUND(gdoy,2)&amp;"x"&amp;ROUND(hsuf,2)&amp;")"&amp;"/2"&amp;"x"&amp;hsuf&amp;" xcos("&amp;(ROUND(delta,2)&amp;"+"&amp;(ROUND(beta,2))&amp;")=")</f>
        <v>0.698x(2x6.62)/2x6.62 xcos(13.92+33.78)=</v>
      </c>
      <c r="C311" s="719"/>
      <c r="D311" s="720"/>
      <c r="E311" s="561">
        <f>(kas*(gdoy*hsuf))*hsuf/2*COS(beta/180*PI()+delta/180*PI())</f>
        <v>20.599503357678021</v>
      </c>
      <c r="F311" s="772">
        <f>+hsuf/3</f>
        <v>2.2066666666666666</v>
      </c>
      <c r="G311" s="773"/>
      <c r="H311" s="35"/>
      <c r="I311" s="643">
        <f t="shared" si="11"/>
        <v>45.456237409276163</v>
      </c>
      <c r="J311" s="644"/>
      <c r="K311" s="544"/>
    </row>
    <row r="312" spans="1:32" s="2" customFormat="1" ht="15.75" x14ac:dyDescent="0.2">
      <c r="A312" s="34" t="s">
        <v>359</v>
      </c>
      <c r="B312" s="718" t="str">
        <f>ROUND(kas,3)&amp;"x"&amp;"("&amp;ROUND(gdoy,2)&amp;"x"&amp;ROUND(hsuf,2)&amp;")"&amp;"/2"&amp;"x"&amp;hsuf&amp;" xsin("&amp;(ROUND(delta,2)&amp;"+"&amp;(ROUND(beta,2))&amp;")=")</f>
        <v>0.698x(2x6.62)/2x6.62 xsin(13.92+33.78)=</v>
      </c>
      <c r="C312" s="719"/>
      <c r="D312" s="720"/>
      <c r="E312" s="561">
        <f>(kas*(gdoy*hsuf))*hsuf/2*SIN(beta/180*PI()+delta/180*PI())</f>
        <v>22.637034698215267</v>
      </c>
      <c r="F312" s="753">
        <f>+(bw-(hsuf/3*COS(beta/180*PI()+delta/180*PI())))+bt+bf</f>
        <v>7.0148310302696171</v>
      </c>
      <c r="G312" s="753"/>
      <c r="H312" s="35"/>
      <c r="I312" s="643">
        <f t="shared" si="11"/>
        <v>158.79497343433047</v>
      </c>
      <c r="J312" s="644"/>
      <c r="K312" s="544"/>
    </row>
    <row r="313" spans="1:32" s="193" customFormat="1" ht="15.75" x14ac:dyDescent="0.3">
      <c r="A313" s="569" t="s">
        <v>330</v>
      </c>
      <c r="B313" s="698" t="str">
        <f>+B183</f>
        <v xml:space="preserve"> 0x0x2.4+0x0/2/2x2x2.4=</v>
      </c>
      <c r="C313" s="699"/>
      <c r="D313" s="700"/>
      <c r="E313" s="561">
        <f>+E183</f>
        <v>0</v>
      </c>
      <c r="F313" s="642">
        <f>+F183</f>
        <v>5.75</v>
      </c>
      <c r="G313" s="646"/>
      <c r="H313" s="346"/>
      <c r="I313" s="644">
        <f t="shared" si="11"/>
        <v>0</v>
      </c>
      <c r="J313" s="645"/>
      <c r="K313" s="345"/>
      <c r="P313" s="183"/>
      <c r="Q313" s="556"/>
      <c r="R313" s="556"/>
      <c r="S313" s="556"/>
      <c r="T313" s="181"/>
      <c r="U313" s="557"/>
      <c r="V313" s="557"/>
      <c r="W313" s="564"/>
      <c r="X313" s="563"/>
      <c r="Y313" s="563"/>
      <c r="Z313" s="556"/>
      <c r="AA313" s="168"/>
      <c r="AB313" s="168"/>
      <c r="AC313" s="168"/>
      <c r="AD313" s="168"/>
      <c r="AE313" s="168"/>
      <c r="AF313" s="168"/>
    </row>
    <row r="314" spans="1:32" s="193" customFormat="1" ht="15.75" x14ac:dyDescent="0.2">
      <c r="A314" s="34" t="s">
        <v>212</v>
      </c>
      <c r="B314" s="601" t="str">
        <f>" "&amp;ROUND($J$87,3)&amp;"x"&amp;hs&amp;"x"&amp;$I$30&amp;"x"&amp;gnor&amp;"="</f>
        <v xml:space="preserve"> 2.55x1.5x0x1.8=</v>
      </c>
      <c r="C314" s="602"/>
      <c r="D314" s="603"/>
      <c r="E314" s="561">
        <f>gnor*$J$87*hs*$I$30</f>
        <v>0</v>
      </c>
      <c r="F314" s="642">
        <f>$I$30/2</f>
        <v>0</v>
      </c>
      <c r="G314" s="646"/>
      <c r="H314" s="346"/>
      <c r="I314" s="644">
        <f t="shared" si="11"/>
        <v>0</v>
      </c>
      <c r="J314" s="645"/>
      <c r="K314" s="544"/>
      <c r="P314" s="183"/>
      <c r="Q314" s="556"/>
      <c r="R314" s="556"/>
      <c r="S314" s="556"/>
      <c r="T314" s="181"/>
      <c r="U314" s="557"/>
      <c r="V314" s="557"/>
      <c r="W314" s="564"/>
      <c r="X314" s="563"/>
      <c r="Y314" s="563"/>
      <c r="Z314" s="556"/>
      <c r="AA314" s="168"/>
      <c r="AB314" s="168"/>
      <c r="AC314" s="168"/>
      <c r="AD314" s="168"/>
      <c r="AE314" s="168"/>
      <c r="AF314" s="168"/>
    </row>
    <row r="315" spans="1:32" s="193" customFormat="1" ht="15.75" x14ac:dyDescent="0.3">
      <c r="A315" s="569" t="s">
        <v>213</v>
      </c>
      <c r="B315" s="601" t="str">
        <f>" "&amp;ROUND($J$87,3)&amp;"x"&amp;$I$30&amp;"x"&amp;$I$30&amp;"x"&amp;gnor&amp;"/2="</f>
        <v xml:space="preserve"> 2.55x0x0x1.8/2=</v>
      </c>
      <c r="C315" s="602"/>
      <c r="D315" s="603"/>
      <c r="E315" s="462">
        <f>$J$87*$I$30*$I$30*gnor/2</f>
        <v>0</v>
      </c>
      <c r="F315" s="642">
        <f>$I$30*2/3</f>
        <v>0</v>
      </c>
      <c r="G315" s="646"/>
      <c r="H315" s="346"/>
      <c r="I315" s="644">
        <f t="shared" si="11"/>
        <v>0</v>
      </c>
      <c r="J315" s="645"/>
      <c r="K315" s="544"/>
      <c r="N315" s="347"/>
      <c r="P315" s="183"/>
      <c r="Q315" s="556"/>
      <c r="R315" s="556"/>
      <c r="S315" s="556"/>
      <c r="T315" s="181"/>
      <c r="U315" s="557"/>
      <c r="V315" s="557"/>
      <c r="W315" s="564"/>
      <c r="X315" s="563"/>
      <c r="Y315" s="563"/>
      <c r="Z315" s="556"/>
      <c r="AA315" s="168"/>
      <c r="AB315" s="168"/>
      <c r="AC315" s="168"/>
      <c r="AD315" s="168"/>
      <c r="AE315" s="168"/>
      <c r="AF315" s="168"/>
    </row>
    <row r="316" spans="1:32" s="193" customFormat="1" ht="12.75" hidden="1" x14ac:dyDescent="0.2">
      <c r="A316" s="439"/>
      <c r="B316" s="661"/>
      <c r="C316" s="661"/>
      <c r="D316" s="661"/>
      <c r="E316" s="463"/>
      <c r="F316" s="642"/>
      <c r="G316" s="646"/>
      <c r="H316" s="346"/>
      <c r="I316" s="645"/>
      <c r="J316" s="645"/>
      <c r="K316" s="544"/>
      <c r="N316" s="347"/>
      <c r="P316" s="183"/>
      <c r="Q316" s="556"/>
      <c r="R316" s="556"/>
      <c r="S316" s="556"/>
      <c r="T316" s="181"/>
      <c r="U316" s="557"/>
      <c r="V316" s="557"/>
      <c r="W316" s="564"/>
      <c r="X316" s="563"/>
      <c r="Y316" s="563"/>
      <c r="Z316" s="556"/>
      <c r="AA316" s="168"/>
      <c r="AB316" s="168"/>
      <c r="AC316" s="168"/>
      <c r="AD316" s="168"/>
      <c r="AE316" s="168"/>
      <c r="AF316" s="168"/>
    </row>
    <row r="317" spans="1:32" s="2" customFormat="1" x14ac:dyDescent="0.2">
      <c r="A317" s="28"/>
      <c r="E317" s="310"/>
      <c r="F317" s="662"/>
      <c r="G317" s="662"/>
      <c r="H317" s="29"/>
      <c r="I317" s="30"/>
      <c r="J317" s="28"/>
      <c r="K317" s="28"/>
    </row>
    <row r="318" spans="1:32" s="2" customFormat="1" ht="12.75" x14ac:dyDescent="0.2">
      <c r="A318" s="58" t="s">
        <v>71</v>
      </c>
      <c r="B318" s="8"/>
      <c r="C318" s="8"/>
      <c r="D318" s="37"/>
      <c r="E318" s="465"/>
      <c r="F318" s="8"/>
      <c r="G318" s="8"/>
      <c r="H318" s="16"/>
      <c r="K318" s="8"/>
      <c r="L318" s="70"/>
    </row>
    <row r="319" spans="1:32" s="2" customFormat="1" ht="32.25" customHeight="1" x14ac:dyDescent="0.25">
      <c r="A319" s="632"/>
      <c r="B319" s="632"/>
      <c r="C319" s="633"/>
      <c r="D319" s="633"/>
      <c r="E319" s="464"/>
      <c r="F319" s="39"/>
      <c r="G319" s="558"/>
      <c r="H319" s="41"/>
      <c r="I319" s="9"/>
      <c r="J319" s="9"/>
      <c r="K319" s="558"/>
    </row>
    <row r="320" spans="1:32" s="2" customFormat="1" ht="19.5" customHeight="1" x14ac:dyDescent="0.2">
      <c r="A320" s="9"/>
      <c r="B320" s="42"/>
      <c r="C320" s="9"/>
      <c r="D320" s="43"/>
      <c r="E320" s="464"/>
      <c r="F320" s="558"/>
      <c r="G320" s="558"/>
      <c r="H320" s="41"/>
      <c r="I320" s="9"/>
      <c r="J320" s="9"/>
      <c r="K320" s="558"/>
    </row>
    <row r="321" spans="1:27" s="2" customFormat="1" ht="19.5" customHeight="1" x14ac:dyDescent="0.2">
      <c r="A321" s="558"/>
      <c r="B321" s="558"/>
      <c r="C321" s="558"/>
      <c r="D321" s="44"/>
      <c r="E321" s="465"/>
      <c r="F321" s="8"/>
      <c r="G321" s="8"/>
      <c r="H321" s="16"/>
      <c r="K321" s="8"/>
      <c r="L321" s="1"/>
      <c r="M321" s="1"/>
      <c r="N321" s="1"/>
      <c r="O321" s="1"/>
      <c r="P321" s="1"/>
      <c r="Q321" s="1"/>
      <c r="R321" s="1"/>
      <c r="S321" s="1"/>
      <c r="T321" s="1"/>
      <c r="U321" s="1"/>
    </row>
    <row r="322" spans="1:27" s="2" customFormat="1" ht="15" x14ac:dyDescent="0.25">
      <c r="A322" s="8"/>
      <c r="B322" s="8"/>
      <c r="C322" s="39"/>
      <c r="D322" s="37"/>
      <c r="E322" s="465"/>
      <c r="F322" s="8"/>
      <c r="G322" s="8"/>
      <c r="H322" s="16"/>
      <c r="K322" s="8"/>
      <c r="L322" s="1"/>
      <c r="M322" s="1"/>
      <c r="N322" s="1"/>
      <c r="O322" s="1"/>
      <c r="P322" s="1"/>
      <c r="Q322" s="1"/>
      <c r="R322" s="1"/>
      <c r="S322" s="1"/>
      <c r="T322" s="1"/>
      <c r="U322" s="1"/>
    </row>
    <row r="323" spans="1:27" s="2" customFormat="1" ht="31.5" customHeight="1" x14ac:dyDescent="0.2">
      <c r="A323" s="545"/>
      <c r="B323" s="649"/>
      <c r="C323" s="649"/>
      <c r="D323" s="46" t="s">
        <v>72</v>
      </c>
      <c r="E323" s="181">
        <f>IF(B324&lt;b/6,C332/b*(1+6*B324/b),2/3*C332/(b/2-B324))</f>
        <v>13.912865906956501</v>
      </c>
      <c r="F323" s="48" t="s">
        <v>25</v>
      </c>
      <c r="G323" s="48" t="str">
        <f>IF(E323&lt;I323,"&lt;","&gt;")</f>
        <v>&lt;</v>
      </c>
      <c r="H323" s="46" t="s">
        <v>75</v>
      </c>
      <c r="I323" s="49">
        <f>I49</f>
        <v>400</v>
      </c>
      <c r="J323" s="48" t="s">
        <v>25</v>
      </c>
      <c r="K323" s="50" t="str">
        <f>IF(G323="&lt;","O.K.","not O.K.")</f>
        <v>O.K.</v>
      </c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</row>
    <row r="324" spans="1:27" s="2" customFormat="1" ht="18" x14ac:dyDescent="0.2">
      <c r="A324" s="560">
        <f>+(A328-C328)/C332</f>
        <v>3.4537713052631869</v>
      </c>
      <c r="B324" s="622">
        <f>b/2-A324</f>
        <v>0.54622869473681313</v>
      </c>
      <c r="C324" s="623"/>
      <c r="D324" s="46" t="s">
        <v>73</v>
      </c>
      <c r="E324" s="181">
        <f>IF(B324&lt;b/6,C332/b*(1-6*B324/b),0)</f>
        <v>5.8262941727870183</v>
      </c>
      <c r="F324" s="48" t="s">
        <v>25</v>
      </c>
      <c r="G324" s="48" t="str">
        <f>IF(E324&lt;I324,"&lt;","&gt;")</f>
        <v>&gt;</v>
      </c>
      <c r="H324" s="46" t="s">
        <v>74</v>
      </c>
      <c r="I324" s="49">
        <v>0</v>
      </c>
      <c r="J324" s="48" t="s">
        <v>25</v>
      </c>
      <c r="K324" s="50" t="str">
        <f>IF(E324&lt;I324,"not O.K.","O.K.")</f>
        <v>O.K.</v>
      </c>
      <c r="V324" s="1"/>
      <c r="W324" s="1"/>
      <c r="X324" s="1"/>
      <c r="Y324" s="1"/>
      <c r="Z324" s="1"/>
      <c r="AA324" s="1"/>
    </row>
    <row r="325" spans="1:27" s="2" customFormat="1" ht="14.25" customHeight="1" x14ac:dyDescent="0.2">
      <c r="E325" s="193"/>
      <c r="I325" s="7"/>
      <c r="V325" s="1"/>
      <c r="W325" s="1"/>
      <c r="X325" s="1"/>
      <c r="Y325" s="1"/>
      <c r="Z325" s="1"/>
      <c r="AA325" s="1"/>
    </row>
    <row r="326" spans="1:27" s="2" customFormat="1" ht="12.75" x14ac:dyDescent="0.2">
      <c r="A326" s="58" t="s">
        <v>69</v>
      </c>
      <c r="B326" s="8"/>
      <c r="C326" s="8"/>
      <c r="D326" s="8"/>
      <c r="E326" s="299"/>
      <c r="F326" s="8"/>
      <c r="G326" s="8"/>
      <c r="H326" s="16"/>
      <c r="I326" s="26"/>
      <c r="J326" s="8"/>
      <c r="K326" s="8"/>
    </row>
    <row r="327" spans="1:27" s="2" customFormat="1" ht="33.75" customHeight="1" x14ac:dyDescent="0.25">
      <c r="A327" s="650" t="s">
        <v>64</v>
      </c>
      <c r="B327" s="650"/>
      <c r="C327" s="650" t="s">
        <v>65</v>
      </c>
      <c r="D327" s="650"/>
      <c r="E327" s="727"/>
      <c r="F327" s="728"/>
      <c r="G327" s="52"/>
      <c r="H327" s="53" t="s">
        <v>66</v>
      </c>
      <c r="I327" s="54"/>
      <c r="J327" s="28"/>
      <c r="K327" s="1"/>
    </row>
    <row r="328" spans="1:27" s="2" customFormat="1" ht="12.75" x14ac:dyDescent="0.2">
      <c r="A328" s="621">
        <f>SUM(I298:J305)+I308+I310+I312</f>
        <v>578.77656063096538</v>
      </c>
      <c r="B328" s="621"/>
      <c r="C328" s="621">
        <f>SUM(I306:J307)+I309+I311</f>
        <v>306.07838193730629</v>
      </c>
      <c r="D328" s="621"/>
      <c r="E328" s="622">
        <f>A328/C328</f>
        <v>1.890942303627035</v>
      </c>
      <c r="F328" s="624"/>
      <c r="G328" s="4" t="str">
        <f>IF(E328&lt;H328,"&lt;","&gt;")</f>
        <v>&gt;</v>
      </c>
      <c r="H328" s="76">
        <v>1.5</v>
      </c>
      <c r="I328" s="5" t="str">
        <f>IF(G328="&gt;","O.K.","not O.K.")</f>
        <v>O.K.</v>
      </c>
      <c r="J328" s="7"/>
      <c r="K328" s="7"/>
    </row>
    <row r="329" spans="1:27" s="2" customFormat="1" ht="12.75" x14ac:dyDescent="0.2">
      <c r="A329" s="8"/>
      <c r="B329" s="8"/>
      <c r="C329" s="8"/>
      <c r="D329" s="8"/>
      <c r="E329" s="299"/>
      <c r="F329" s="8"/>
      <c r="G329" s="8"/>
      <c r="H329" s="16"/>
      <c r="I329" s="26"/>
      <c r="J329" s="8"/>
      <c r="K329" s="8"/>
    </row>
    <row r="330" spans="1:27" s="2" customFormat="1" ht="12.75" x14ac:dyDescent="0.2">
      <c r="A330" s="58" t="s">
        <v>70</v>
      </c>
      <c r="B330" s="8"/>
      <c r="C330" s="8"/>
      <c r="D330" s="8"/>
      <c r="E330" s="299"/>
      <c r="F330" s="8"/>
      <c r="G330" s="8"/>
      <c r="H330" s="16"/>
      <c r="I330" s="26"/>
      <c r="J330" s="8"/>
      <c r="K330" s="8"/>
    </row>
    <row r="331" spans="1:27" ht="33.75" customHeight="1" x14ac:dyDescent="0.2">
      <c r="A331" s="714" t="s">
        <v>67</v>
      </c>
      <c r="B331" s="714"/>
      <c r="C331" s="702" t="s">
        <v>68</v>
      </c>
      <c r="D331" s="702"/>
      <c r="E331" s="294" t="s">
        <v>11</v>
      </c>
      <c r="F331" s="703"/>
      <c r="G331" s="704"/>
      <c r="H331" s="295"/>
      <c r="I331" s="295" t="s">
        <v>66</v>
      </c>
      <c r="J331" s="296"/>
      <c r="K331" s="297"/>
      <c r="L331" s="193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</row>
    <row r="332" spans="1:27" x14ac:dyDescent="0.2">
      <c r="A332" s="621">
        <f>IF((E307+E309+E311-E314-E315)&lt;0,-(E307+E309+E311-E314-E315),(E307+E309+E311-E314-E315))</f>
        <v>33.348121799620806</v>
      </c>
      <c r="B332" s="621"/>
      <c r="C332" s="701">
        <f>SUM(E298:E305)-E306+E308+E310+E312</f>
        <v>78.956640318974081</v>
      </c>
      <c r="D332" s="701"/>
      <c r="E332" s="298">
        <f>I47</f>
        <v>0.65</v>
      </c>
      <c r="F332" s="656">
        <f>C332*E332/A332</f>
        <v>1.538971715280131</v>
      </c>
      <c r="G332" s="657"/>
      <c r="H332" s="290" t="str">
        <f>IF(F332&lt;I332,"&lt;","&gt;")</f>
        <v>&gt;</v>
      </c>
      <c r="I332" s="291">
        <v>1.5</v>
      </c>
      <c r="J332" s="292" t="str">
        <f>IF(H332="&gt;","O.K.","not O.K.")</f>
        <v>O.K.</v>
      </c>
      <c r="K332" s="299"/>
      <c r="L332" s="193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</row>
    <row r="333" spans="1:27" ht="10.5" customHeight="1" x14ac:dyDescent="0.2">
      <c r="A333" s="47"/>
      <c r="B333" s="47"/>
      <c r="C333" s="181"/>
      <c r="D333" s="181"/>
      <c r="E333" s="303" t="s">
        <v>188</v>
      </c>
      <c r="F333" s="181"/>
      <c r="G333" s="181"/>
      <c r="H333" s="183"/>
      <c r="I333" s="300"/>
      <c r="J333" s="301"/>
      <c r="K333" s="299"/>
      <c r="L333" s="193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</row>
    <row r="334" spans="1:27" s="2" customFormat="1" ht="12.75" x14ac:dyDescent="0.2">
      <c r="A334" s="8"/>
      <c r="B334" s="8"/>
      <c r="C334" s="299"/>
      <c r="D334" s="299"/>
      <c r="E334" s="299"/>
      <c r="F334" s="299"/>
      <c r="G334" s="299"/>
      <c r="H334" s="196"/>
      <c r="I334" s="302"/>
      <c r="J334" s="299"/>
      <c r="K334" s="299"/>
      <c r="L334" s="193"/>
    </row>
    <row r="335" spans="1:27" s="2" customFormat="1" ht="15" x14ac:dyDescent="0.25">
      <c r="A335" s="715" t="s">
        <v>344</v>
      </c>
      <c r="B335" s="715"/>
      <c r="C335" s="715"/>
      <c r="D335" s="715"/>
      <c r="E335" s="715"/>
      <c r="F335" s="715"/>
      <c r="G335" s="715"/>
      <c r="H335" s="715"/>
      <c r="I335" s="715"/>
      <c r="J335" s="715"/>
      <c r="K335" s="715"/>
    </row>
    <row r="336" spans="1:27" s="2" customFormat="1" x14ac:dyDescent="0.2">
      <c r="A336" s="28"/>
      <c r="B336" s="28"/>
      <c r="C336" s="28"/>
      <c r="D336" s="28"/>
      <c r="E336" s="310"/>
      <c r="F336" s="28"/>
      <c r="G336" s="28"/>
      <c r="H336" s="28"/>
      <c r="I336" s="28"/>
      <c r="J336" s="28"/>
      <c r="K336" s="28"/>
    </row>
    <row r="337" spans="1:11" s="2" customFormat="1" x14ac:dyDescent="0.2">
      <c r="A337" s="28"/>
      <c r="B337" s="28"/>
      <c r="C337" s="28"/>
      <c r="D337" s="28"/>
      <c r="E337" s="310"/>
      <c r="F337" s="28"/>
      <c r="G337" s="28"/>
      <c r="H337" s="29"/>
      <c r="I337" s="30"/>
      <c r="J337" s="28"/>
      <c r="K337" s="28"/>
    </row>
    <row r="338" spans="1:11" s="2" customFormat="1" x14ac:dyDescent="0.2">
      <c r="A338" s="28"/>
      <c r="B338" s="28"/>
      <c r="C338" s="28"/>
      <c r="D338" s="28"/>
      <c r="E338" s="310"/>
      <c r="F338" s="28"/>
      <c r="G338" s="28"/>
      <c r="H338" s="29"/>
      <c r="I338" s="30"/>
      <c r="J338" s="28"/>
      <c r="K338" s="28"/>
    </row>
    <row r="339" spans="1:11" s="2" customFormat="1" ht="30.75" customHeight="1" x14ac:dyDescent="0.2">
      <c r="A339" s="28"/>
      <c r="B339" s="28"/>
      <c r="C339" s="28"/>
      <c r="D339" s="28"/>
      <c r="E339" s="310"/>
      <c r="F339" s="28"/>
      <c r="G339" s="28"/>
      <c r="H339" s="29"/>
      <c r="I339" s="30"/>
      <c r="J339" s="28"/>
      <c r="K339" s="28"/>
    </row>
    <row r="340" spans="1:11" s="2" customFormat="1" ht="30.75" customHeight="1" x14ac:dyDescent="0.2">
      <c r="A340" s="28"/>
      <c r="B340" s="28"/>
      <c r="C340" s="28"/>
      <c r="D340" s="28"/>
      <c r="E340" s="310"/>
      <c r="F340" s="28"/>
      <c r="G340" s="28"/>
      <c r="H340" s="29"/>
      <c r="I340" s="30"/>
      <c r="J340" s="28"/>
      <c r="K340" s="28"/>
    </row>
    <row r="341" spans="1:11" s="2" customFormat="1" ht="30.75" customHeight="1" x14ac:dyDescent="0.2">
      <c r="A341" s="28"/>
      <c r="B341" s="28"/>
      <c r="C341" s="28"/>
      <c r="D341" s="28"/>
      <c r="E341" s="310"/>
      <c r="F341" s="28"/>
      <c r="G341" s="28"/>
      <c r="H341" s="29"/>
      <c r="I341" s="30"/>
      <c r="J341" s="28"/>
      <c r="K341" s="28"/>
    </row>
    <row r="342" spans="1:11" s="2" customFormat="1" ht="30.75" customHeight="1" x14ac:dyDescent="0.2">
      <c r="A342" s="28"/>
      <c r="B342" s="28"/>
      <c r="C342" s="28"/>
      <c r="D342" s="28"/>
      <c r="E342" s="310"/>
      <c r="F342" s="28"/>
      <c r="G342" s="28"/>
      <c r="H342" s="29"/>
      <c r="I342" s="30"/>
      <c r="J342" s="28"/>
      <c r="K342" s="28"/>
    </row>
    <row r="343" spans="1:11" s="2" customFormat="1" ht="30.75" customHeight="1" x14ac:dyDescent="0.2">
      <c r="A343" s="28"/>
      <c r="B343" s="28"/>
      <c r="C343" s="28"/>
      <c r="D343" s="28"/>
      <c r="E343" s="310"/>
      <c r="F343" s="28"/>
      <c r="G343" s="28"/>
      <c r="H343" s="29"/>
      <c r="I343" s="30"/>
      <c r="J343" s="28"/>
      <c r="K343" s="28"/>
    </row>
    <row r="344" spans="1:11" s="2" customFormat="1" ht="30.75" customHeight="1" x14ac:dyDescent="0.2">
      <c r="A344" s="28"/>
      <c r="B344" s="28"/>
      <c r="C344" s="28"/>
      <c r="D344" s="28"/>
      <c r="E344" s="310"/>
      <c r="F344" s="28"/>
      <c r="G344" s="28"/>
      <c r="H344" s="29"/>
      <c r="I344" s="30"/>
      <c r="J344" s="28"/>
      <c r="K344" s="28"/>
    </row>
    <row r="345" spans="1:11" s="2" customFormat="1" ht="30.75" customHeight="1" x14ac:dyDescent="0.2">
      <c r="A345" s="28"/>
      <c r="B345" s="28"/>
      <c r="C345" s="28"/>
      <c r="D345" s="28"/>
      <c r="E345" s="310"/>
      <c r="F345" s="28"/>
      <c r="G345" s="28"/>
      <c r="H345" s="29"/>
      <c r="I345" s="30"/>
      <c r="J345" s="28"/>
      <c r="K345" s="28"/>
    </row>
    <row r="346" spans="1:11" s="2" customFormat="1" ht="30.75" customHeight="1" x14ac:dyDescent="0.2">
      <c r="A346" s="28"/>
      <c r="B346" s="28"/>
      <c r="C346" s="28"/>
      <c r="D346" s="28"/>
      <c r="E346" s="310"/>
      <c r="F346" s="28"/>
      <c r="G346" s="28"/>
      <c r="H346" s="29"/>
      <c r="I346" s="30"/>
      <c r="J346" s="28"/>
      <c r="K346" s="28"/>
    </row>
    <row r="347" spans="1:11" s="2" customFormat="1" x14ac:dyDescent="0.2">
      <c r="A347" s="28"/>
      <c r="B347" s="28"/>
      <c r="C347" s="28"/>
      <c r="D347" s="28"/>
      <c r="E347" s="310"/>
      <c r="F347" s="28"/>
      <c r="G347" s="28"/>
      <c r="H347" s="29"/>
      <c r="I347" s="30"/>
      <c r="J347" s="28"/>
      <c r="K347" s="28"/>
    </row>
    <row r="348" spans="1:11" s="2" customFormat="1" ht="26.25" customHeight="1" thickBot="1" x14ac:dyDescent="0.25">
      <c r="A348" s="627" t="s">
        <v>56</v>
      </c>
      <c r="B348" s="627"/>
      <c r="C348" s="627"/>
      <c r="D348" s="627"/>
      <c r="E348" s="627"/>
      <c r="F348" s="627" t="s">
        <v>54</v>
      </c>
      <c r="G348" s="627"/>
      <c r="H348" s="627"/>
      <c r="I348" s="628" t="s">
        <v>55</v>
      </c>
      <c r="J348" s="628"/>
      <c r="K348" s="628"/>
    </row>
    <row r="349" spans="1:11" s="2" customFormat="1" ht="16.5" thickTop="1" x14ac:dyDescent="0.2">
      <c r="A349" s="31" t="s">
        <v>57</v>
      </c>
      <c r="B349" s="629" t="str">
        <f>" "&amp;ROUND((bw-bt),2)&amp;"x"&amp;hw&amp;"x"&amp;gc&amp;"/2="</f>
        <v xml:space="preserve"> 4.75x7.1x2.4/2=</v>
      </c>
      <c r="C349" s="630"/>
      <c r="D349" s="631"/>
      <c r="E349" s="461">
        <f>(bw-bt)*hw*gc/2</f>
        <v>40.47</v>
      </c>
      <c r="F349" s="615">
        <f>(bw-bt)/3+bt+bf</f>
        <v>4.333333333333333</v>
      </c>
      <c r="G349" s="616"/>
      <c r="H349" s="32"/>
      <c r="I349" s="617">
        <f>E349*F349</f>
        <v>175.36999999999998</v>
      </c>
      <c r="J349" s="618"/>
      <c r="K349" s="550"/>
    </row>
    <row r="350" spans="1:11" s="2" customFormat="1" ht="15.75" x14ac:dyDescent="0.2">
      <c r="A350" s="34" t="s">
        <v>58</v>
      </c>
      <c r="B350" s="601" t="str">
        <f>" " &amp;hw&amp; "x"&amp;bt&amp; "x"&amp;gc&amp;"="</f>
        <v xml:space="preserve"> 7.1x1x2.4=</v>
      </c>
      <c r="C350" s="602"/>
      <c r="D350" s="603"/>
      <c r="E350" s="467">
        <f>hw*bt*gc</f>
        <v>17.04</v>
      </c>
      <c r="F350" s="712">
        <f>bt*0.5+bf</f>
        <v>2.25</v>
      </c>
      <c r="G350" s="713"/>
      <c r="H350" s="35"/>
      <c r="I350" s="643">
        <f>E350*F350</f>
        <v>38.339999999999996</v>
      </c>
      <c r="J350" s="644"/>
      <c r="K350" s="544"/>
    </row>
    <row r="351" spans="1:11" s="2" customFormat="1" ht="15.75" x14ac:dyDescent="0.2">
      <c r="A351" s="34" t="s">
        <v>59</v>
      </c>
      <c r="B351" s="601" t="str">
        <f>" " &amp;ROUND(b,2)&amp;"x"&amp;hs&amp;"x"&amp;gc&amp;"="</f>
        <v xml:space="preserve"> 8x1.5x2.4=</v>
      </c>
      <c r="C351" s="602"/>
      <c r="D351" s="603"/>
      <c r="E351" s="561">
        <f>b*hs*gc</f>
        <v>28.799999999999997</v>
      </c>
      <c r="F351" s="641">
        <f>b/2</f>
        <v>4</v>
      </c>
      <c r="G351" s="642"/>
      <c r="H351" s="35"/>
      <c r="I351" s="643">
        <f>E351*F351</f>
        <v>115.19999999999999</v>
      </c>
      <c r="J351" s="644"/>
      <c r="K351" s="544"/>
    </row>
    <row r="352" spans="1:11" s="2" customFormat="1" ht="12.75" hidden="1" x14ac:dyDescent="0.2">
      <c r="A352" s="34"/>
      <c r="B352" s="663"/>
      <c r="C352" s="663"/>
      <c r="D352" s="663"/>
      <c r="E352" s="561"/>
      <c r="F352" s="642"/>
      <c r="G352" s="646"/>
      <c r="H352" s="35"/>
      <c r="I352" s="644">
        <f t="shared" ref="I352:I357" si="12">E352*F352</f>
        <v>0</v>
      </c>
      <c r="J352" s="645"/>
      <c r="K352" s="544"/>
    </row>
    <row r="353" spans="1:32" s="2" customFormat="1" ht="12.75" hidden="1" x14ac:dyDescent="0.2">
      <c r="A353" s="34"/>
      <c r="B353" s="661"/>
      <c r="C353" s="661"/>
      <c r="D353" s="661"/>
      <c r="E353" s="561"/>
      <c r="F353" s="642"/>
      <c r="G353" s="646"/>
      <c r="H353" s="35"/>
      <c r="I353" s="644">
        <f t="shared" si="12"/>
        <v>0</v>
      </c>
      <c r="J353" s="645"/>
      <c r="K353" s="544"/>
    </row>
    <row r="354" spans="1:32" s="2" customFormat="1" ht="12.75" hidden="1" x14ac:dyDescent="0.2">
      <c r="A354" s="34"/>
      <c r="B354" s="661"/>
      <c r="C354" s="661"/>
      <c r="D354" s="661"/>
      <c r="E354" s="561"/>
      <c r="F354" s="642"/>
      <c r="G354" s="646"/>
      <c r="H354" s="35"/>
      <c r="I354" s="644">
        <f t="shared" si="12"/>
        <v>0</v>
      </c>
      <c r="J354" s="645"/>
      <c r="K354" s="544"/>
    </row>
    <row r="355" spans="1:32" s="2" customFormat="1" ht="12.75" hidden="1" x14ac:dyDescent="0.2">
      <c r="A355" s="34"/>
      <c r="B355" s="661"/>
      <c r="C355" s="661"/>
      <c r="D355" s="661"/>
      <c r="E355" s="561"/>
      <c r="F355" s="642"/>
      <c r="G355" s="646"/>
      <c r="H355" s="35"/>
      <c r="I355" s="644">
        <f t="shared" si="12"/>
        <v>0</v>
      </c>
      <c r="J355" s="645"/>
      <c r="K355" s="544"/>
      <c r="M355" s="2">
        <f>gdoy*(hsus-hsui)+gnor*(h-0.5-hsus)</f>
        <v>12.222</v>
      </c>
    </row>
    <row r="356" spans="1:32" s="2" customFormat="1" ht="15.75" x14ac:dyDescent="0.2">
      <c r="A356" s="34" t="s">
        <v>87</v>
      </c>
      <c r="B356" s="601" t="str">
        <f>bf&amp;"x"&amp;ROUND(p,2)&amp;"x"&amp;ROUND(gw,2)</f>
        <v>1.75x1.1x1</v>
      </c>
      <c r="C356" s="602"/>
      <c r="D356" s="603"/>
      <c r="E356" s="561">
        <f>bf*p*gw</f>
        <v>1.9250000000000003</v>
      </c>
      <c r="F356" s="625">
        <f>bf/2</f>
        <v>0.875</v>
      </c>
      <c r="G356" s="626"/>
      <c r="H356" s="35"/>
      <c r="I356" s="643">
        <f t="shared" si="12"/>
        <v>1.6843750000000002</v>
      </c>
      <c r="J356" s="644"/>
      <c r="K356" s="544"/>
    </row>
    <row r="357" spans="1:32" s="2" customFormat="1" ht="15" customHeight="1" x14ac:dyDescent="0.2">
      <c r="A357" s="34" t="s">
        <v>82</v>
      </c>
      <c r="B357" s="601" t="str">
        <f>" "&amp;gw&amp;"x("&amp;ROUND(hsus,2)&amp;"+"&amp;hsui&amp;")x"&amp;ROUND(b,2)&amp;"/2="</f>
        <v xml:space="preserve"> 1x(3.21+1.5)x8/2=</v>
      </c>
      <c r="C357" s="602"/>
      <c r="D357" s="603"/>
      <c r="E357" s="561">
        <f>gw*(hsus+hsui)*b/2</f>
        <v>18.84</v>
      </c>
      <c r="F357" s="641">
        <f>((hsus-hsui)*b/2*2*b/3+hsui*b*b/2)/((hsus+hsui)*b/2)</f>
        <v>4.484076433121019</v>
      </c>
      <c r="G357" s="642"/>
      <c r="H357" s="35"/>
      <c r="I357" s="643">
        <f t="shared" si="12"/>
        <v>84.48</v>
      </c>
      <c r="J357" s="644"/>
      <c r="K357" s="544"/>
      <c r="M357" s="2">
        <f>hsui*(gdoy-gw)</f>
        <v>1.5</v>
      </c>
    </row>
    <row r="358" spans="1:32" s="2" customFormat="1" ht="15.75" x14ac:dyDescent="0.2">
      <c r="A358" s="220" t="s">
        <v>354</v>
      </c>
      <c r="B358" s="601" t="str">
        <f>" "&amp;ROUND(kas,3)&amp;"x"&amp;ROUND(h-hsus,3)&amp;"²x"&amp;ROUND(gdoy,2)&amp;"/2xcos("&amp;(ROUND(delta,2)&amp;"+"&amp;(ROUND(beta,2))&amp;")=")</f>
        <v xml:space="preserve"> 0.698x5.39²x2/2xcos(13.92+33.78)=</v>
      </c>
      <c r="C358" s="602"/>
      <c r="D358" s="603"/>
      <c r="E358" s="561">
        <f>kas*(h-hsus)^2*gnor/2*COS(beta/180*PI()+delta/180*PI())</f>
        <v>12.290252652582527</v>
      </c>
      <c r="F358" s="637">
        <f>(h-hsus)/3+hsus</f>
        <v>5.0066666666666668</v>
      </c>
      <c r="G358" s="638"/>
      <c r="H358" s="35"/>
      <c r="I358" s="643">
        <f>E358*F358</f>
        <v>61.533198280596523</v>
      </c>
      <c r="J358" s="644"/>
      <c r="K358" s="544"/>
      <c r="L358" s="771"/>
      <c r="M358" s="771"/>
    </row>
    <row r="359" spans="1:32" s="2" customFormat="1" ht="15.75" x14ac:dyDescent="0.2">
      <c r="A359" s="220" t="s">
        <v>355</v>
      </c>
      <c r="B359" s="601" t="str">
        <f>" "&amp;ROUND(kas,3)&amp;"x"&amp;ROUND(h-hsus,3)&amp;"²x"&amp;ROUND(gdoy,2)&amp;"/2xsin("&amp;(ROUND(delta,2)&amp;"+"&amp;(ROUND(beta,2))&amp;")=")</f>
        <v xml:space="preserve"> 0.698x5.39²x2/2xsin(13.92+33.78)=</v>
      </c>
      <c r="C359" s="602"/>
      <c r="D359" s="603"/>
      <c r="E359" s="561">
        <f>kas*(h-hsus)^2*gnor/2*SIN(beta/180*PI()+delta/180*PI())</f>
        <v>13.505902104316721</v>
      </c>
      <c r="F359" s="637">
        <f>+bf+bt+((h-hsus)*SIN(beta/180*PI()+delta/180*PI()))/3*2</f>
        <v>5.4076600295960251</v>
      </c>
      <c r="G359" s="638"/>
      <c r="H359" s="35"/>
      <c r="I359" s="643">
        <f>E359*F359</f>
        <v>73.035326973150376</v>
      </c>
      <c r="J359" s="644"/>
      <c r="K359" s="544"/>
      <c r="L359" s="770"/>
      <c r="M359" s="770"/>
    </row>
    <row r="360" spans="1:32" s="2" customFormat="1" ht="15.75" x14ac:dyDescent="0.2">
      <c r="A360" s="34" t="s">
        <v>356</v>
      </c>
      <c r="B360" s="718" t="str">
        <f>ROUND(kas,3)&amp;"x"&amp;ROUND(gdoy,2)&amp;"x"&amp;ROUND((h-hsus),2)&amp;"x"&amp;ROUND((hsus),2)&amp;" x cos("&amp;(ROUND(delta,2)&amp;"+"&amp;(ROUND(beta,2))&amp;")=")</f>
        <v>0.698x2x5.39x3.21 x cos(13.92+33.78)=</v>
      </c>
      <c r="C360" s="719"/>
      <c r="D360" s="720"/>
      <c r="E360" s="561">
        <f>kas*((gnor*(h-hsus))*hsus)*COS(beta/180*PI()+delta/180*PI())</f>
        <v>14.638853808827429</v>
      </c>
      <c r="F360" s="637">
        <f>+hsus/2</f>
        <v>1.605</v>
      </c>
      <c r="G360" s="638"/>
      <c r="H360" s="35"/>
      <c r="I360" s="643">
        <f t="shared" ref="I360:I368" si="13">E360*F360</f>
        <v>23.495360363168025</v>
      </c>
      <c r="J360" s="644"/>
      <c r="K360" s="544"/>
      <c r="L360" s="770"/>
      <c r="M360" s="770"/>
    </row>
    <row r="361" spans="1:32" s="2" customFormat="1" ht="15.75" x14ac:dyDescent="0.2">
      <c r="A361" s="34" t="s">
        <v>357</v>
      </c>
      <c r="B361" s="634" t="str">
        <f>ROUND(kas,3)&amp;"x"&amp;ROUND(gdoy,2)&amp;"x"&amp;ROUND((h-hsus),2)&amp;"x"&amp;ROUND((hsus),2)&amp;" x sin("&amp;(ROUND(delta,2)&amp;"+"&amp;(ROUND(beta,2))&amp;")=")</f>
        <v>0.698x2x5.39x3.21 x sin(13.92+33.78)=</v>
      </c>
      <c r="C361" s="635"/>
      <c r="D361" s="636"/>
      <c r="E361" s="561">
        <f>kas*((gnor*(h-hsus))*hsus)*SIN(beta/180*PI()+delta/180*PI())</f>
        <v>16.086807330188009</v>
      </c>
      <c r="F361" s="637">
        <f>+(bw-(hsus/2*COS(beta/180*PI()+delta/180*PI())))+bt+bf</f>
        <v>7.4197751375752574</v>
      </c>
      <c r="G361" s="638"/>
      <c r="H361" s="35"/>
      <c r="I361" s="643">
        <f t="shared" si="13"/>
        <v>119.3604930714924</v>
      </c>
      <c r="J361" s="644"/>
      <c r="K361" s="544"/>
      <c r="L361" s="770"/>
      <c r="M361" s="770"/>
    </row>
    <row r="362" spans="1:32" s="2" customFormat="1" ht="15.75" x14ac:dyDescent="0.2">
      <c r="A362" s="34" t="s">
        <v>358</v>
      </c>
      <c r="B362" s="634" t="str">
        <f>ROUND(kas,3)&amp;"x"&amp;"("&amp;ROUND(gdoy,2)&amp;"x"&amp;ROUND(hsus,2)&amp;")"&amp;"/2"&amp;"x"&amp;hsus&amp;" xcos("&amp;(ROUND(delta,2)&amp;"+"&amp;(ROUND(beta,2))&amp;")=")</f>
        <v>0.698x(2x3.21)/2x3.21 xcos(13.92+33.78)=</v>
      </c>
      <c r="C362" s="635"/>
      <c r="D362" s="636"/>
      <c r="E362" s="561">
        <f>(kas*(gdoy*hsus))*hsus/2*COS(beta/180*PI()+delta/180*PI())</f>
        <v>4.843405558270053</v>
      </c>
      <c r="F362" s="637">
        <f>+hsus/3</f>
        <v>1.07</v>
      </c>
      <c r="G362" s="638"/>
      <c r="H362" s="35"/>
      <c r="I362" s="643">
        <f t="shared" si="13"/>
        <v>5.1824439473489567</v>
      </c>
      <c r="J362" s="644"/>
      <c r="K362" s="544"/>
      <c r="L362" s="770"/>
      <c r="M362" s="770"/>
    </row>
    <row r="363" spans="1:32" s="2" customFormat="1" ht="15.75" x14ac:dyDescent="0.2">
      <c r="A363" s="34" t="s">
        <v>359</v>
      </c>
      <c r="B363" s="634" t="str">
        <f>ROUND(kas,3)&amp;"x"&amp;"("&amp;ROUND(gdoy,2)&amp;"x"&amp;ROUND(hsus,2)&amp;")"&amp;"/2"&amp;"x"&amp;hsus&amp;" xsin("&amp;(ROUND(delta,2)&amp;"+"&amp;(ROUND(beta,2))&amp;")=")</f>
        <v>0.698x(2x3.21)/2x3.21 xsin(13.92+33.78)=</v>
      </c>
      <c r="C363" s="635"/>
      <c r="D363" s="636"/>
      <c r="E363" s="561">
        <f>(kas*(gdoy*hsus))*hsus/2*SIN(beta/180*PI()+delta/180*PI())</f>
        <v>5.3224749051642455</v>
      </c>
      <c r="F363" s="637">
        <f>+(bw-(hsus/3*COS(beta/180*PI()+delta/180*PI())))+bt+bf</f>
        <v>7.7798500917168383</v>
      </c>
      <c r="G363" s="638"/>
      <c r="H363" s="35"/>
      <c r="I363" s="643">
        <f t="shared" si="13"/>
        <v>41.408056879102624</v>
      </c>
      <c r="J363" s="644"/>
      <c r="K363" s="544"/>
      <c r="L363" s="770"/>
      <c r="M363" s="770"/>
    </row>
    <row r="364" spans="1:32" s="2" customFormat="1" ht="15.75" x14ac:dyDescent="0.2">
      <c r="A364" s="34" t="s">
        <v>92</v>
      </c>
      <c r="B364" s="601" t="str">
        <f>" "&amp;gw&amp;"x"&amp;ROUND(hsus,2)&amp;"²/2="</f>
        <v xml:space="preserve"> 1x3.21²/2=</v>
      </c>
      <c r="C364" s="602"/>
      <c r="D364" s="603"/>
      <c r="E364" s="561">
        <f>0.5*hsus^2*gw</f>
        <v>5.15205</v>
      </c>
      <c r="F364" s="641">
        <f>hsus/3</f>
        <v>1.07</v>
      </c>
      <c r="G364" s="642"/>
      <c r="H364" s="35"/>
      <c r="I364" s="643">
        <f t="shared" si="13"/>
        <v>5.5126935000000001</v>
      </c>
      <c r="J364" s="644"/>
      <c r="K364" s="544"/>
    </row>
    <row r="365" spans="1:32" s="2" customFormat="1" ht="15.75" x14ac:dyDescent="0.2">
      <c r="A365" s="34" t="s">
        <v>93</v>
      </c>
      <c r="B365" s="601" t="str">
        <f>" "&amp;gw&amp;"x"&amp;(hsui)&amp;"²/2="</f>
        <v xml:space="preserve"> 1x1.5²/2=</v>
      </c>
      <c r="C365" s="602"/>
      <c r="D365" s="603"/>
      <c r="E365" s="561">
        <f>0.5*(hsui)^2*gw</f>
        <v>1.125</v>
      </c>
      <c r="F365" s="641">
        <f>(hsui)/3</f>
        <v>0.5</v>
      </c>
      <c r="G365" s="642"/>
      <c r="H365" s="35"/>
      <c r="I365" s="643">
        <f t="shared" si="13"/>
        <v>0.5625</v>
      </c>
      <c r="J365" s="644"/>
      <c r="K365" s="544"/>
    </row>
    <row r="366" spans="1:32" s="193" customFormat="1" ht="15.75" x14ac:dyDescent="0.3">
      <c r="A366" s="569" t="s">
        <v>330</v>
      </c>
      <c r="B366" s="698" t="str">
        <f>+B183</f>
        <v xml:space="preserve"> 0x0x2.4+0x0/2/2x2x2.4=</v>
      </c>
      <c r="C366" s="699"/>
      <c r="D366" s="700"/>
      <c r="E366" s="561">
        <f>+E313</f>
        <v>0</v>
      </c>
      <c r="F366" s="642">
        <f>+F313</f>
        <v>5.75</v>
      </c>
      <c r="G366" s="646"/>
      <c r="H366" s="346"/>
      <c r="I366" s="644">
        <f t="shared" si="13"/>
        <v>0</v>
      </c>
      <c r="J366" s="645"/>
      <c r="K366" s="345"/>
      <c r="P366" s="183"/>
      <c r="Q366" s="556"/>
      <c r="R366" s="556"/>
      <c r="S366" s="556"/>
      <c r="T366" s="181"/>
      <c r="U366" s="557"/>
      <c r="V366" s="557"/>
      <c r="W366" s="564"/>
      <c r="X366" s="563"/>
      <c r="Y366" s="563"/>
      <c r="Z366" s="556"/>
      <c r="AA366" s="168"/>
      <c r="AB366" s="168"/>
      <c r="AC366" s="168"/>
      <c r="AD366" s="168"/>
      <c r="AE366" s="168"/>
      <c r="AF366" s="168"/>
    </row>
    <row r="367" spans="1:32" s="193" customFormat="1" ht="15.75" x14ac:dyDescent="0.2">
      <c r="A367" s="34" t="s">
        <v>212</v>
      </c>
      <c r="B367" s="601" t="str">
        <f>" "&amp;ROUND($J$87,3)&amp;"x"&amp;hs&amp;"x"&amp;$I$30&amp;"x"&amp;gnor&amp;"="</f>
        <v xml:space="preserve"> 2.55x1.5x0x1.8=</v>
      </c>
      <c r="C367" s="602"/>
      <c r="D367" s="603"/>
      <c r="E367" s="561">
        <f>gnor*$J$87*hs*$I$30</f>
        <v>0</v>
      </c>
      <c r="F367" s="642">
        <f>$I$30/2</f>
        <v>0</v>
      </c>
      <c r="G367" s="646"/>
      <c r="H367" s="346"/>
      <c r="I367" s="644">
        <f t="shared" si="13"/>
        <v>0</v>
      </c>
      <c r="J367" s="645"/>
      <c r="K367" s="544"/>
      <c r="P367" s="183"/>
      <c r="Q367" s="556"/>
      <c r="R367" s="556"/>
      <c r="S367" s="556"/>
      <c r="T367" s="181"/>
      <c r="U367" s="557"/>
      <c r="V367" s="557"/>
      <c r="W367" s="564"/>
      <c r="X367" s="563"/>
      <c r="Y367" s="563"/>
      <c r="Z367" s="556"/>
      <c r="AA367" s="168"/>
      <c r="AB367" s="168"/>
      <c r="AC367" s="168"/>
      <c r="AD367" s="168"/>
      <c r="AE367" s="168"/>
      <c r="AF367" s="168"/>
    </row>
    <row r="368" spans="1:32" s="193" customFormat="1" ht="15.75" x14ac:dyDescent="0.3">
      <c r="A368" s="569" t="s">
        <v>213</v>
      </c>
      <c r="B368" s="601" t="str">
        <f>" "&amp;ROUND($J$87,3)&amp;"x"&amp;$I$30&amp;"x"&amp;$I$30&amp;"x"&amp;gnor&amp;"/2="</f>
        <v xml:space="preserve"> 2.55x0x0x1.8/2=</v>
      </c>
      <c r="C368" s="602"/>
      <c r="D368" s="603"/>
      <c r="E368" s="462">
        <f>$J$87*$I$30*$I$30*gnor/2</f>
        <v>0</v>
      </c>
      <c r="F368" s="642">
        <f>$I$30*2/3</f>
        <v>0</v>
      </c>
      <c r="G368" s="646"/>
      <c r="H368" s="346"/>
      <c r="I368" s="644">
        <f t="shared" si="13"/>
        <v>0</v>
      </c>
      <c r="J368" s="645"/>
      <c r="K368" s="544"/>
      <c r="N368" s="347"/>
      <c r="P368" s="183"/>
      <c r="Q368" s="556"/>
      <c r="R368" s="556"/>
      <c r="S368" s="556"/>
      <c r="T368" s="181"/>
      <c r="U368" s="557"/>
      <c r="V368" s="557"/>
      <c r="W368" s="564"/>
      <c r="X368" s="563"/>
      <c r="Y368" s="563"/>
      <c r="Z368" s="556"/>
      <c r="AA368" s="168"/>
      <c r="AB368" s="168"/>
      <c r="AC368" s="168"/>
      <c r="AD368" s="168"/>
      <c r="AE368" s="168"/>
      <c r="AF368" s="168"/>
    </row>
    <row r="369" spans="1:18" s="2" customFormat="1" ht="10.5" customHeight="1" x14ac:dyDescent="0.2">
      <c r="A369" s="28"/>
      <c r="B369" s="28"/>
      <c r="C369" s="28"/>
      <c r="D369" s="28"/>
      <c r="E369" s="310"/>
      <c r="F369" s="664"/>
      <c r="G369" s="664"/>
      <c r="H369" s="29"/>
      <c r="I369" s="30"/>
      <c r="J369" s="28"/>
      <c r="K369" s="28"/>
    </row>
    <row r="370" spans="1:18" s="2" customFormat="1" ht="12.75" x14ac:dyDescent="0.2">
      <c r="A370" s="58" t="s">
        <v>71</v>
      </c>
      <c r="B370" s="8"/>
      <c r="C370" s="8"/>
      <c r="D370" s="37"/>
      <c r="E370" s="465"/>
      <c r="F370" s="8"/>
      <c r="G370" s="8"/>
      <c r="H370" s="16"/>
      <c r="K370" s="8"/>
    </row>
    <row r="371" spans="1:18" s="2" customFormat="1" ht="29.25" customHeight="1" x14ac:dyDescent="0.25">
      <c r="A371" s="632"/>
      <c r="B371" s="632"/>
      <c r="C371" s="633"/>
      <c r="D371" s="633"/>
      <c r="E371" s="464"/>
      <c r="F371" s="39"/>
      <c r="G371" s="558"/>
      <c r="H371" s="41"/>
      <c r="I371" s="9"/>
      <c r="J371" s="9"/>
      <c r="K371" s="558"/>
    </row>
    <row r="372" spans="1:18" s="2" customFormat="1" ht="18" customHeight="1" x14ac:dyDescent="0.2">
      <c r="A372" s="9"/>
      <c r="B372" s="42"/>
      <c r="C372" s="9"/>
      <c r="D372" s="43"/>
      <c r="E372" s="464"/>
      <c r="F372" s="558"/>
      <c r="G372" s="558"/>
      <c r="H372" s="41"/>
      <c r="I372" s="9"/>
      <c r="J372" s="9"/>
      <c r="K372" s="558"/>
    </row>
    <row r="373" spans="1:18" s="2" customFormat="1" ht="18" customHeight="1" x14ac:dyDescent="0.2">
      <c r="A373" s="558"/>
      <c r="B373" s="558"/>
      <c r="C373" s="558"/>
      <c r="D373" s="44"/>
      <c r="E373" s="465"/>
      <c r="F373" s="8"/>
      <c r="G373" s="8"/>
      <c r="H373" s="16"/>
      <c r="K373" s="8"/>
    </row>
    <row r="374" spans="1:18" s="2" customFormat="1" ht="14.25" customHeight="1" x14ac:dyDescent="0.25">
      <c r="A374" s="8"/>
      <c r="B374" s="8"/>
      <c r="C374" s="39"/>
      <c r="D374" s="37"/>
      <c r="E374" s="465"/>
      <c r="F374" s="8"/>
      <c r="G374" s="8"/>
      <c r="H374" s="16"/>
      <c r="K374" s="8"/>
    </row>
    <row r="375" spans="1:18" s="2" customFormat="1" ht="30" customHeight="1" x14ac:dyDescent="0.2">
      <c r="A375" s="545"/>
      <c r="B375" s="649"/>
      <c r="C375" s="649"/>
      <c r="D375" s="46" t="s">
        <v>72</v>
      </c>
      <c r="E375" s="181">
        <f>IF(B376&lt;b/6,C384/b*(1+6*B376/b),2/3*C384/(b/2-B376))</f>
        <v>16.084118185525249</v>
      </c>
      <c r="F375" s="48" t="s">
        <v>25</v>
      </c>
      <c r="G375" s="48" t="str">
        <f>IF(E375&lt;I375,"&lt;","&gt;")</f>
        <v>&lt;</v>
      </c>
      <c r="H375" s="46" t="s">
        <v>75</v>
      </c>
      <c r="I375" s="49">
        <f>I49</f>
        <v>400</v>
      </c>
      <c r="J375" s="48" t="s">
        <v>25</v>
      </c>
      <c r="K375" s="50" t="str">
        <f>IF(G375="&lt;","O.K.","not O.K.")</f>
        <v>O.K.</v>
      </c>
    </row>
    <row r="376" spans="1:18" s="2" customFormat="1" ht="14.25" customHeight="1" x14ac:dyDescent="0.2">
      <c r="A376" s="560">
        <f>+(A380-C380)/C384</f>
        <v>3.6885857145044798</v>
      </c>
      <c r="B376" s="656">
        <f>b/2-A376</f>
        <v>0.31141428549552019</v>
      </c>
      <c r="C376" s="660"/>
      <c r="D376" s="304" t="s">
        <v>73</v>
      </c>
      <c r="E376" s="181">
        <f>IF(B376&lt;b/6,C384/b*(1-6*B376/b),0)</f>
        <v>9.9934278993919943</v>
      </c>
      <c r="F376" s="183" t="s">
        <v>25</v>
      </c>
      <c r="G376" s="183" t="str">
        <f>IF(E376&lt;I376,"&lt;","&gt;")</f>
        <v>&gt;</v>
      </c>
      <c r="H376" s="304" t="s">
        <v>74</v>
      </c>
      <c r="I376" s="305">
        <v>0</v>
      </c>
      <c r="J376" s="183" t="s">
        <v>25</v>
      </c>
      <c r="K376" s="306" t="str">
        <f>IF(E376&lt;I376,"not O.K.","O.K.")</f>
        <v>O.K.</v>
      </c>
      <c r="L376" s="193"/>
      <c r="M376" s="193"/>
      <c r="N376" s="236"/>
      <c r="O376" s="236"/>
      <c r="P376" s="236"/>
    </row>
    <row r="377" spans="1:18" s="2" customFormat="1" ht="14.25" customHeight="1" x14ac:dyDescent="0.2">
      <c r="A377" s="193"/>
      <c r="B377" s="193"/>
      <c r="C377" s="193"/>
      <c r="D377" s="193"/>
      <c r="E377" s="193"/>
      <c r="F377" s="193"/>
      <c r="G377" s="193"/>
      <c r="H377" s="193"/>
      <c r="I377" s="293"/>
      <c r="J377" s="193"/>
      <c r="K377" s="193"/>
      <c r="L377" s="193"/>
      <c r="M377" s="193"/>
      <c r="N377" s="236"/>
      <c r="O377" s="236"/>
      <c r="P377" s="236"/>
    </row>
    <row r="378" spans="1:18" s="2" customFormat="1" ht="14.25" customHeight="1" x14ac:dyDescent="0.2">
      <c r="A378" s="307" t="s">
        <v>69</v>
      </c>
      <c r="B378" s="299"/>
      <c r="C378" s="299"/>
      <c r="D378" s="299"/>
      <c r="E378" s="299"/>
      <c r="F378" s="299"/>
      <c r="G378" s="299"/>
      <c r="H378" s="196"/>
      <c r="I378" s="302"/>
      <c r="J378" s="299"/>
      <c r="K378" s="299"/>
      <c r="L378" s="193"/>
      <c r="M378" s="193"/>
      <c r="N378" s="236"/>
      <c r="O378" s="236"/>
      <c r="P378" s="236"/>
    </row>
    <row r="379" spans="1:18" s="2" customFormat="1" ht="30" customHeight="1" x14ac:dyDescent="0.25">
      <c r="A379" s="702" t="s">
        <v>64</v>
      </c>
      <c r="B379" s="702"/>
      <c r="C379" s="702" t="s">
        <v>65</v>
      </c>
      <c r="D379" s="702"/>
      <c r="E379" s="710"/>
      <c r="F379" s="711"/>
      <c r="G379" s="308"/>
      <c r="H379" s="295" t="s">
        <v>66</v>
      </c>
      <c r="I379" s="309"/>
      <c r="J379" s="310"/>
      <c r="K379" s="261"/>
      <c r="L379" s="193"/>
      <c r="M379" s="193"/>
      <c r="N379" s="236"/>
      <c r="O379" s="236"/>
      <c r="P379" s="236"/>
    </row>
    <row r="380" spans="1:18" s="2" customFormat="1" ht="14.25" customHeight="1" x14ac:dyDescent="0.2">
      <c r="A380" s="701">
        <f>SUM(I349:J356)+I365+I359+I361+I363</f>
        <v>564.96075192374542</v>
      </c>
      <c r="B380" s="701"/>
      <c r="C380" s="701">
        <f>+I357+I358+I360+I362+I364</f>
        <v>180.20369609111353</v>
      </c>
      <c r="D380" s="701"/>
      <c r="E380" s="656">
        <f>A380/C380</f>
        <v>3.1351229979106163</v>
      </c>
      <c r="F380" s="657"/>
      <c r="G380" s="290" t="str">
        <f>IF(ROUND(E380,1)&lt;H380,"&lt;","&gt;")</f>
        <v>&gt;</v>
      </c>
      <c r="H380" s="291">
        <v>1.5</v>
      </c>
      <c r="I380" s="292" t="str">
        <f>IF(G380="&gt;","O.K.","not O.K.")</f>
        <v>O.K.</v>
      </c>
      <c r="J380" s="293"/>
      <c r="K380" s="293"/>
      <c r="L380" s="168"/>
      <c r="M380" s="168"/>
      <c r="N380" s="729"/>
      <c r="O380" s="729"/>
      <c r="P380" s="237"/>
      <c r="Q380" s="9"/>
      <c r="R380" s="9"/>
    </row>
    <row r="381" spans="1:18" s="2" customFormat="1" ht="14.25" customHeight="1" x14ac:dyDescent="0.2">
      <c r="A381" s="299"/>
      <c r="B381" s="299"/>
      <c r="C381" s="299"/>
      <c r="D381" s="299"/>
      <c r="E381" s="299"/>
      <c r="F381" s="299"/>
      <c r="G381" s="299"/>
      <c r="H381" s="196"/>
      <c r="I381" s="302"/>
      <c r="J381" s="299"/>
      <c r="K381" s="299"/>
      <c r="L381" s="168"/>
      <c r="M381" s="168"/>
      <c r="N381" s="233"/>
      <c r="O381" s="233"/>
      <c r="P381" s="238"/>
      <c r="Q381" s="223"/>
      <c r="R381" s="9"/>
    </row>
    <row r="382" spans="1:18" s="2" customFormat="1" ht="14.25" customHeight="1" x14ac:dyDescent="0.2">
      <c r="A382" s="307" t="s">
        <v>70</v>
      </c>
      <c r="B382" s="299"/>
      <c r="C382" s="299"/>
      <c r="D382" s="299"/>
      <c r="E382" s="299"/>
      <c r="F382" s="299"/>
      <c r="G382" s="299"/>
      <c r="H382" s="196"/>
      <c r="I382" s="302"/>
      <c r="J382" s="299"/>
      <c r="K382" s="299"/>
      <c r="L382" s="671"/>
      <c r="M382" s="671"/>
      <c r="N382" s="234"/>
      <c r="O382" s="234"/>
      <c r="P382" s="234"/>
      <c r="Q382" s="47"/>
      <c r="R382" s="9"/>
    </row>
    <row r="383" spans="1:18" s="2" customFormat="1" ht="30" customHeight="1" x14ac:dyDescent="0.2">
      <c r="A383" s="702" t="s">
        <v>67</v>
      </c>
      <c r="B383" s="702"/>
      <c r="C383" s="702" t="s">
        <v>68</v>
      </c>
      <c r="D383" s="702"/>
      <c r="E383" s="294" t="s">
        <v>11</v>
      </c>
      <c r="F383" s="703"/>
      <c r="G383" s="704"/>
      <c r="H383" s="295"/>
      <c r="I383" s="295" t="s">
        <v>66</v>
      </c>
      <c r="J383" s="296"/>
      <c r="K383" s="297"/>
      <c r="L383" s="671"/>
      <c r="M383" s="671"/>
      <c r="N383" s="235"/>
      <c r="O383" s="234"/>
      <c r="P383" s="234"/>
      <c r="Q383" s="224"/>
      <c r="R383" s="9"/>
    </row>
    <row r="384" spans="1:18" s="2" customFormat="1" ht="14.25" customHeight="1" x14ac:dyDescent="0.2">
      <c r="A384" s="656">
        <f>IF((+E358+E360+E362+E364-E365-E367-E368)&lt;0,-(+E358+E360+E362+E364-E365-E367-E368),(+E358+E360+E362+E364-E365-E367-E368))</f>
        <v>35.79956201968001</v>
      </c>
      <c r="B384" s="660"/>
      <c r="C384" s="701">
        <f>SUM(E349:E356)-E357+E359+E361+E363</f>
        <v>104.31018433966896</v>
      </c>
      <c r="D384" s="701"/>
      <c r="E384" s="298">
        <f>I47</f>
        <v>0.65</v>
      </c>
      <c r="F384" s="656">
        <f>C384*E384/A384</f>
        <v>1.8939231654150519</v>
      </c>
      <c r="G384" s="657"/>
      <c r="H384" s="290" t="str">
        <f>IF(ROUND(F384,1)&lt;I384,"&lt;","&gt;")</f>
        <v>&gt;</v>
      </c>
      <c r="I384" s="291">
        <v>1.5</v>
      </c>
      <c r="J384" s="292" t="str">
        <f>IF(H384="&gt;","O.K.","not O.K.")</f>
        <v>O.K.</v>
      </c>
      <c r="K384" s="299"/>
      <c r="L384" s="671"/>
      <c r="M384" s="671"/>
      <c r="N384" s="234"/>
      <c r="O384" s="234"/>
      <c r="P384" s="234"/>
      <c r="Q384" s="224"/>
      <c r="R384" s="9"/>
    </row>
    <row r="385" spans="1:27" s="2" customFormat="1" ht="14.25" customHeight="1" x14ac:dyDescent="0.2">
      <c r="A385" s="193"/>
      <c r="B385" s="193"/>
      <c r="C385" s="193"/>
      <c r="D385" s="193"/>
      <c r="E385" s="193"/>
      <c r="F385" s="193"/>
      <c r="G385" s="193"/>
      <c r="H385" s="193"/>
      <c r="I385" s="193"/>
      <c r="J385" s="193"/>
      <c r="K385" s="193"/>
      <c r="L385" s="671"/>
      <c r="M385" s="671"/>
      <c r="N385" s="234"/>
      <c r="O385" s="234"/>
      <c r="P385" s="234"/>
      <c r="Q385" s="47"/>
      <c r="R385" s="9"/>
    </row>
    <row r="386" spans="1:27" s="2" customFormat="1" ht="12.75" x14ac:dyDescent="0.2">
      <c r="A386" s="193"/>
      <c r="B386" s="193"/>
      <c r="C386" s="193"/>
      <c r="D386" s="193"/>
      <c r="E386" s="193"/>
      <c r="F386" s="193"/>
      <c r="G386" s="193"/>
      <c r="H386" s="193"/>
      <c r="I386" s="193"/>
      <c r="J386" s="193"/>
      <c r="K386" s="193"/>
      <c r="L386" s="168"/>
      <c r="M386" s="168"/>
      <c r="N386" s="237"/>
      <c r="O386" s="237"/>
      <c r="P386" s="237"/>
      <c r="Q386" s="9"/>
      <c r="R386" s="9"/>
    </row>
    <row r="387" spans="1:27" s="2" customFormat="1" ht="12.75" x14ac:dyDescent="0.2">
      <c r="A387" s="311" t="s">
        <v>180</v>
      </c>
      <c r="B387" s="193"/>
      <c r="C387" s="193"/>
      <c r="D387" s="193"/>
      <c r="E387" s="193"/>
      <c r="F387" s="193"/>
      <c r="G387" s="193"/>
      <c r="H387" s="193"/>
      <c r="I387" s="193"/>
      <c r="J387" s="193"/>
      <c r="K387" s="193"/>
      <c r="L387" s="168"/>
      <c r="M387" s="168"/>
      <c r="N387" s="237"/>
      <c r="O387" s="237"/>
      <c r="P387" s="237"/>
      <c r="Q387" s="9"/>
      <c r="R387" s="9"/>
    </row>
    <row r="388" spans="1:27" s="2" customFormat="1" ht="12.75" x14ac:dyDescent="0.2">
      <c r="A388" s="193"/>
      <c r="B388" s="193"/>
      <c r="C388" s="193"/>
      <c r="D388" s="193"/>
      <c r="E388" s="193"/>
      <c r="F388" s="193"/>
      <c r="G388" s="193"/>
      <c r="H388" s="193"/>
      <c r="I388" s="193"/>
      <c r="J388" s="193"/>
      <c r="K388" s="193"/>
      <c r="L388" s="193"/>
      <c r="M388" s="193"/>
      <c r="N388" s="193"/>
      <c r="O388" s="193"/>
      <c r="P388" s="236"/>
    </row>
    <row r="389" spans="1:27" s="2" customFormat="1" ht="12.75" x14ac:dyDescent="0.2">
      <c r="A389" s="312" t="s">
        <v>199</v>
      </c>
      <c r="B389" s="193"/>
      <c r="C389" s="193"/>
      <c r="D389" s="193"/>
      <c r="E389" s="193"/>
      <c r="F389" s="193"/>
      <c r="G389" s="193"/>
      <c r="H389" s="193"/>
      <c r="I389" s="193"/>
      <c r="J389" s="193"/>
      <c r="K389" s="193"/>
      <c r="L389" s="193"/>
      <c r="M389" s="193"/>
      <c r="N389" s="193"/>
      <c r="O389" s="193"/>
    </row>
    <row r="390" spans="1:27" s="2" customFormat="1" x14ac:dyDescent="0.2">
      <c r="E390" s="193"/>
      <c r="L390" s="1"/>
      <c r="M390" s="1"/>
      <c r="N390" s="1"/>
      <c r="O390" s="1"/>
      <c r="P390" s="1"/>
      <c r="Q390" s="1"/>
      <c r="R390" s="1"/>
      <c r="S390" s="1"/>
      <c r="T390" s="1"/>
      <c r="U390" s="1"/>
    </row>
    <row r="391" spans="1:27" s="2" customFormat="1" x14ac:dyDescent="0.2">
      <c r="E391" s="193"/>
      <c r="L391" s="1"/>
      <c r="M391" s="1"/>
      <c r="N391" s="1"/>
      <c r="O391" s="1"/>
      <c r="P391" s="1"/>
      <c r="Q391" s="1"/>
      <c r="R391" s="1"/>
      <c r="S391" s="1"/>
      <c r="T391" s="1"/>
      <c r="U391" s="1"/>
    </row>
    <row r="392" spans="1:27" s="2" customFormat="1" x14ac:dyDescent="0.2">
      <c r="E392" s="193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</row>
    <row r="393" spans="1:27" s="2" customFormat="1" x14ac:dyDescent="0.2">
      <c r="E393" s="193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</row>
    <row r="394" spans="1:27" s="2" customFormat="1" x14ac:dyDescent="0.2">
      <c r="E394" s="193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</row>
    <row r="395" spans="1:27" s="2" customFormat="1" x14ac:dyDescent="0.2">
      <c r="E395" s="193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</row>
    <row r="396" spans="1:27" s="2" customFormat="1" x14ac:dyDescent="0.2">
      <c r="E396" s="193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</row>
    <row r="397" spans="1:27" s="2" customFormat="1" x14ac:dyDescent="0.2">
      <c r="E397" s="193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</row>
    <row r="398" spans="1:27" s="2" customFormat="1" x14ac:dyDescent="0.2">
      <c r="E398" s="193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</row>
    <row r="399" spans="1:27" s="2" customFormat="1" x14ac:dyDescent="0.2">
      <c r="E399" s="193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</row>
    <row r="403" spans="1:27" x14ac:dyDescent="0.2">
      <c r="A403" s="261"/>
    </row>
    <row r="404" spans="1:27" x14ac:dyDescent="0.2">
      <c r="A404" s="261"/>
    </row>
    <row r="405" spans="1:27" x14ac:dyDescent="0.2">
      <c r="A405" s="261"/>
    </row>
    <row r="406" spans="1:27" x14ac:dyDescent="0.2">
      <c r="A406" s="261"/>
      <c r="Q406" s="12"/>
      <c r="R406" s="12"/>
      <c r="S406" s="12"/>
      <c r="T406" s="12"/>
      <c r="U406" s="12"/>
      <c r="V406" s="12"/>
      <c r="W406" s="12"/>
      <c r="X406" s="12"/>
      <c r="Y406" s="12"/>
      <c r="Z406" s="12"/>
      <c r="AA406" s="12"/>
    </row>
    <row r="407" spans="1:27" x14ac:dyDescent="0.2">
      <c r="Q407" s="12"/>
      <c r="R407" s="12"/>
      <c r="S407" s="12"/>
      <c r="T407" s="12"/>
      <c r="U407" s="12"/>
      <c r="V407" s="12"/>
      <c r="W407" s="12"/>
      <c r="X407" s="12"/>
      <c r="Y407" s="12"/>
      <c r="Z407" s="12"/>
      <c r="AA407" s="12"/>
    </row>
    <row r="408" spans="1:27" ht="31.5" customHeight="1" thickBot="1" x14ac:dyDescent="0.25">
      <c r="B408" s="160"/>
      <c r="C408" s="160"/>
      <c r="D408" s="160"/>
      <c r="E408" s="666" t="s">
        <v>174</v>
      </c>
      <c r="F408" s="667"/>
      <c r="G408" s="666" t="s">
        <v>54</v>
      </c>
      <c r="H408" s="667"/>
      <c r="I408" s="628" t="s">
        <v>55</v>
      </c>
      <c r="J408" s="628"/>
      <c r="K408" s="628"/>
      <c r="Q408" s="12"/>
      <c r="R408" s="12"/>
      <c r="S408" s="12"/>
      <c r="T408" s="12"/>
      <c r="U408" s="12"/>
      <c r="V408" s="12"/>
      <c r="W408" s="12"/>
      <c r="X408" s="12"/>
      <c r="Y408" s="12"/>
      <c r="Z408" s="12"/>
      <c r="AA408" s="12"/>
    </row>
    <row r="409" spans="1:27" ht="15.75" thickTop="1" x14ac:dyDescent="0.25">
      <c r="A409" s="159" t="s">
        <v>173</v>
      </c>
      <c r="Q409" s="47"/>
      <c r="R409" s="653"/>
      <c r="S409" s="653"/>
      <c r="T409" s="41"/>
      <c r="U409" s="653"/>
      <c r="V409" s="653"/>
      <c r="W409" s="558"/>
      <c r="X409" s="12"/>
      <c r="Y409" s="12"/>
      <c r="Z409" s="12"/>
      <c r="AA409" s="12"/>
    </row>
    <row r="410" spans="1:27" x14ac:dyDescent="0.2">
      <c r="A410" s="697" t="str">
        <f>"1.6 x PS= 1.6x"&amp;ROUND(kas,3)&amp;"x"&amp;(hw)&amp;"x"&amp;q</f>
        <v>1.6 x PS= 1.6x0.698x7.1x1.14</v>
      </c>
      <c r="B410" s="697"/>
      <c r="C410" s="697"/>
      <c r="D410" s="697"/>
      <c r="E410" s="665">
        <f>1.6*kas*(hw)*q</f>
        <v>9.044505385686783</v>
      </c>
      <c r="F410" s="665"/>
      <c r="G410" s="665">
        <f>(hw)/2</f>
        <v>3.55</v>
      </c>
      <c r="H410" s="665"/>
      <c r="J410" s="60">
        <f>+G410*E410</f>
        <v>32.107994119188078</v>
      </c>
      <c r="L410" s="48"/>
      <c r="M410" s="647"/>
      <c r="N410" s="647"/>
      <c r="O410" s="647"/>
      <c r="P410" s="647"/>
      <c r="Q410" s="47"/>
      <c r="R410" s="653"/>
      <c r="S410" s="653"/>
      <c r="T410" s="41"/>
      <c r="U410" s="653"/>
      <c r="V410" s="653"/>
      <c r="W410" s="558"/>
      <c r="X410" s="12"/>
      <c r="Y410" s="12"/>
      <c r="Z410" s="12"/>
      <c r="AA410" s="12"/>
    </row>
    <row r="411" spans="1:27" x14ac:dyDescent="0.2">
      <c r="A411" s="697" t="str">
        <f>"1.6 x PA= 1.6x"&amp;ROUND(kas,3)&amp;"x"&amp;(hw)&amp;"x"&amp;(hw)&amp;"x"&amp;ROUND(gnor,2)&amp;"/2="</f>
        <v>1.6 x PA= 1.6x0.698x7.1x7.1x1.8/2=</v>
      </c>
      <c r="B411" s="697"/>
      <c r="C411" s="697"/>
      <c r="D411" s="697"/>
      <c r="E411" s="665">
        <f>1.6*kas*(hw)^2*gnor/2</f>
        <v>50.696832819770663</v>
      </c>
      <c r="F411" s="665"/>
      <c r="G411" s="665">
        <f>(hw)/3</f>
        <v>2.3666666666666667</v>
      </c>
      <c r="H411" s="665"/>
      <c r="J411" s="60">
        <f>+G411*E411</f>
        <v>119.98250434012391</v>
      </c>
      <c r="L411" s="48"/>
      <c r="M411" s="558"/>
      <c r="N411" s="558"/>
      <c r="O411" s="558"/>
      <c r="P411" s="558"/>
      <c r="Q411" s="47"/>
      <c r="R411" s="553"/>
      <c r="S411" s="553"/>
      <c r="T411" s="41"/>
      <c r="U411" s="553"/>
      <c r="V411" s="553"/>
      <c r="W411" s="558"/>
      <c r="X411" s="12"/>
      <c r="Y411" s="12"/>
      <c r="Z411" s="12"/>
      <c r="AA411" s="12"/>
    </row>
    <row r="412" spans="1:27" ht="5.0999999999999996" customHeight="1" thickBot="1" x14ac:dyDescent="0.25">
      <c r="A412" s="697"/>
      <c r="B412" s="697"/>
      <c r="C412" s="697"/>
      <c r="D412" s="697"/>
      <c r="E412" s="709"/>
      <c r="F412" s="709"/>
      <c r="G412" s="696"/>
      <c r="H412" s="696"/>
      <c r="I412" s="163"/>
      <c r="J412" s="164"/>
      <c r="K412" s="163"/>
      <c r="L412" s="48"/>
      <c r="M412" s="647"/>
      <c r="N412" s="647"/>
      <c r="O412" s="647"/>
      <c r="P412" s="647"/>
      <c r="Q412" s="47"/>
      <c r="R412" s="669"/>
      <c r="S412" s="669"/>
      <c r="T412" s="41"/>
      <c r="U412" s="653"/>
      <c r="V412" s="653"/>
      <c r="W412" s="558"/>
      <c r="X412" s="12"/>
      <c r="Y412" s="12"/>
      <c r="Z412" s="12"/>
      <c r="AA412" s="12"/>
    </row>
    <row r="413" spans="1:27" ht="5.0999999999999996" customHeight="1" thickTop="1" x14ac:dyDescent="0.2">
      <c r="A413" s="564"/>
      <c r="B413" s="564"/>
      <c r="C413" s="564"/>
      <c r="D413" s="564"/>
      <c r="E413" s="552"/>
      <c r="F413" s="566"/>
      <c r="G413" s="570"/>
      <c r="H413" s="570"/>
      <c r="I413" s="12"/>
      <c r="J413" s="165"/>
      <c r="K413" s="12"/>
      <c r="L413" s="48"/>
      <c r="M413" s="558"/>
      <c r="N413" s="558"/>
      <c r="O413" s="558"/>
      <c r="P413" s="558"/>
      <c r="Q413" s="47"/>
      <c r="R413" s="566"/>
      <c r="S413" s="566"/>
      <c r="T413" s="41"/>
      <c r="U413" s="553"/>
      <c r="V413" s="553"/>
      <c r="W413" s="558"/>
      <c r="X413" s="12"/>
      <c r="Y413" s="12"/>
      <c r="Z413" s="12"/>
      <c r="AA413" s="12"/>
    </row>
    <row r="414" spans="1:27" ht="15" x14ac:dyDescent="0.25">
      <c r="B414" s="12"/>
      <c r="C414" s="12"/>
      <c r="D414" s="94" t="s">
        <v>175</v>
      </c>
      <c r="E414" s="707">
        <f>+E410+E411</f>
        <v>59.741338205457446</v>
      </c>
      <c r="F414" s="707"/>
      <c r="H414" s="94"/>
      <c r="I414" s="94"/>
      <c r="J414" s="162">
        <f>+J411+J410</f>
        <v>152.09049845931199</v>
      </c>
      <c r="K414" s="12"/>
      <c r="L414" s="48"/>
      <c r="M414" s="647"/>
      <c r="N414" s="647"/>
      <c r="O414" s="647"/>
      <c r="P414" s="647"/>
      <c r="Q414" s="47"/>
      <c r="R414" s="653"/>
      <c r="S414" s="653"/>
      <c r="T414" s="41"/>
      <c r="U414" s="653"/>
      <c r="V414" s="653"/>
      <c r="W414" s="558"/>
      <c r="X414" s="12"/>
      <c r="Y414" s="12"/>
      <c r="Z414" s="12"/>
      <c r="AA414" s="12"/>
    </row>
    <row r="415" spans="1:27" ht="17.25" customHeight="1" x14ac:dyDescent="0.2">
      <c r="L415" s="48"/>
      <c r="M415" s="647"/>
      <c r="N415" s="647"/>
      <c r="O415" s="647"/>
      <c r="P415" s="647"/>
      <c r="Q415" s="47"/>
      <c r="R415" s="12"/>
      <c r="S415" s="12"/>
      <c r="T415" s="41"/>
      <c r="U415" s="653"/>
      <c r="V415" s="653"/>
      <c r="W415" s="558"/>
      <c r="X415" s="12"/>
      <c r="Y415" s="12"/>
      <c r="Z415" s="12"/>
      <c r="AA415" s="12"/>
    </row>
    <row r="416" spans="1:27" ht="15" customHeight="1" x14ac:dyDescent="0.25">
      <c r="A416" s="159" t="s">
        <v>176</v>
      </c>
      <c r="L416" s="12"/>
      <c r="M416" s="12"/>
      <c r="N416" s="12"/>
      <c r="O416" s="12"/>
      <c r="P416" s="12"/>
      <c r="Q416" s="47"/>
      <c r="R416" s="653"/>
      <c r="S416" s="653"/>
      <c r="T416" s="41"/>
      <c r="U416" s="653"/>
      <c r="V416" s="653"/>
      <c r="W416" s="558"/>
      <c r="X416" s="12"/>
      <c r="Y416" s="12"/>
      <c r="Z416" s="12"/>
      <c r="AA416" s="12"/>
    </row>
    <row r="417" spans="1:27" ht="15" customHeight="1" x14ac:dyDescent="0.2">
      <c r="A417" s="697" t="str">
        <f>"PA = "&amp;ROUND(kas,3)&amp;"x"&amp;(hw)&amp;"²x"&amp;ROUND(gnor,2)&amp;"/2= "</f>
        <v xml:space="preserve">PA = 0.698x7.1²x1.8/2= </v>
      </c>
      <c r="B417" s="697"/>
      <c r="C417" s="697"/>
      <c r="D417" s="697"/>
      <c r="E417" s="633">
        <f>ROUND(kas*(hw)*(hw)*gnor/2,2)</f>
        <v>31.69</v>
      </c>
      <c r="F417" s="633"/>
      <c r="G417" s="665">
        <f>+(hw)/3</f>
        <v>2.3666666666666667</v>
      </c>
      <c r="H417" s="665"/>
      <c r="J417" s="60">
        <f>+G417*E417</f>
        <v>74.99966666666667</v>
      </c>
      <c r="L417" s="12"/>
      <c r="M417" s="12"/>
      <c r="N417" s="12"/>
      <c r="O417" s="12"/>
      <c r="P417" s="12"/>
      <c r="Q417" s="47"/>
      <c r="R417" s="553"/>
      <c r="S417" s="553"/>
      <c r="T417" s="41"/>
      <c r="U417" s="553"/>
      <c r="V417" s="553"/>
      <c r="W417" s="558"/>
      <c r="X417" s="12"/>
      <c r="Y417" s="12"/>
      <c r="Z417" s="12"/>
      <c r="AA417" s="12"/>
    </row>
    <row r="418" spans="1:27" ht="15" customHeight="1" x14ac:dyDescent="0.2">
      <c r="A418" s="697" t="str">
        <f>"PAD = "&amp;ROUND(MAX(J84:K85),3)&amp;"x"&amp;(hw)&amp;"²x"&amp;ROUND(gdoy,2)&amp;"/2="</f>
        <v>PAD = 6.002x7.1²x2/2=</v>
      </c>
      <c r="B418" s="697"/>
      <c r="C418" s="697"/>
      <c r="D418" s="697"/>
      <c r="E418" s="665">
        <f>(MAX(J82:K83))*(hw)^2*(gnor)/2</f>
        <v>19.69522548967776</v>
      </c>
      <c r="F418" s="665"/>
      <c r="G418" s="665">
        <f>2*(hw)/3</f>
        <v>4.7333333333333334</v>
      </c>
      <c r="H418" s="665"/>
      <c r="J418" s="60">
        <f>+G418*E418</f>
        <v>93.224067317808064</v>
      </c>
      <c r="L418" s="12"/>
      <c r="M418" s="12"/>
      <c r="N418" s="12"/>
      <c r="O418" s="12"/>
      <c r="P418" s="12"/>
      <c r="Q418" s="47"/>
      <c r="R418" s="553"/>
      <c r="S418" s="553"/>
      <c r="T418" s="41"/>
      <c r="U418" s="553"/>
      <c r="V418" s="553"/>
      <c r="W418" s="558"/>
      <c r="X418" s="12"/>
      <c r="Y418" s="12"/>
      <c r="Z418" s="12"/>
      <c r="AA418" s="12"/>
    </row>
    <row r="419" spans="1:27" ht="15" customHeight="1" x14ac:dyDescent="0.2">
      <c r="A419" s="697" t="str">
        <f>"WB1D = "&amp;ROUND((bw-bt),2)&amp;"x"&amp;hw&amp;"x"&amp;ROUND(gc,2)&amp;"x"&amp;ROUND(I38,3)&amp;"/2="</f>
        <v>WB1D = 4.75x7.1x2.4x0.297/2=</v>
      </c>
      <c r="B419" s="697"/>
      <c r="C419" s="697"/>
      <c r="D419" s="697"/>
      <c r="E419" s="665">
        <f>((bw-bt))*hw*gc*I38/2</f>
        <v>12.03308</v>
      </c>
      <c r="F419" s="665"/>
      <c r="G419" s="665">
        <f>hw/3</f>
        <v>2.3666666666666667</v>
      </c>
      <c r="H419" s="665"/>
      <c r="J419" s="60">
        <f>+G419*E419</f>
        <v>28.478289333333333</v>
      </c>
      <c r="L419" s="12"/>
      <c r="M419" s="12"/>
      <c r="N419" s="12"/>
      <c r="O419" s="12"/>
      <c r="P419" s="12"/>
      <c r="Q419" s="47"/>
      <c r="R419" s="553"/>
      <c r="S419" s="553"/>
      <c r="T419" s="41"/>
      <c r="U419" s="553"/>
      <c r="V419" s="553"/>
      <c r="W419" s="558"/>
      <c r="X419" s="12"/>
      <c r="Y419" s="12"/>
      <c r="Z419" s="12"/>
      <c r="AA419" s="12"/>
    </row>
    <row r="420" spans="1:27" ht="15" customHeight="1" thickBot="1" x14ac:dyDescent="0.25">
      <c r="A420" s="697" t="str">
        <f>"WB2D ="&amp;hw&amp;"x"&amp;bt&amp;"x"&amp;gc&amp;"x"&amp;ROUND(I38,3)&amp;"="</f>
        <v>WB2D =7.1x1x2.4x0.297=</v>
      </c>
      <c r="B420" s="697"/>
      <c r="C420" s="697"/>
      <c r="D420" s="697"/>
      <c r="E420" s="708">
        <f>hw*bt*gc*I38</f>
        <v>5.06656</v>
      </c>
      <c r="F420" s="708"/>
      <c r="G420" s="665">
        <f>hw/2</f>
        <v>3.55</v>
      </c>
      <c r="H420" s="665"/>
      <c r="I420" s="163"/>
      <c r="J420" s="164">
        <f>+G420*E420</f>
        <v>17.986287999999998</v>
      </c>
      <c r="K420" s="163"/>
      <c r="L420" s="12"/>
      <c r="Q420" s="47"/>
      <c r="R420" s="553"/>
      <c r="S420" s="553"/>
      <c r="T420" s="41"/>
      <c r="U420" s="553"/>
      <c r="V420" s="553"/>
      <c r="W420" s="558"/>
      <c r="X420" s="12"/>
      <c r="Y420" s="12"/>
      <c r="Z420" s="12"/>
      <c r="AA420" s="12"/>
    </row>
    <row r="421" spans="1:27" ht="15" customHeight="1" thickTop="1" x14ac:dyDescent="0.25">
      <c r="B421" s="12"/>
      <c r="C421" s="12"/>
      <c r="D421" s="94" t="s">
        <v>175</v>
      </c>
      <c r="E421" s="707">
        <f>SUM(E417:F420)</f>
        <v>68.484865489677759</v>
      </c>
      <c r="F421" s="707"/>
      <c r="H421" s="94"/>
      <c r="I421" s="94"/>
      <c r="J421" s="162">
        <f>+SUM(J417:J420)</f>
        <v>214.68831131780806</v>
      </c>
      <c r="K421" s="94"/>
      <c r="L421" s="12"/>
      <c r="Q421" s="47"/>
      <c r="R421" s="553"/>
      <c r="S421" s="553"/>
      <c r="T421" s="41"/>
      <c r="U421" s="553"/>
      <c r="V421" s="553"/>
      <c r="W421" s="558"/>
      <c r="X421" s="12"/>
      <c r="Y421" s="12"/>
      <c r="Z421" s="12"/>
      <c r="AA421" s="12"/>
    </row>
    <row r="422" spans="1:27" ht="15" customHeight="1" x14ac:dyDescent="0.25">
      <c r="B422" s="12"/>
      <c r="C422" s="12"/>
      <c r="D422" s="94"/>
      <c r="E422" s="468"/>
      <c r="F422" s="565"/>
      <c r="H422" s="94"/>
      <c r="I422" s="94"/>
      <c r="J422" s="162"/>
      <c r="K422" s="12"/>
      <c r="L422" s="12"/>
      <c r="N422" s="1" t="s">
        <v>200</v>
      </c>
      <c r="Q422" s="47"/>
      <c r="R422" s="553"/>
      <c r="S422" s="553"/>
      <c r="T422" s="41"/>
      <c r="U422" s="553"/>
      <c r="V422" s="553"/>
      <c r="W422" s="558"/>
    </row>
    <row r="423" spans="1:27" ht="15" customHeight="1" x14ac:dyDescent="0.25">
      <c r="A423" s="159" t="s">
        <v>360</v>
      </c>
      <c r="L423" s="12"/>
      <c r="M423" s="12"/>
      <c r="N423" s="12"/>
      <c r="O423" s="12"/>
      <c r="P423" s="12"/>
      <c r="Q423" s="47"/>
      <c r="R423" s="653"/>
      <c r="S423" s="653"/>
      <c r="T423" s="41"/>
      <c r="U423" s="653"/>
      <c r="V423" s="653"/>
      <c r="W423" s="585"/>
      <c r="X423" s="12"/>
      <c r="Y423" s="12"/>
      <c r="Z423" s="12"/>
      <c r="AA423" s="12"/>
    </row>
    <row r="424" spans="1:27" ht="15" customHeight="1" x14ac:dyDescent="0.2">
      <c r="A424" s="697" t="str">
        <f>"PA = "&amp;ROUND(kas,3)&amp;"x"&amp;(hw)&amp;"²x"&amp;ROUND(gdoy,2)&amp;"/2= "</f>
        <v xml:space="preserve">PA = 0.698x7.1²x2/2= </v>
      </c>
      <c r="B424" s="697"/>
      <c r="C424" s="697"/>
      <c r="D424" s="697"/>
      <c r="E424" s="633">
        <f>ROUND(kas*(hw)*(hw)*gdoy/2,2)</f>
        <v>35.21</v>
      </c>
      <c r="F424" s="633"/>
      <c r="G424" s="665">
        <f>+(hw)/3</f>
        <v>2.3666666666666667</v>
      </c>
      <c r="H424" s="665"/>
      <c r="J424" s="60">
        <f>+G424*E424</f>
        <v>83.330333333333343</v>
      </c>
      <c r="L424" s="12"/>
      <c r="M424" s="12"/>
      <c r="N424" s="12"/>
      <c r="O424" s="12"/>
      <c r="P424" s="12"/>
      <c r="Q424" s="47"/>
      <c r="R424" s="587"/>
      <c r="S424" s="587"/>
      <c r="T424" s="41"/>
      <c r="U424" s="587"/>
      <c r="V424" s="587"/>
      <c r="W424" s="585"/>
      <c r="X424" s="12"/>
      <c r="Y424" s="12"/>
      <c r="Z424" s="12"/>
      <c r="AA424" s="12"/>
    </row>
    <row r="425" spans="1:27" ht="15" customHeight="1" x14ac:dyDescent="0.2">
      <c r="A425" s="697" t="str">
        <f>"PAD = "&amp;ROUND(MAX(J84:K85),3)&amp;"x"&amp;(hw)&amp;"²x"&amp;ROUND(gdoy,2)&amp;"/2="</f>
        <v>PAD = 6.002x7.1²x2/2=</v>
      </c>
      <c r="B425" s="697"/>
      <c r="C425" s="697"/>
      <c r="D425" s="697"/>
      <c r="E425" s="665">
        <f>(MAX(J84:K85))*(hw)^2*(gdoy)/2</f>
        <v>302.55028459689578</v>
      </c>
      <c r="F425" s="665"/>
      <c r="G425" s="665">
        <f>2*(hw)/3</f>
        <v>4.7333333333333334</v>
      </c>
      <c r="H425" s="665"/>
      <c r="J425" s="60">
        <f>+G425*E425</f>
        <v>1432.0713470919734</v>
      </c>
      <c r="L425" s="12"/>
      <c r="M425" s="12"/>
      <c r="N425" s="12"/>
      <c r="O425" s="12"/>
      <c r="P425" s="12"/>
      <c r="Q425" s="47"/>
      <c r="R425" s="587"/>
      <c r="S425" s="587"/>
      <c r="T425" s="41"/>
      <c r="U425" s="587"/>
      <c r="V425" s="587"/>
      <c r="W425" s="585"/>
      <c r="X425" s="12"/>
      <c r="Y425" s="12"/>
      <c r="Z425" s="12"/>
      <c r="AA425" s="12"/>
    </row>
    <row r="426" spans="1:27" ht="15" customHeight="1" x14ac:dyDescent="0.2">
      <c r="A426" s="697" t="str">
        <f>"WB1D = "&amp;ROUND((bw-bt),2)&amp;"x"&amp;hw&amp;"x"&amp;ROUND(gc,2)&amp;"x"&amp;ROUND(I38,3)&amp;"/2="</f>
        <v>WB1D = 4.75x7.1x2.4x0.297/2=</v>
      </c>
      <c r="B426" s="697"/>
      <c r="C426" s="697"/>
      <c r="D426" s="697"/>
      <c r="E426" s="665">
        <f>((bw-bt))*hw*gc*I38/2</f>
        <v>12.03308</v>
      </c>
      <c r="F426" s="665"/>
      <c r="G426" s="665">
        <f>hw/3</f>
        <v>2.3666666666666667</v>
      </c>
      <c r="H426" s="665"/>
      <c r="J426" s="60">
        <f>+G426*E426</f>
        <v>28.478289333333333</v>
      </c>
      <c r="L426" s="12"/>
      <c r="M426" s="12"/>
      <c r="N426" s="12"/>
      <c r="O426" s="12"/>
      <c r="P426" s="12"/>
      <c r="Q426" s="47"/>
      <c r="R426" s="587"/>
      <c r="S426" s="587"/>
      <c r="T426" s="41"/>
      <c r="U426" s="587"/>
      <c r="V426" s="587"/>
      <c r="W426" s="585"/>
      <c r="X426" s="12"/>
      <c r="Y426" s="12"/>
      <c r="Z426" s="12"/>
      <c r="AA426" s="12"/>
    </row>
    <row r="427" spans="1:27" ht="15" customHeight="1" thickBot="1" x14ac:dyDescent="0.25">
      <c r="A427" s="697" t="str">
        <f>"WB2D ="&amp;hw&amp;"x"&amp;bt&amp;"x"&amp;gc&amp;"x"&amp;ROUND(I38,3)&amp;"="</f>
        <v>WB2D =7.1x1x2.4x0.297=</v>
      </c>
      <c r="B427" s="697"/>
      <c r="C427" s="697"/>
      <c r="D427" s="697"/>
      <c r="E427" s="708">
        <f>hw*bt*gc*I38</f>
        <v>5.06656</v>
      </c>
      <c r="F427" s="708"/>
      <c r="G427" s="665">
        <f>hw/2</f>
        <v>3.55</v>
      </c>
      <c r="H427" s="665"/>
      <c r="I427" s="163"/>
      <c r="J427" s="164">
        <f>+G427*E427</f>
        <v>17.986287999999998</v>
      </c>
      <c r="K427" s="163"/>
      <c r="L427" s="12"/>
      <c r="Q427" s="47"/>
      <c r="R427" s="587"/>
      <c r="S427" s="587"/>
      <c r="T427" s="41"/>
      <c r="U427" s="587"/>
      <c r="V427" s="587"/>
      <c r="W427" s="585"/>
      <c r="X427" s="12"/>
      <c r="Y427" s="12"/>
      <c r="Z427" s="12"/>
      <c r="AA427" s="12"/>
    </row>
    <row r="428" spans="1:27" ht="15" customHeight="1" thickTop="1" x14ac:dyDescent="0.25">
      <c r="B428" s="12"/>
      <c r="C428" s="12"/>
      <c r="D428" s="94" t="s">
        <v>175</v>
      </c>
      <c r="E428" s="707">
        <f>SUM(E424:F427)</f>
        <v>354.85992459689572</v>
      </c>
      <c r="F428" s="707"/>
      <c r="H428" s="94"/>
      <c r="I428" s="94"/>
      <c r="J428" s="162">
        <f>+SUM(J424:J427)</f>
        <v>1561.8662577586401</v>
      </c>
      <c r="K428" s="94"/>
      <c r="L428" s="12"/>
      <c r="Q428" s="47"/>
      <c r="R428" s="587"/>
      <c r="S428" s="587"/>
      <c r="T428" s="41"/>
      <c r="U428" s="587"/>
      <c r="V428" s="587"/>
      <c r="W428" s="585"/>
      <c r="X428" s="12"/>
      <c r="Y428" s="12"/>
      <c r="Z428" s="12"/>
      <c r="AA428" s="12"/>
    </row>
    <row r="429" spans="1:27" ht="15" customHeight="1" x14ac:dyDescent="0.25">
      <c r="B429" s="12"/>
      <c r="C429" s="12"/>
      <c r="D429" s="94"/>
      <c r="E429" s="468"/>
      <c r="F429" s="586"/>
      <c r="H429" s="94"/>
      <c r="I429" s="94"/>
      <c r="J429" s="162"/>
      <c r="K429" s="12"/>
      <c r="L429" s="12"/>
      <c r="Q429" s="47"/>
      <c r="R429" s="587"/>
      <c r="S429" s="587"/>
      <c r="T429" s="41"/>
      <c r="U429" s="587"/>
      <c r="V429" s="587"/>
      <c r="W429" s="585"/>
    </row>
    <row r="430" spans="1:27" ht="15" customHeight="1" x14ac:dyDescent="0.25">
      <c r="B430" s="12"/>
      <c r="C430" s="12"/>
      <c r="D430" s="94"/>
      <c r="E430" s="468"/>
      <c r="F430" s="586"/>
      <c r="H430" s="94"/>
      <c r="I430" s="94"/>
      <c r="J430" s="162"/>
      <c r="K430" s="12"/>
      <c r="L430" s="12"/>
      <c r="Q430" s="47"/>
      <c r="R430" s="587"/>
      <c r="S430" s="587"/>
      <c r="T430" s="41"/>
      <c r="U430" s="587"/>
      <c r="V430" s="587"/>
      <c r="W430" s="585"/>
    </row>
    <row r="431" spans="1:27" ht="15" customHeight="1" x14ac:dyDescent="0.25">
      <c r="A431" s="159" t="s">
        <v>202</v>
      </c>
      <c r="L431" s="12"/>
      <c r="Q431" s="47"/>
      <c r="R431" s="553"/>
      <c r="S431" s="553"/>
      <c r="T431" s="41"/>
      <c r="U431" s="553"/>
      <c r="V431" s="553"/>
      <c r="W431" s="558"/>
    </row>
    <row r="432" spans="1:27" ht="15" customHeight="1" x14ac:dyDescent="0.2">
      <c r="A432" s="697" t="str">
        <f>"1.6xPA1 = 1.6x"&amp;ROUND(kas,3)&amp;"x"&amp;(hw-L54)&amp;"²x"&amp;ROUND(gnor,2)&amp;"/2= "</f>
        <v xml:space="preserve">1.6xPA1 = 1.6x0.698x1.98²x1.8/2= </v>
      </c>
      <c r="B432" s="697"/>
      <c r="C432" s="697"/>
      <c r="D432" s="697"/>
      <c r="E432" s="665">
        <f>1.6*kas*(hw-L54)^2*gnor/2</f>
        <v>3.94270706976054</v>
      </c>
      <c r="F432" s="665"/>
      <c r="G432" s="665">
        <f>(hw-L54)/3+L54</f>
        <v>5.78</v>
      </c>
      <c r="H432" s="665"/>
      <c r="J432" s="60">
        <f>+G432*E432</f>
        <v>22.788846863215923</v>
      </c>
      <c r="L432" s="12"/>
      <c r="Q432" s="47"/>
      <c r="R432" s="553"/>
      <c r="S432" s="553"/>
      <c r="T432" s="41"/>
      <c r="U432" s="553"/>
      <c r="V432" s="553"/>
      <c r="W432" s="558"/>
    </row>
    <row r="433" spans="1:23" ht="15" customHeight="1" thickBot="1" x14ac:dyDescent="0.25">
      <c r="A433" s="697" t="str">
        <f>"1.6xPA2= 1.6x"&amp;ROUND(kas,3)&amp;"x("&amp;ROUND(gnor*(h-hsuf),2)&amp;"+"&amp;ROUND((gdoy*(L54)+gnor*((h-hsuf))),2)&amp;")x"&amp;L54&amp;"/2="</f>
        <v>1.6xPA2= 1.6x0.698x(3.56+13.8)x5.12/2=</v>
      </c>
      <c r="B433" s="697"/>
      <c r="C433" s="697"/>
      <c r="D433" s="697"/>
      <c r="E433" s="708">
        <f>1.6*kas*(gnor*(hw-L54)+gnor*(hw-L54)+gdoy*L54)/2*L54</f>
        <v>49.683410182707767</v>
      </c>
      <c r="F433" s="708"/>
      <c r="G433" s="665">
        <f>(gnor*(hw-L54)*L54*L54/2+gdoy*L54*L54*L54/3/2)/(gnor*(hw-L54)*L54+gdoy*L54*L54/2)</f>
        <v>2.0568831567633965</v>
      </c>
      <c r="H433" s="665"/>
      <c r="I433" s="164"/>
      <c r="J433" s="164">
        <f>G433*E433</f>
        <v>102.19296957537863</v>
      </c>
      <c r="K433" s="164"/>
      <c r="L433" s="12"/>
      <c r="Q433" s="47"/>
      <c r="R433" s="553"/>
      <c r="S433" s="553"/>
      <c r="T433" s="41"/>
      <c r="U433" s="553"/>
      <c r="V433" s="553"/>
      <c r="W433" s="558"/>
    </row>
    <row r="434" spans="1:23" ht="15" customHeight="1" thickTop="1" x14ac:dyDescent="0.25">
      <c r="B434" s="12"/>
      <c r="C434" s="12"/>
      <c r="D434" s="94" t="s">
        <v>175</v>
      </c>
      <c r="E434" s="707">
        <f>SUM(E432:F433)</f>
        <v>53.626117252468305</v>
      </c>
      <c r="F434" s="707"/>
      <c r="H434" s="94"/>
      <c r="I434" s="94"/>
      <c r="J434" s="249">
        <f>SUM(J432:J433)</f>
        <v>124.98181643859455</v>
      </c>
      <c r="K434" s="249"/>
      <c r="L434" s="12"/>
      <c r="Q434" s="47"/>
      <c r="R434" s="553"/>
      <c r="S434" s="553"/>
      <c r="T434" s="41"/>
      <c r="U434" s="553"/>
      <c r="V434" s="553"/>
      <c r="W434" s="558"/>
    </row>
    <row r="435" spans="1:23" ht="15" customHeight="1" x14ac:dyDescent="0.25">
      <c r="B435" s="12"/>
      <c r="C435" s="12"/>
      <c r="D435" s="94"/>
      <c r="E435" s="468"/>
      <c r="F435" s="565"/>
      <c r="H435" s="94"/>
      <c r="Q435" s="47"/>
      <c r="R435" s="553"/>
      <c r="S435" s="553"/>
      <c r="T435" s="41"/>
      <c r="U435" s="553"/>
      <c r="V435" s="553"/>
      <c r="W435" s="558"/>
    </row>
    <row r="436" spans="1:23" ht="15" customHeight="1" x14ac:dyDescent="0.25">
      <c r="A436" s="159" t="s">
        <v>361</v>
      </c>
      <c r="Q436" s="47"/>
      <c r="R436" s="553"/>
      <c r="S436" s="553"/>
      <c r="T436" s="41"/>
      <c r="U436" s="553"/>
      <c r="V436" s="553"/>
      <c r="W436" s="558"/>
    </row>
    <row r="437" spans="1:23" ht="15" customHeight="1" x14ac:dyDescent="0.2">
      <c r="A437" s="697" t="str">
        <f>"1.6xPA1 = 1.6x"&amp;ROUND(kas,3)&amp;"x"&amp;(hw-L54)&amp;"²x"&amp;ROUND(gnor,2)&amp;"/2= "</f>
        <v xml:space="preserve">1.6xPA1 = 1.6x0.698x1.98²x1.8/2= </v>
      </c>
      <c r="B437" s="697"/>
      <c r="C437" s="697"/>
      <c r="D437" s="697"/>
      <c r="E437" s="665">
        <f>1.6*kas*(hw-L54)^2*gnor/2</f>
        <v>3.94270706976054</v>
      </c>
      <c r="F437" s="665"/>
      <c r="G437" s="665">
        <f>(hw-L54)/3+L54</f>
        <v>5.78</v>
      </c>
      <c r="H437" s="665"/>
      <c r="J437" s="60">
        <f>+G437*E437</f>
        <v>22.788846863215923</v>
      </c>
      <c r="Q437" s="47"/>
      <c r="R437" s="553"/>
      <c r="S437" s="553"/>
      <c r="T437" s="41"/>
      <c r="U437" s="553"/>
      <c r="V437" s="553"/>
      <c r="W437" s="558"/>
    </row>
    <row r="438" spans="1:23" ht="15" customHeight="1" x14ac:dyDescent="0.2">
      <c r="A438" s="697" t="str">
        <f>"1.6xPA2= 1.6x"&amp;ROUND(kas,3)&amp;"x("&amp;ROUND(gnor*(h-hsuf),2)&amp;"+"&amp;ROUND((gdoy*(hsuf-hsus)+gnor*(h-hsuf)),2)&amp;")x"&amp;(hsuf-hsus)&amp;"/2="</f>
        <v>1.6xPA2= 1.6x0.698x(3.56+10.38)x3.41/2=</v>
      </c>
      <c r="B438" s="697"/>
      <c r="C438" s="697"/>
      <c r="D438" s="697"/>
      <c r="E438" s="665">
        <f>1.6*kas*((gnor*(h-hsuf))+(gdoy*(hsuf-hsus)+gnor*(h-hsuf)))*(hsuf-hsus)/2</f>
        <v>26.574061985279041</v>
      </c>
      <c r="F438" s="665"/>
      <c r="G438" s="665">
        <f>((gnor*(h-hsuf))*(hsuf-hsus)^2/2+(gdoy*(hsuf-hsus)*(hsuf-hsus)^2/6))/((gnor*(h-hsuf))*(hsuf-hsus)+(gdoy*(hsuf-hsus)*(hsuf-hsus)/2))</f>
        <v>1.4271083070452155</v>
      </c>
      <c r="H438" s="665"/>
      <c r="J438" s="60">
        <f>+G438*E438</f>
        <v>37.924064611126191</v>
      </c>
      <c r="Q438" s="47"/>
      <c r="R438" s="553"/>
      <c r="S438" s="553"/>
      <c r="T438" s="41"/>
      <c r="U438" s="553"/>
      <c r="V438" s="553"/>
      <c r="W438" s="558"/>
    </row>
    <row r="439" spans="1:23" s="261" customFormat="1" ht="15" customHeight="1" x14ac:dyDescent="0.2">
      <c r="A439" s="697" t="str">
        <f>"1.6xPA3=1.6X"&amp;ROUND(kas,3)&amp;"x("&amp;ROUND((gdoy*(hsuf-hsus)+gnor*(h-hsuf)),2)&amp;"+"&amp;ROUND((gdoy*(hsuf-hsus)+gnor*(h-hsuf))+p*(gdoy-gw),2)&amp;")/2"&amp;"x"&amp;p&amp;"="</f>
        <v>1.6xPA3=1.6X0.698x(10.38+11.48)/2x1.1=</v>
      </c>
      <c r="B439" s="697"/>
      <c r="C439" s="697"/>
      <c r="D439" s="697"/>
      <c r="E439" s="665">
        <f>1.6*kas*(gdoy*(hsuf-hsus)+gnor*(h-hsuf)+gdoy*(hsuf-hsus)+gnor*(h-hsuf)+p*(gdoy-gw))/2*p</f>
        <v>13.4398176520644</v>
      </c>
      <c r="F439" s="665"/>
      <c r="G439" s="665">
        <f>((gdoy*(hsuf-hsus)+gnor*(h-hsuf)+gdoy*(hsuf-hsus)+gnor*(h-hsuf))*p*p/2+(p*(gdoy-gw))*p/2*p/3)/((gdoy*(hsuf-hsus)+gnor*(h-hsuf)+gdoy*(hsuf-hsus)+gnor*(h-hsuf))*p+(p*(gdoy-gw))*p/2)</f>
        <v>0.5452700378396973</v>
      </c>
      <c r="H439" s="665"/>
      <c r="J439" s="441">
        <f>+G439*E439</f>
        <v>7.3283298796997869</v>
      </c>
      <c r="Q439" s="181"/>
      <c r="R439" s="563"/>
      <c r="S439" s="563"/>
      <c r="T439" s="564"/>
      <c r="U439" s="563"/>
      <c r="V439" s="563"/>
      <c r="W439" s="556"/>
    </row>
    <row r="440" spans="1:23" ht="15" customHeight="1" x14ac:dyDescent="0.2">
      <c r="A440" s="697" t="str">
        <f>"1.6xPW = 1.6x"&amp;ROUND(L54,2)&amp;"²x"&amp;gw&amp;"x/2="</f>
        <v>1.6xPW = 1.6x5.12²x1x/2=</v>
      </c>
      <c r="B440" s="697"/>
      <c r="C440" s="697"/>
      <c r="D440" s="697"/>
      <c r="E440" s="653">
        <f>1.6*(L54)^2*gw/2</f>
        <v>20.971520000000002</v>
      </c>
      <c r="F440" s="653"/>
      <c r="G440" s="706">
        <f>L54/3</f>
        <v>1.7066666666666668</v>
      </c>
      <c r="H440" s="706"/>
      <c r="I440" s="12"/>
      <c r="J440" s="165">
        <f>+G440*E440</f>
        <v>35.791394133333341</v>
      </c>
      <c r="K440" s="12"/>
      <c r="Q440" s="47"/>
      <c r="R440" s="553"/>
      <c r="S440" s="553"/>
      <c r="T440" s="41"/>
      <c r="U440" s="553"/>
      <c r="V440" s="553"/>
      <c r="W440" s="558"/>
    </row>
    <row r="441" spans="1:23" ht="15" customHeight="1" thickBot="1" x14ac:dyDescent="0.25">
      <c r="A441" s="697" t="str">
        <f>"1.6xPWP = 1.6x"&amp;ROUND(p,2)&amp;"²x"&amp;gw&amp;"x/2="</f>
        <v>1.6xPWP = 1.6x1.1²x1x/2=</v>
      </c>
      <c r="B441" s="697"/>
      <c r="C441" s="697"/>
      <c r="D441" s="697"/>
      <c r="E441" s="708">
        <f>1.6*(hsus-hs)^2*gw/2</f>
        <v>2.33928</v>
      </c>
      <c r="F441" s="708"/>
      <c r="G441" s="665">
        <f>p/3</f>
        <v>0.3666666666666667</v>
      </c>
      <c r="H441" s="665"/>
      <c r="I441" s="164"/>
      <c r="J441" s="164">
        <f>+G441*E441</f>
        <v>0.85773600000000005</v>
      </c>
      <c r="K441" s="164"/>
      <c r="Q441" s="47"/>
      <c r="R441" s="553"/>
      <c r="S441" s="553"/>
      <c r="T441" s="41"/>
      <c r="U441" s="553"/>
      <c r="V441" s="553"/>
      <c r="W441" s="558"/>
    </row>
    <row r="442" spans="1:23" ht="15" customHeight="1" thickTop="1" x14ac:dyDescent="0.25">
      <c r="B442" s="12"/>
      <c r="C442" s="12"/>
      <c r="D442" s="94" t="s">
        <v>175</v>
      </c>
      <c r="E442" s="707">
        <f>SUM(E437:F440)-E441</f>
        <v>62.588826707103976</v>
      </c>
      <c r="F442" s="707"/>
      <c r="H442" s="94"/>
      <c r="I442" s="94"/>
      <c r="J442" s="162">
        <f>SUM(J437:J440)-J441</f>
        <v>102.97489948737524</v>
      </c>
      <c r="K442" s="12"/>
      <c r="L442" s="12"/>
      <c r="Q442" s="47"/>
      <c r="R442" s="553"/>
      <c r="S442" s="553"/>
      <c r="T442" s="41"/>
      <c r="U442" s="553"/>
      <c r="V442" s="553"/>
      <c r="W442" s="558"/>
    </row>
    <row r="443" spans="1:23" ht="15" customHeight="1" x14ac:dyDescent="0.2">
      <c r="Q443" s="47"/>
      <c r="R443" s="553"/>
      <c r="S443" s="553"/>
      <c r="T443" s="41"/>
      <c r="U443" s="553"/>
      <c r="V443" s="553"/>
      <c r="W443" s="558"/>
    </row>
    <row r="444" spans="1:23" ht="11.25" customHeight="1" x14ac:dyDescent="0.2">
      <c r="D444" s="29" t="s">
        <v>110</v>
      </c>
      <c r="E444" s="469">
        <f>MAX(E414,E421,E434,E442,E428)</f>
        <v>354.85992459689572</v>
      </c>
      <c r="F444" s="1" t="s">
        <v>113</v>
      </c>
      <c r="I444" s="29"/>
      <c r="J444" s="30"/>
    </row>
    <row r="445" spans="1:23" x14ac:dyDescent="0.2">
      <c r="A445" s="680" t="s">
        <v>145</v>
      </c>
      <c r="B445" s="680"/>
      <c r="C445" s="680" t="s">
        <v>146</v>
      </c>
      <c r="D445" s="680"/>
      <c r="I445" s="1" t="s">
        <v>179</v>
      </c>
      <c r="J445" s="60">
        <f>MAX(J414,J421,J434,J442,J428)</f>
        <v>1561.8662577586401</v>
      </c>
    </row>
    <row r="446" spans="1:23" x14ac:dyDescent="0.2">
      <c r="A446" s="705">
        <v>100</v>
      </c>
      <c r="B446" s="705"/>
      <c r="C446" s="705">
        <f>(bw-pp)*100</f>
        <v>570</v>
      </c>
      <c r="D446" s="705"/>
    </row>
    <row r="447" spans="1:23" ht="6.75" customHeight="1" x14ac:dyDescent="0.2"/>
    <row r="448" spans="1:23" ht="15" customHeight="1" x14ac:dyDescent="0.2">
      <c r="A448" s="88" t="s">
        <v>142</v>
      </c>
      <c r="B448" s="12"/>
      <c r="C448" s="12"/>
      <c r="D448" s="12"/>
      <c r="E448" s="170"/>
      <c r="F448" s="12"/>
      <c r="G448" s="12"/>
      <c r="H448" s="12"/>
      <c r="I448" s="12"/>
      <c r="J448" s="12"/>
      <c r="K448" s="12"/>
    </row>
    <row r="449" spans="1:14" ht="18" x14ac:dyDescent="0.35">
      <c r="A449" s="86" t="s">
        <v>144</v>
      </c>
      <c r="B449" s="12"/>
      <c r="C449" s="12"/>
      <c r="D449" s="553">
        <f>0.65*fctd*A446*C446</f>
        <v>426.07499999999999</v>
      </c>
      <c r="E449" s="170" t="s">
        <v>113</v>
      </c>
      <c r="F449" s="93" t="str">
        <f>" "&amp;IF(D449&lt;H449,"&lt;","&gt;")&amp;"      Vd ="</f>
        <v xml:space="preserve"> &gt;      Vd =</v>
      </c>
      <c r="G449" s="12"/>
      <c r="H449" s="92">
        <f>E444</f>
        <v>354.85992459689572</v>
      </c>
      <c r="I449" s="12" t="str">
        <f>F444</f>
        <v>t/m</v>
      </c>
      <c r="J449" s="94" t="str">
        <f>IF(D449&lt;H449,"not O.K.","O.K.")</f>
        <v>O.K.</v>
      </c>
      <c r="K449" s="12"/>
    </row>
    <row r="450" spans="1:14" ht="15" customHeight="1" x14ac:dyDescent="0.35">
      <c r="A450" s="89" t="s">
        <v>143</v>
      </c>
      <c r="B450" s="12"/>
      <c r="C450" s="12"/>
      <c r="D450" s="553">
        <f>0.9*0.22*fcd*A446*C446</f>
        <v>1918.6200000000001</v>
      </c>
      <c r="E450" s="170" t="s">
        <v>113</v>
      </c>
      <c r="F450" s="93" t="str">
        <f>" "&amp;IF(D450&lt;H450,"&lt;","&gt;")&amp;"      Vd ="</f>
        <v xml:space="preserve"> &gt;      Vd =</v>
      </c>
      <c r="G450" s="12"/>
      <c r="H450" s="92">
        <f>H449</f>
        <v>354.85992459689572</v>
      </c>
      <c r="I450" s="12" t="str">
        <f>I449</f>
        <v>t/m</v>
      </c>
      <c r="J450" s="94" t="str">
        <f>IF(D450&lt;H450,"not O.K.","O.K.")</f>
        <v>O.K.</v>
      </c>
      <c r="K450" s="165">
        <f>J445</f>
        <v>1561.8662577586401</v>
      </c>
    </row>
    <row r="451" spans="1:14" ht="15" customHeight="1" x14ac:dyDescent="0.2">
      <c r="A451" s="12"/>
      <c r="B451" s="12"/>
      <c r="C451" s="12"/>
      <c r="D451" s="12"/>
      <c r="E451" s="170"/>
      <c r="F451" s="12"/>
      <c r="G451" s="12"/>
      <c r="H451" s="12"/>
      <c r="I451" s="12"/>
      <c r="J451" s="12"/>
      <c r="K451" s="12"/>
    </row>
    <row r="452" spans="1:14" ht="15" customHeight="1" x14ac:dyDescent="0.2">
      <c r="A452" s="12"/>
      <c r="B452" s="12"/>
      <c r="C452" s="12"/>
      <c r="D452" s="12"/>
      <c r="E452" s="170"/>
      <c r="F452" s="12"/>
      <c r="G452" s="12"/>
      <c r="H452" s="12"/>
      <c r="I452" s="12"/>
      <c r="J452" s="12"/>
      <c r="K452" s="12"/>
    </row>
    <row r="453" spans="1:14" ht="15" customHeight="1" x14ac:dyDescent="0.25">
      <c r="A453" s="88" t="s">
        <v>203</v>
      </c>
      <c r="B453" s="12"/>
      <c r="C453" s="12"/>
      <c r="D453" s="12"/>
      <c r="E453" s="570"/>
      <c r="F453" s="567"/>
      <c r="G453" s="93"/>
      <c r="H453" s="567"/>
      <c r="I453" s="156"/>
      <c r="J453" s="567"/>
      <c r="K453" s="258"/>
      <c r="L453" s="259"/>
      <c r="M453" s="259"/>
      <c r="N453" s="259"/>
    </row>
    <row r="454" spans="1:14" s="2" customFormat="1" x14ac:dyDescent="0.2">
      <c r="A454" s="648" t="str">
        <f>"A= "&amp;ROUND(bw,2)&amp;"x1.00="</f>
        <v>A= 5.75x1.00=</v>
      </c>
      <c r="B454" s="648"/>
      <c r="C454" s="648"/>
      <c r="D454" s="553">
        <f>bw</f>
        <v>5.75</v>
      </c>
      <c r="E454" s="556" t="s">
        <v>205</v>
      </c>
      <c r="F454" s="553"/>
      <c r="G454" s="553"/>
      <c r="H454" s="553"/>
      <c r="I454" s="553"/>
      <c r="J454" s="553"/>
      <c r="K454" s="253"/>
      <c r="L454" s="260"/>
      <c r="M454" s="260"/>
      <c r="N454" s="260"/>
    </row>
    <row r="455" spans="1:14" s="2" customFormat="1" ht="16.5" customHeight="1" x14ac:dyDescent="0.2">
      <c r="A455" s="648" t="str">
        <f>"W= ("&amp;ROUND(bw,2)&amp;"x"&amp;ROUND(bw,2)&amp;"x1.00)/6="</f>
        <v>W= (5.75x5.75x1.00)/6=</v>
      </c>
      <c r="B455" s="648"/>
      <c r="C455" s="648"/>
      <c r="D455" s="553">
        <f>bw^2/6</f>
        <v>5.510416666666667</v>
      </c>
      <c r="E455" s="464" t="s">
        <v>204</v>
      </c>
      <c r="F455" s="553"/>
      <c r="G455" s="553"/>
      <c r="H455" s="553"/>
      <c r="I455" s="553"/>
      <c r="J455" s="553"/>
      <c r="K455" s="253"/>
      <c r="L455" s="260"/>
      <c r="M455" s="260"/>
      <c r="N455" s="260"/>
    </row>
    <row r="456" spans="1:14" s="2" customFormat="1" ht="16.5" customHeight="1" x14ac:dyDescent="0.25">
      <c r="A456"/>
      <c r="B456" s="563"/>
      <c r="C456" s="262"/>
      <c r="D456" s="262"/>
      <c r="E456" s="262"/>
      <c r="F456" s="262"/>
      <c r="G456" s="262"/>
      <c r="H456" s="262"/>
      <c r="I456" s="262"/>
      <c r="J456" s="253"/>
      <c r="K456" s="253"/>
      <c r="L456" s="260"/>
      <c r="M456" s="260"/>
      <c r="N456" s="260"/>
    </row>
    <row r="457" spans="1:14" s="2" customFormat="1" ht="16.5" customHeight="1" x14ac:dyDescent="0.25">
      <c r="A457" s="144"/>
      <c r="B457" s="278"/>
      <c r="C457" s="263" t="s">
        <v>206</v>
      </c>
      <c r="D457" s="264">
        <f>E349+E350</f>
        <v>57.51</v>
      </c>
      <c r="E457" s="265" t="s">
        <v>207</v>
      </c>
      <c r="F457" s="264">
        <f>+J445</f>
        <v>1561.8662577586401</v>
      </c>
      <c r="G457" s="265" t="s">
        <v>206</v>
      </c>
      <c r="H457" s="273">
        <f>ABS(D457/D458-F457/F458)</f>
        <v>273.43712806205946</v>
      </c>
      <c r="I457" s="275" t="s">
        <v>209</v>
      </c>
      <c r="J457" s="276" t="str">
        <f>IF(H457&lt;fctd*10000," &lt; fctd (100 t/m2)  OK"," NOT OK")</f>
        <v xml:space="preserve"> NOT OK</v>
      </c>
      <c r="K457" s="277"/>
      <c r="L457" s="260"/>
      <c r="M457" s="260"/>
      <c r="N457" s="260"/>
    </row>
    <row r="458" spans="1:14" s="2" customFormat="1" ht="15" x14ac:dyDescent="0.25">
      <c r="A458" s="144"/>
      <c r="B458" s="278"/>
      <c r="C458" s="265"/>
      <c r="D458" s="266">
        <f>D454</f>
        <v>5.75</v>
      </c>
      <c r="E458" s="265"/>
      <c r="F458" s="266">
        <f>D455</f>
        <v>5.510416666666667</v>
      </c>
      <c r="G458" s="265"/>
      <c r="H458" s="265"/>
      <c r="I458" s="265"/>
      <c r="J458" s="276" t="str">
        <f>IF(H457&lt;fctd*10000,"Donatı Gerekmez","Donatı Gerekir")</f>
        <v>Donatı Gerekir</v>
      </c>
      <c r="K458"/>
      <c r="L458" s="260"/>
      <c r="M458" s="260"/>
      <c r="N458" s="260"/>
    </row>
    <row r="459" spans="1:14" s="2" customFormat="1" ht="12.75" x14ac:dyDescent="0.2">
      <c r="A459" s="144"/>
      <c r="B459" s="278"/>
      <c r="C459" s="265"/>
      <c r="D459" s="265"/>
      <c r="E459" s="265"/>
      <c r="F459" s="265"/>
      <c r="G459" s="265"/>
      <c r="H459" s="265"/>
      <c r="I459" s="265"/>
      <c r="J459" s="252"/>
      <c r="K459" s="254"/>
    </row>
    <row r="460" spans="1:14" s="2" customFormat="1" ht="12.75" x14ac:dyDescent="0.2">
      <c r="A460" s="144"/>
      <c r="B460" s="278"/>
      <c r="C460" s="265"/>
      <c r="D460" s="265"/>
      <c r="E460" s="265"/>
      <c r="F460" s="265"/>
      <c r="G460" s="265"/>
      <c r="H460" s="265"/>
      <c r="I460" s="265"/>
      <c r="J460" s="252"/>
      <c r="K460" s="254"/>
    </row>
    <row r="461" spans="1:14" s="2" customFormat="1" ht="12.75" x14ac:dyDescent="0.2">
      <c r="A461" s="144"/>
      <c r="B461" s="278"/>
      <c r="C461" s="265"/>
      <c r="D461" s="265"/>
      <c r="E461" s="265"/>
      <c r="F461" s="265"/>
      <c r="G461" s="265"/>
      <c r="H461" s="265"/>
      <c r="I461" s="265"/>
      <c r="J461" s="252"/>
      <c r="K461" s="254"/>
    </row>
    <row r="462" spans="1:14" s="2" customFormat="1" ht="12.75" hidden="1" x14ac:dyDescent="0.2">
      <c r="A462" s="144"/>
      <c r="B462" s="278"/>
      <c r="C462" s="265"/>
      <c r="D462" s="265"/>
      <c r="E462" s="265"/>
      <c r="F462" s="265"/>
      <c r="G462" s="265"/>
      <c r="H462" s="265"/>
      <c r="I462" s="265"/>
      <c r="J462" s="252"/>
      <c r="K462" s="254"/>
    </row>
    <row r="463" spans="1:14" s="2" customFormat="1" ht="12.75" hidden="1" x14ac:dyDescent="0.2">
      <c r="A463" s="144"/>
      <c r="B463" s="278"/>
      <c r="C463" s="265"/>
      <c r="D463" s="265"/>
      <c r="E463" s="265"/>
      <c r="F463" s="265"/>
      <c r="G463" s="265"/>
      <c r="H463" s="265"/>
      <c r="I463" s="265"/>
      <c r="J463" s="252"/>
      <c r="K463" s="254"/>
    </row>
    <row r="464" spans="1:14" s="2" customFormat="1" ht="15" hidden="1" x14ac:dyDescent="0.25">
      <c r="A464" s="168"/>
      <c r="B464" s="168"/>
      <c r="D464" s="476">
        <f>(J445*100)/(fyd*0.86*A446)</f>
        <v>497.56809740638425</v>
      </c>
      <c r="E464" s="168" t="s">
        <v>342</v>
      </c>
      <c r="F464" s="168"/>
      <c r="G464" s="477" t="str">
        <f>IF(D464&gt;G469,"not O.K.","O.K.")</f>
        <v>not O.K.</v>
      </c>
      <c r="H464" s="1"/>
      <c r="I464" s="252"/>
      <c r="J464" s="252"/>
      <c r="K464" s="254"/>
    </row>
    <row r="465" spans="1:11" s="2" customFormat="1" ht="15" hidden="1" x14ac:dyDescent="0.25">
      <c r="A465" s="168"/>
      <c r="B465" s="168"/>
      <c r="D465" s="476"/>
      <c r="E465" s="168"/>
      <c r="F465" s="168"/>
      <c r="G465" s="477"/>
      <c r="H465" s="1"/>
      <c r="I465" s="252"/>
      <c r="J465" s="252"/>
      <c r="K465" s="254"/>
    </row>
    <row r="466" spans="1:11" s="2" customFormat="1" hidden="1" x14ac:dyDescent="0.2">
      <c r="A466" s="168"/>
      <c r="B466" s="168"/>
      <c r="D466" s="170">
        <f>0.002*A446*(C446+5)</f>
        <v>115</v>
      </c>
      <c r="E466" s="168" t="s">
        <v>342</v>
      </c>
      <c r="F466" s="168"/>
      <c r="G466" s="168"/>
      <c r="H466" s="1"/>
      <c r="I466" s="252"/>
      <c r="J466" s="252"/>
      <c r="K466" s="254"/>
    </row>
    <row r="467" spans="1:11" s="2" customFormat="1" hidden="1" x14ac:dyDescent="0.2">
      <c r="A467" s="1"/>
      <c r="B467" s="1"/>
      <c r="C467" s="1"/>
      <c r="D467" s="1"/>
      <c r="E467" s="1"/>
      <c r="F467" s="1"/>
      <c r="G467" s="1"/>
      <c r="H467" s="1"/>
      <c r="I467" s="252"/>
      <c r="J467" s="252"/>
      <c r="K467" s="254"/>
    </row>
    <row r="468" spans="1:11" s="2" customFormat="1" ht="12.75" hidden="1" x14ac:dyDescent="0.2">
      <c r="A468" s="478" t="s">
        <v>147</v>
      </c>
      <c r="B468" s="9"/>
      <c r="C468" s="9"/>
      <c r="D468" s="9"/>
      <c r="E468" s="9"/>
      <c r="F468" s="9"/>
      <c r="G468" s="9"/>
      <c r="H468" s="9"/>
      <c r="I468" s="252"/>
      <c r="J468" s="252"/>
      <c r="K468" s="254"/>
    </row>
    <row r="469" spans="1:11" s="2" customFormat="1" hidden="1" x14ac:dyDescent="0.2">
      <c r="A469" s="168" t="s">
        <v>335</v>
      </c>
      <c r="B469" s="168"/>
      <c r="C469" s="479">
        <v>32</v>
      </c>
      <c r="D469" s="479">
        <v>15</v>
      </c>
      <c r="E469" s="480" t="s">
        <v>336</v>
      </c>
      <c r="F469" s="564" t="s">
        <v>337</v>
      </c>
      <c r="G469" s="481">
        <f>((PI()*C470^2/4)*(A446/D470))/100+((PI()*C469^2/4)*(A446/D469))/100</f>
        <v>83.775804095727821</v>
      </c>
      <c r="H469" s="168" t="s">
        <v>248</v>
      </c>
      <c r="I469" s="252"/>
      <c r="J469" s="252"/>
      <c r="K469" s="254"/>
    </row>
    <row r="470" spans="1:11" s="2" customFormat="1" ht="12.75" hidden="1" x14ac:dyDescent="0.2">
      <c r="A470" s="144"/>
      <c r="B470" s="144"/>
      <c r="C470" s="252">
        <v>24</v>
      </c>
      <c r="D470" s="482">
        <v>15</v>
      </c>
      <c r="E470" s="252"/>
      <c r="F470" s="255"/>
      <c r="G470" s="252"/>
      <c r="H470" s="252"/>
      <c r="I470" s="252"/>
      <c r="J470" s="252"/>
      <c r="K470" s="254"/>
    </row>
    <row r="471" spans="1:11" s="2" customFormat="1" ht="12.75" hidden="1" x14ac:dyDescent="0.2">
      <c r="A471" s="144"/>
      <c r="B471" s="278"/>
      <c r="C471" s="265"/>
      <c r="D471" s="265"/>
      <c r="E471" s="265"/>
      <c r="F471" s="265"/>
      <c r="G471" s="265"/>
      <c r="H471" s="265"/>
      <c r="I471" s="265"/>
      <c r="J471" s="252"/>
      <c r="K471" s="254"/>
    </row>
    <row r="472" spans="1:11" ht="29.25" customHeight="1" x14ac:dyDescent="0.2">
      <c r="A472" s="695" t="s">
        <v>123</v>
      </c>
      <c r="B472" s="695"/>
      <c r="C472" s="695"/>
      <c r="D472" s="695"/>
      <c r="E472" s="695"/>
      <c r="F472" s="695"/>
      <c r="G472" s="695"/>
      <c r="H472" s="695"/>
      <c r="I472" s="695"/>
      <c r="J472" s="695"/>
      <c r="K472" s="695"/>
    </row>
    <row r="482" spans="1:29" ht="15" x14ac:dyDescent="0.25">
      <c r="L482" s="13"/>
      <c r="M482" s="13"/>
      <c r="N482" s="13"/>
      <c r="O482" s="13"/>
      <c r="P482" s="13"/>
      <c r="Q482" s="13"/>
      <c r="R482" s="13"/>
      <c r="S482" s="13"/>
      <c r="T482" s="13"/>
      <c r="U482" s="13"/>
    </row>
    <row r="484" spans="1:29" ht="15" x14ac:dyDescent="0.25">
      <c r="V484" s="13"/>
      <c r="W484" s="13"/>
      <c r="X484" s="13"/>
      <c r="Y484" s="13"/>
      <c r="Z484" s="13"/>
      <c r="AA484" s="13"/>
    </row>
    <row r="485" spans="1:29" x14ac:dyDescent="0.2"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  <c r="AA485" s="12"/>
      <c r="AB485" s="12"/>
      <c r="AC485" s="12"/>
    </row>
    <row r="486" spans="1:29" x14ac:dyDescent="0.2"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  <c r="AA486" s="12"/>
      <c r="AB486" s="12"/>
      <c r="AC486" s="12"/>
    </row>
    <row r="487" spans="1:29" x14ac:dyDescent="0.2"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  <c r="AA487" s="12"/>
      <c r="AB487" s="12"/>
      <c r="AC487" s="12"/>
    </row>
    <row r="488" spans="1:29" x14ac:dyDescent="0.2"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  <c r="AA488" s="12"/>
      <c r="AB488" s="12"/>
      <c r="AC488" s="12"/>
    </row>
    <row r="489" spans="1:29" x14ac:dyDescent="0.2">
      <c r="M489" s="670"/>
      <c r="N489" s="670"/>
      <c r="O489" s="670"/>
      <c r="P489" s="670"/>
      <c r="Q489" s="670"/>
      <c r="R489" s="670"/>
      <c r="S489" s="670"/>
      <c r="T489" s="670"/>
      <c r="U489" s="670"/>
      <c r="V489" s="668"/>
      <c r="W489" s="668"/>
      <c r="X489" s="668"/>
      <c r="Y489" s="12"/>
      <c r="Z489" s="12"/>
      <c r="AA489" s="12"/>
      <c r="AB489" s="12"/>
      <c r="AC489" s="12"/>
    </row>
    <row r="490" spans="1:29" x14ac:dyDescent="0.2">
      <c r="M490" s="48"/>
      <c r="N490" s="647"/>
      <c r="O490" s="647"/>
      <c r="P490" s="647"/>
      <c r="Q490" s="647"/>
      <c r="R490" s="47"/>
      <c r="S490" s="653"/>
      <c r="T490" s="653"/>
      <c r="U490" s="41"/>
      <c r="V490" s="653"/>
      <c r="W490" s="653"/>
      <c r="X490" s="558"/>
      <c r="Y490" s="12"/>
      <c r="Z490" s="12"/>
      <c r="AA490" s="12"/>
      <c r="AB490" s="12"/>
      <c r="AC490" s="12"/>
    </row>
    <row r="491" spans="1:29" x14ac:dyDescent="0.2">
      <c r="M491" s="48"/>
      <c r="N491" s="647"/>
      <c r="O491" s="647"/>
      <c r="P491" s="647"/>
      <c r="Q491" s="647"/>
      <c r="R491" s="47"/>
      <c r="S491" s="669"/>
      <c r="T491" s="669"/>
      <c r="U491" s="41"/>
      <c r="V491" s="653"/>
      <c r="W491" s="653"/>
      <c r="X491" s="558"/>
      <c r="Y491" s="12"/>
      <c r="Z491" s="12"/>
      <c r="AA491" s="12"/>
      <c r="AB491" s="12"/>
      <c r="AC491" s="12"/>
    </row>
    <row r="492" spans="1:29" s="13" customFormat="1" ht="35.25" customHeight="1" x14ac:dyDescent="0.25">
      <c r="C492" s="61" t="s">
        <v>118</v>
      </c>
      <c r="D492" s="61" t="s">
        <v>119</v>
      </c>
      <c r="E492" s="470" t="s">
        <v>120</v>
      </c>
      <c r="F492" s="693" t="s">
        <v>136</v>
      </c>
      <c r="G492" s="694"/>
      <c r="H492" s="693" t="s">
        <v>121</v>
      </c>
      <c r="I492" s="694"/>
      <c r="J492" s="693" t="s">
        <v>135</v>
      </c>
      <c r="K492" s="694"/>
      <c r="L492" s="1"/>
      <c r="M492" s="48"/>
      <c r="N492" s="647"/>
      <c r="O492" s="647"/>
      <c r="P492" s="647"/>
      <c r="Q492" s="647"/>
      <c r="R492" s="48"/>
      <c r="S492" s="653"/>
      <c r="T492" s="653"/>
      <c r="U492" s="41"/>
      <c r="V492" s="653"/>
      <c r="W492" s="653"/>
      <c r="X492" s="558"/>
      <c r="Y492" s="12"/>
      <c r="Z492" s="12"/>
      <c r="AA492" s="12"/>
      <c r="AB492" s="94"/>
      <c r="AC492" s="94"/>
    </row>
    <row r="493" spans="1:29" x14ac:dyDescent="0.2">
      <c r="A493" s="680" t="s">
        <v>114</v>
      </c>
      <c r="B493" s="736"/>
      <c r="C493" s="547">
        <f>E138</f>
        <v>7.829961455807374</v>
      </c>
      <c r="D493" s="547">
        <f>E137</f>
        <v>20.651476681797948</v>
      </c>
      <c r="E493" s="562">
        <f>(D493-C493)*(br+bw)/b+C493</f>
        <v>17.846770226112511</v>
      </c>
      <c r="F493" s="644">
        <f>(E493+D493)*bf/2</f>
        <v>33.685966044421647</v>
      </c>
      <c r="G493" s="674"/>
      <c r="H493" s="730">
        <f>((E493*bf^2/2)+(D493-E493)*bf^2/3)/F493</f>
        <v>0.89624874373799523</v>
      </c>
      <c r="I493" s="731"/>
      <c r="J493" s="644">
        <f t="shared" ref="J493:J498" si="14">F493*H493</f>
        <v>30.191004748913667</v>
      </c>
      <c r="K493" s="674"/>
      <c r="M493" s="48"/>
      <c r="N493" s="647"/>
      <c r="O493" s="647"/>
      <c r="P493" s="647"/>
      <c r="Q493" s="647"/>
      <c r="R493" s="47"/>
      <c r="S493" s="653"/>
      <c r="T493" s="653"/>
      <c r="U493" s="41"/>
      <c r="V493" s="653"/>
      <c r="W493" s="653"/>
      <c r="X493" s="558"/>
      <c r="Y493" s="12"/>
      <c r="Z493" s="12"/>
      <c r="AA493" s="12"/>
      <c r="AB493" s="12"/>
      <c r="AC493" s="12"/>
    </row>
    <row r="494" spans="1:29" x14ac:dyDescent="0.2">
      <c r="A494" s="680" t="s">
        <v>115</v>
      </c>
      <c r="B494" s="736"/>
      <c r="C494" s="547">
        <f>E194</f>
        <v>0</v>
      </c>
      <c r="D494" s="63">
        <f>E193</f>
        <v>35.887669441246253</v>
      </c>
      <c r="E494" s="562">
        <f>(D494-C494)*(br+bw)/b+C494</f>
        <v>28.037241750973635</v>
      </c>
      <c r="F494" s="644">
        <f>(E494+D494)*bf/2</f>
        <v>55.934297293192401</v>
      </c>
      <c r="G494" s="674"/>
      <c r="H494" s="730">
        <f>((E494*bf^2/2)+(D494-E494)*bf^2/3)/F494</f>
        <v>0.91081871345029242</v>
      </c>
      <c r="I494" s="731"/>
      <c r="J494" s="644">
        <f t="shared" si="14"/>
        <v>50.946004698331677</v>
      </c>
      <c r="K494" s="674"/>
      <c r="M494" s="48"/>
      <c r="N494" s="647"/>
      <c r="O494" s="647"/>
      <c r="P494" s="647"/>
      <c r="Q494" s="647"/>
      <c r="R494" s="47"/>
      <c r="S494" s="653"/>
      <c r="T494" s="653"/>
      <c r="U494" s="41"/>
      <c r="V494" s="653"/>
      <c r="W494" s="653"/>
      <c r="X494" s="558"/>
      <c r="Y494" s="12"/>
      <c r="Z494" s="12"/>
      <c r="AA494" s="12"/>
      <c r="AB494" s="12"/>
      <c r="AC494" s="12"/>
    </row>
    <row r="495" spans="1:29" x14ac:dyDescent="0.2">
      <c r="A495" s="680" t="s">
        <v>114</v>
      </c>
      <c r="B495" s="736"/>
      <c r="C495" s="583">
        <f>+E266</f>
        <v>0</v>
      </c>
      <c r="D495" s="63">
        <f>+E265</f>
        <v>57.885408454078345</v>
      </c>
      <c r="E495" s="584">
        <f>(D495-C495)*(br+bw)/b+C495</f>
        <v>45.222975354748705</v>
      </c>
      <c r="F495" s="644">
        <f>(E495+D495)*bf/2</f>
        <v>90.219835832723675</v>
      </c>
      <c r="G495" s="674"/>
      <c r="H495" s="730">
        <f>((E495*bf^2/2)+(D495-E495)*bf^2/3)/F495</f>
        <v>0.91081871345029242</v>
      </c>
      <c r="I495" s="731"/>
      <c r="J495" s="644">
        <f t="shared" si="14"/>
        <v>82.173914800857972</v>
      </c>
      <c r="K495" s="674"/>
      <c r="M495" s="48"/>
      <c r="N495" s="585"/>
      <c r="O495" s="585"/>
      <c r="P495" s="585"/>
      <c r="Q495" s="585"/>
      <c r="R495" s="47"/>
      <c r="S495" s="587"/>
      <c r="T495" s="587"/>
      <c r="U495" s="41"/>
      <c r="V495" s="587"/>
      <c r="W495" s="587"/>
      <c r="X495" s="585"/>
      <c r="Y495" s="12"/>
      <c r="Z495" s="12"/>
      <c r="AA495" s="12"/>
      <c r="AB495" s="12"/>
      <c r="AC495" s="12"/>
    </row>
    <row r="496" spans="1:29" x14ac:dyDescent="0.2">
      <c r="A496" s="680" t="s">
        <v>115</v>
      </c>
      <c r="B496" s="736"/>
      <c r="C496" s="547">
        <f>E324</f>
        <v>5.8262941727870183</v>
      </c>
      <c r="D496" s="547">
        <f>E323</f>
        <v>13.912865906956501</v>
      </c>
      <c r="E496" s="562">
        <f>(D496-C496)*(br+bw)/b+C496</f>
        <v>12.143928340106925</v>
      </c>
      <c r="F496" s="644">
        <f>(E496+D496)*bf/2</f>
        <v>22.799694966180496</v>
      </c>
      <c r="G496" s="674"/>
      <c r="H496" s="730">
        <f>((E496*bf^2/2)+(D496-E496)*bf^2/3)/F496</f>
        <v>0.89480059859906236</v>
      </c>
      <c r="I496" s="731"/>
      <c r="J496" s="644">
        <f t="shared" si="14"/>
        <v>20.401180703614337</v>
      </c>
      <c r="K496" s="674"/>
      <c r="M496" s="48"/>
      <c r="N496" s="647"/>
      <c r="O496" s="647"/>
      <c r="P496" s="647"/>
      <c r="Q496" s="647"/>
      <c r="R496" s="47"/>
      <c r="S496" s="653"/>
      <c r="T496" s="653"/>
      <c r="U496" s="41"/>
      <c r="V496" s="653"/>
      <c r="W496" s="653"/>
      <c r="X496" s="558"/>
      <c r="Y496" s="12"/>
      <c r="Z496" s="12"/>
      <c r="AA496" s="12"/>
      <c r="AB496" s="12"/>
      <c r="AC496" s="12"/>
    </row>
    <row r="497" spans="1:29" ht="15" thickBot="1" x14ac:dyDescent="0.25">
      <c r="A497" s="680" t="s">
        <v>114</v>
      </c>
      <c r="B497" s="736"/>
      <c r="C497" s="64">
        <f>E376</f>
        <v>9.9934278993919943</v>
      </c>
      <c r="D497" s="64">
        <f>E375</f>
        <v>16.084118185525249</v>
      </c>
      <c r="E497" s="64">
        <f>(D497-C497)*(br+bw)/b+C497</f>
        <v>14.751779685433601</v>
      </c>
      <c r="F497" s="685">
        <f>(E497+D497)*bf/2</f>
        <v>26.981410637088992</v>
      </c>
      <c r="G497" s="686"/>
      <c r="H497" s="739">
        <f>((E497*bf^2/2)+(D497-E497)*bf^2/3)/F497</f>
        <v>0.88760215385391394</v>
      </c>
      <c r="I497" s="740"/>
      <c r="J497" s="685">
        <f t="shared" si="14"/>
        <v>23.948758195497092</v>
      </c>
      <c r="K497" s="686"/>
      <c r="M497" s="48"/>
      <c r="N497" s="647"/>
      <c r="O497" s="647"/>
      <c r="P497" s="647"/>
      <c r="Q497" s="647"/>
      <c r="R497" s="47"/>
      <c r="S497" s="653"/>
      <c r="T497" s="653"/>
      <c r="U497" s="41"/>
      <c r="V497" s="653"/>
      <c r="W497" s="653"/>
      <c r="X497" s="558"/>
      <c r="Y497" s="12"/>
      <c r="Z497" s="12"/>
      <c r="AA497" s="12"/>
      <c r="AB497" s="12"/>
      <c r="AC497" s="12"/>
    </row>
    <row r="498" spans="1:29" ht="15" thickTop="1" x14ac:dyDescent="0.2">
      <c r="A498" s="1" t="s">
        <v>122</v>
      </c>
      <c r="B498" s="1" t="str">
        <f>"=(-"&amp;hs&amp;"x"&amp;bf&amp;")x"&amp;gc</f>
        <v>=(-1.5x1.75)x2.4</v>
      </c>
      <c r="E498" s="471"/>
      <c r="F498" s="618">
        <f>(-hs*bf)*gc</f>
        <v>-6.3</v>
      </c>
      <c r="G498" s="688"/>
      <c r="H498" s="732">
        <f>bf/2</f>
        <v>0.875</v>
      </c>
      <c r="I498" s="733"/>
      <c r="J498" s="734">
        <f t="shared" si="14"/>
        <v>-5.5125000000000002</v>
      </c>
      <c r="K498" s="735"/>
      <c r="M498" s="48"/>
      <c r="N498" s="647"/>
      <c r="O498" s="647"/>
      <c r="P498" s="647"/>
      <c r="Q498" s="647"/>
      <c r="R498" s="47"/>
      <c r="S498" s="653"/>
      <c r="T498" s="653"/>
      <c r="U498" s="41"/>
      <c r="V498" s="653"/>
      <c r="W498" s="653"/>
      <c r="X498" s="558"/>
      <c r="Y498" s="12"/>
      <c r="Z498" s="12"/>
      <c r="AA498" s="12"/>
      <c r="AB498" s="12"/>
      <c r="AC498" s="12"/>
    </row>
    <row r="499" spans="1:29" x14ac:dyDescent="0.2">
      <c r="M499" s="250"/>
      <c r="N499" s="250"/>
      <c r="O499" s="250"/>
      <c r="P499" s="250"/>
      <c r="Q499" s="250"/>
      <c r="R499" s="250"/>
      <c r="S499" s="664"/>
      <c r="T499" s="664"/>
      <c r="U499" s="90"/>
      <c r="V499" s="92"/>
      <c r="W499" s="250"/>
      <c r="X499" s="250"/>
      <c r="Y499" s="12"/>
      <c r="Z499" s="12"/>
      <c r="AA499" s="12"/>
      <c r="AB499" s="12"/>
      <c r="AC499" s="12"/>
    </row>
    <row r="500" spans="1:29" x14ac:dyDescent="0.2">
      <c r="E500" s="471" t="s">
        <v>110</v>
      </c>
      <c r="F500" s="30">
        <f>MAX(F493:G497)+F498</f>
        <v>83.919835832723678</v>
      </c>
      <c r="G500" s="1" t="s">
        <v>113</v>
      </c>
      <c r="I500" s="29" t="s">
        <v>111</v>
      </c>
      <c r="J500" s="60">
        <f>MAX(J493:K497)+J498</f>
        <v>76.661414800857969</v>
      </c>
      <c r="K500" s="1" t="s">
        <v>112</v>
      </c>
      <c r="M500" s="558"/>
      <c r="N500" s="558"/>
      <c r="O500" s="558"/>
      <c r="P500" s="558"/>
      <c r="Q500" s="44"/>
      <c r="R500" s="38"/>
      <c r="S500" s="558"/>
      <c r="T500" s="558"/>
      <c r="U500" s="41"/>
      <c r="V500" s="9"/>
      <c r="W500" s="9"/>
      <c r="X500" s="558"/>
      <c r="Y500" s="12"/>
      <c r="Z500" s="12"/>
      <c r="AA500" s="12"/>
      <c r="AB500" s="12"/>
      <c r="AC500" s="12"/>
    </row>
    <row r="501" spans="1:29" x14ac:dyDescent="0.2">
      <c r="M501" s="251"/>
      <c r="N501" s="558"/>
      <c r="O501" s="558"/>
      <c r="P501" s="558"/>
      <c r="Q501" s="44"/>
      <c r="R501" s="38"/>
      <c r="S501" s="558"/>
      <c r="T501" s="558"/>
      <c r="U501" s="41"/>
      <c r="V501" s="9"/>
      <c r="W501" s="9"/>
      <c r="X501" s="558"/>
      <c r="Y501" s="12"/>
      <c r="Z501" s="12"/>
      <c r="AA501" s="12"/>
      <c r="AB501" s="12"/>
      <c r="AC501" s="12"/>
    </row>
    <row r="502" spans="1:29" ht="15" x14ac:dyDescent="0.25">
      <c r="A502" s="680" t="s">
        <v>145</v>
      </c>
      <c r="B502" s="680"/>
      <c r="C502" s="680" t="s">
        <v>146</v>
      </c>
      <c r="D502" s="680"/>
      <c r="M502" s="632"/>
      <c r="N502" s="632"/>
      <c r="O502" s="551"/>
      <c r="P502" s="633"/>
      <c r="Q502" s="633"/>
      <c r="R502" s="38"/>
      <c r="S502" s="89"/>
      <c r="T502" s="558"/>
      <c r="U502" s="41"/>
      <c r="V502" s="9"/>
      <c r="W502" s="9"/>
      <c r="X502" s="558"/>
      <c r="Y502" s="12"/>
      <c r="Z502" s="12"/>
      <c r="AA502" s="12"/>
      <c r="AB502" s="12"/>
      <c r="AC502" s="12"/>
    </row>
    <row r="503" spans="1:29" x14ac:dyDescent="0.2">
      <c r="A503" s="705">
        <f>100</f>
        <v>100</v>
      </c>
      <c r="B503" s="705"/>
      <c r="C503" s="680">
        <f>(hs-pp)*100</f>
        <v>145</v>
      </c>
      <c r="D503" s="680"/>
      <c r="H503" s="60"/>
      <c r="M503" s="9"/>
      <c r="N503" s="42"/>
      <c r="O503" s="42"/>
      <c r="P503" s="9"/>
      <c r="Q503" s="43"/>
      <c r="R503" s="38"/>
      <c r="S503" s="558"/>
      <c r="T503" s="558"/>
      <c r="U503" s="41"/>
      <c r="V503" s="9"/>
      <c r="W503" s="9"/>
      <c r="X503" s="558"/>
      <c r="Y503" s="12"/>
      <c r="Z503" s="12"/>
      <c r="AA503" s="12"/>
      <c r="AB503" s="12"/>
      <c r="AC503" s="12"/>
    </row>
    <row r="504" spans="1:29" ht="13.5" customHeight="1" x14ac:dyDescent="0.2">
      <c r="M504" s="558"/>
      <c r="N504" s="558"/>
      <c r="O504" s="558"/>
      <c r="P504" s="558"/>
      <c r="Q504" s="44"/>
      <c r="R504" s="38"/>
      <c r="S504" s="558"/>
      <c r="T504" s="558"/>
      <c r="U504" s="41"/>
      <c r="V504" s="9"/>
      <c r="W504" s="9"/>
      <c r="X504" s="558"/>
      <c r="Y504" s="12"/>
      <c r="Z504" s="12"/>
      <c r="AA504" s="12"/>
      <c r="AB504" s="12"/>
      <c r="AC504" s="12"/>
    </row>
    <row r="505" spans="1:29" ht="15" x14ac:dyDescent="0.25">
      <c r="A505" s="88" t="s">
        <v>142</v>
      </c>
      <c r="B505" s="12"/>
      <c r="C505" s="12"/>
      <c r="D505" s="12"/>
      <c r="E505" s="170"/>
      <c r="F505" s="12"/>
      <c r="G505" s="12"/>
      <c r="H505" s="12"/>
      <c r="I505" s="12"/>
      <c r="J505" s="12"/>
      <c r="K505" s="12"/>
      <c r="M505" s="558"/>
      <c r="N505" s="558"/>
      <c r="O505" s="558"/>
      <c r="P505" s="89"/>
      <c r="Q505" s="44"/>
      <c r="R505" s="38"/>
      <c r="S505" s="558"/>
      <c r="T505" s="558"/>
      <c r="U505" s="41"/>
      <c r="V505" s="9"/>
      <c r="W505" s="9"/>
      <c r="X505" s="558"/>
      <c r="Y505" s="12"/>
      <c r="Z505" s="12"/>
      <c r="AA505" s="12"/>
      <c r="AB505" s="12"/>
      <c r="AC505" s="12"/>
    </row>
    <row r="506" spans="1:29" ht="18" x14ac:dyDescent="0.35">
      <c r="A506" s="86" t="s">
        <v>144</v>
      </c>
      <c r="B506" s="12"/>
      <c r="C506" s="12"/>
      <c r="D506" s="553">
        <f>0.65*fctd*A503*C503</f>
        <v>108.38749999999999</v>
      </c>
      <c r="E506" s="170" t="s">
        <v>113</v>
      </c>
      <c r="F506" s="93" t="str">
        <f>" "&amp;IF(D506&lt;H506,"&lt;","&gt;")&amp;"     Vd ="</f>
        <v xml:space="preserve"> &gt;     Vd =</v>
      </c>
      <c r="G506" s="12"/>
      <c r="H506" s="92">
        <f>F500</f>
        <v>83.919835832723678</v>
      </c>
      <c r="I506" s="12" t="str">
        <f>E506</f>
        <v>t/m</v>
      </c>
      <c r="J506" s="94" t="str">
        <f>IF(D506&lt;H506,"not O.K.","O.K.")</f>
        <v>O.K.</v>
      </c>
      <c r="K506" s="12"/>
      <c r="M506" s="558"/>
      <c r="N506" s="669"/>
      <c r="O506" s="669"/>
      <c r="P506" s="669"/>
      <c r="Q506" s="46"/>
      <c r="R506" s="47"/>
      <c r="S506" s="48"/>
      <c r="T506" s="48"/>
      <c r="U506" s="46"/>
      <c r="V506" s="49"/>
      <c r="W506" s="48"/>
      <c r="X506" s="50"/>
      <c r="Y506" s="12"/>
      <c r="Z506" s="12"/>
      <c r="AA506" s="12"/>
      <c r="AB506" s="12"/>
      <c r="AC506" s="12"/>
    </row>
    <row r="507" spans="1:29" ht="18" x14ac:dyDescent="0.35">
      <c r="A507" s="89" t="s">
        <v>143</v>
      </c>
      <c r="B507" s="12"/>
      <c r="C507" s="12"/>
      <c r="D507" s="553">
        <f>0.9*0.22*fcd*A503*C503</f>
        <v>488.07</v>
      </c>
      <c r="E507" s="170" t="s">
        <v>113</v>
      </c>
      <c r="F507" s="93" t="str">
        <f>" "&amp;IF(D507&lt;H507,"&lt;","&gt;")&amp;"     Vd ="</f>
        <v xml:space="preserve"> &gt;     Vd =</v>
      </c>
      <c r="G507" s="12"/>
      <c r="H507" s="92">
        <f>H506</f>
        <v>83.919835832723678</v>
      </c>
      <c r="I507" s="12" t="str">
        <f>E507</f>
        <v>t/m</v>
      </c>
      <c r="J507" s="94" t="str">
        <f>IF(D507&lt;H507,"not O.K.","O.K.")</f>
        <v>O.K.</v>
      </c>
      <c r="K507" s="12"/>
      <c r="M507" s="43"/>
      <c r="N507" s="653"/>
      <c r="O507" s="653"/>
      <c r="P507" s="653"/>
      <c r="Q507" s="46"/>
      <c r="R507" s="47"/>
      <c r="S507" s="48"/>
      <c r="T507" s="48"/>
      <c r="U507" s="46"/>
      <c r="V507" s="49"/>
      <c r="W507" s="48"/>
      <c r="X507" s="50"/>
      <c r="Y507" s="12"/>
      <c r="Z507" s="12"/>
      <c r="AA507" s="12"/>
      <c r="AB507" s="12"/>
      <c r="AC507" s="12"/>
    </row>
    <row r="508" spans="1:29" x14ac:dyDescent="0.2">
      <c r="A508" s="12"/>
      <c r="B508" s="12"/>
      <c r="C508" s="12"/>
      <c r="D508" s="12"/>
      <c r="E508" s="170"/>
      <c r="F508" s="12"/>
      <c r="G508" s="12"/>
      <c r="H508" s="12"/>
      <c r="I508" s="12"/>
      <c r="J508" s="12"/>
      <c r="K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  <c r="AA508" s="12"/>
      <c r="AB508" s="12"/>
      <c r="AC508" s="12"/>
    </row>
    <row r="509" spans="1:29" x14ac:dyDescent="0.2">
      <c r="A509" s="88" t="s">
        <v>147</v>
      </c>
      <c r="B509" s="12"/>
      <c r="C509" s="12"/>
      <c r="D509" s="12"/>
      <c r="E509" s="170"/>
      <c r="F509" s="12"/>
      <c r="G509" s="12"/>
      <c r="H509" s="12"/>
      <c r="I509" s="12"/>
      <c r="J509" s="12"/>
      <c r="K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  <c r="AA509" s="12"/>
      <c r="AB509" s="12"/>
      <c r="AC509" s="12"/>
    </row>
    <row r="510" spans="1:29" s="261" customFormat="1" ht="15" x14ac:dyDescent="0.25">
      <c r="A510" s="88" t="s">
        <v>203</v>
      </c>
      <c r="B510" s="12"/>
      <c r="C510" s="12"/>
      <c r="D510" s="12"/>
      <c r="E510" s="570"/>
      <c r="F510" s="567"/>
      <c r="G510" s="93"/>
      <c r="H510" s="567"/>
      <c r="I510" s="156"/>
      <c r="J510" s="567"/>
      <c r="K510" s="258"/>
      <c r="L510" s="259"/>
      <c r="M510" s="259"/>
      <c r="N510" s="259"/>
      <c r="O510" s="170"/>
      <c r="P510" s="170"/>
      <c r="Q510" s="170"/>
      <c r="R510" s="170"/>
      <c r="S510" s="170"/>
      <c r="T510" s="170"/>
      <c r="U510" s="170"/>
      <c r="V510" s="170"/>
      <c r="W510" s="170"/>
      <c r="X510" s="170"/>
      <c r="Y510" s="170"/>
      <c r="Z510" s="170"/>
      <c r="AA510" s="170"/>
      <c r="AB510" s="170"/>
      <c r="AC510" s="170"/>
    </row>
    <row r="511" spans="1:29" s="261" customFormat="1" x14ac:dyDescent="0.2">
      <c r="A511" s="648" t="str">
        <f>"A= "&amp;ROUND(bw,2)&amp;"x1.00="</f>
        <v>A= 5.75x1.00=</v>
      </c>
      <c r="B511" s="648"/>
      <c r="C511" s="648"/>
      <c r="D511" s="553">
        <f>bw</f>
        <v>5.75</v>
      </c>
      <c r="E511" s="556" t="s">
        <v>205</v>
      </c>
      <c r="F511" s="553"/>
      <c r="G511" s="553"/>
      <c r="H511" s="553"/>
      <c r="I511" s="553"/>
      <c r="J511" s="553"/>
      <c r="K511" s="253"/>
      <c r="L511" s="260"/>
      <c r="M511" s="260"/>
      <c r="N511" s="260"/>
      <c r="O511" s="170"/>
      <c r="P511" s="170"/>
      <c r="Q511" s="170"/>
      <c r="R511" s="170"/>
      <c r="S511" s="170"/>
      <c r="T511" s="170"/>
      <c r="U511" s="170"/>
      <c r="V511" s="170"/>
      <c r="W511" s="170"/>
      <c r="X511" s="170"/>
      <c r="Y511" s="170"/>
      <c r="Z511" s="170"/>
      <c r="AA511" s="170"/>
      <c r="AB511" s="170"/>
      <c r="AC511" s="170"/>
    </row>
    <row r="512" spans="1:29" s="261" customFormat="1" x14ac:dyDescent="0.2">
      <c r="A512" s="648" t="str">
        <f>"W= ("&amp;ROUND(bw,2)&amp;"x"&amp;ROUND(bw,2)&amp;"x1.00)/6="</f>
        <v>W= (5.75x5.75x1.00)/6=</v>
      </c>
      <c r="B512" s="648"/>
      <c r="C512" s="648"/>
      <c r="D512" s="553">
        <f>bw^2/6</f>
        <v>5.510416666666667</v>
      </c>
      <c r="E512" s="464" t="s">
        <v>204</v>
      </c>
      <c r="F512" s="553"/>
      <c r="G512" s="553"/>
      <c r="H512" s="553"/>
      <c r="I512" s="553"/>
      <c r="J512" s="553"/>
      <c r="K512" s="253"/>
      <c r="L512" s="260"/>
      <c r="M512" s="260"/>
      <c r="N512" s="260"/>
      <c r="O512" s="170"/>
      <c r="P512" s="170"/>
      <c r="Q512" s="170"/>
      <c r="R512" s="170"/>
      <c r="S512" s="170"/>
      <c r="T512" s="170"/>
      <c r="U512" s="170"/>
      <c r="V512" s="170"/>
      <c r="W512" s="170"/>
      <c r="X512" s="170"/>
      <c r="Y512" s="170"/>
      <c r="Z512" s="170"/>
      <c r="AA512" s="170"/>
      <c r="AB512" s="170"/>
      <c r="AC512" s="170"/>
    </row>
    <row r="513" spans="1:29" s="261" customFormat="1" ht="15" x14ac:dyDescent="0.25">
      <c r="A513"/>
      <c r="B513" s="553"/>
      <c r="C513" s="262"/>
      <c r="D513" s="262"/>
      <c r="E513" s="262"/>
      <c r="F513" s="262"/>
      <c r="G513" s="262"/>
      <c r="H513" s="262"/>
      <c r="I513" s="262"/>
      <c r="J513" s="262"/>
      <c r="K513" s="262"/>
      <c r="L513" s="260"/>
      <c r="M513" s="260"/>
      <c r="N513" s="260"/>
      <c r="O513" s="170"/>
      <c r="P513" s="170"/>
      <c r="Q513" s="170"/>
      <c r="R513" s="170"/>
      <c r="S513" s="170"/>
      <c r="T513" s="170"/>
      <c r="U513" s="170"/>
      <c r="V513" s="170"/>
      <c r="W513" s="170"/>
      <c r="X513" s="170"/>
      <c r="Y513" s="170"/>
      <c r="Z513" s="170"/>
      <c r="AA513" s="170"/>
      <c r="AB513" s="170"/>
      <c r="AC513" s="170"/>
    </row>
    <row r="514" spans="1:29" s="261" customFormat="1" ht="15" x14ac:dyDescent="0.25">
      <c r="A514" s="144"/>
      <c r="B514" s="144"/>
      <c r="C514" s="263" t="s">
        <v>206</v>
      </c>
      <c r="D514" s="264">
        <f>J500</f>
        <v>76.661414800857969</v>
      </c>
      <c r="E514" s="265" t="s">
        <v>206</v>
      </c>
      <c r="F514" s="273">
        <f>D514/D515</f>
        <v>13.912090398643411</v>
      </c>
      <c r="G514" s="274" t="s">
        <v>208</v>
      </c>
      <c r="H514" s="313" t="str">
        <f>IF(fctd*10000&gt;F514," &lt; fctd   OK (Donatı Gerekmez)"," NOT OK (Donatı Gerekir)")</f>
        <v xml:space="preserve"> &lt; fctd   OK (Donatı Gerekmez)</v>
      </c>
      <c r="I514" s="275"/>
      <c r="J514" s="265"/>
      <c r="K514" s="267"/>
      <c r="L514" s="260"/>
      <c r="M514" s="260"/>
      <c r="N514" s="260"/>
      <c r="O514" s="170"/>
      <c r="P514" s="170"/>
      <c r="Q514" s="170"/>
      <c r="R514" s="170"/>
      <c r="S514" s="170"/>
      <c r="T514" s="170"/>
      <c r="U514" s="170"/>
      <c r="V514" s="170"/>
      <c r="W514" s="170"/>
      <c r="X514" s="170"/>
      <c r="Y514" s="170"/>
      <c r="Z514" s="170"/>
      <c r="AA514" s="170"/>
      <c r="AB514" s="170"/>
      <c r="AC514" s="170"/>
    </row>
    <row r="515" spans="1:29" s="261" customFormat="1" ht="15" x14ac:dyDescent="0.25">
      <c r="A515" s="144"/>
      <c r="B515" s="144"/>
      <c r="C515" s="252"/>
      <c r="D515" s="255">
        <f>D512</f>
        <v>5.510416666666667</v>
      </c>
      <c r="E515" s="265"/>
      <c r="F515" s="255"/>
      <c r="G515" s="252"/>
      <c r="H515" s="252"/>
      <c r="I515" s="252"/>
      <c r="J515" s="252"/>
      <c r="K515"/>
      <c r="L515" s="260"/>
      <c r="M515" s="260"/>
      <c r="N515" s="260"/>
      <c r="O515" s="170"/>
      <c r="P515" s="170"/>
      <c r="Q515" s="170"/>
      <c r="R515" s="170"/>
      <c r="S515" s="170"/>
      <c r="T515" s="170"/>
      <c r="U515" s="170"/>
      <c r="V515" s="170"/>
      <c r="W515" s="170"/>
      <c r="X515" s="170"/>
      <c r="Y515" s="170"/>
      <c r="Z515" s="170"/>
      <c r="AA515" s="170"/>
      <c r="AB515" s="170"/>
      <c r="AC515" s="170"/>
    </row>
    <row r="516" spans="1:29" s="261" customFormat="1" x14ac:dyDescent="0.2">
      <c r="A516" s="144"/>
      <c r="B516" s="144"/>
      <c r="C516" s="252"/>
      <c r="D516" s="252"/>
      <c r="E516" s="265"/>
      <c r="F516" s="252"/>
      <c r="G516" s="252"/>
      <c r="H516" s="252"/>
      <c r="I516" s="252"/>
      <c r="J516" s="252"/>
      <c r="K516" s="254"/>
      <c r="L516" s="2"/>
      <c r="M516" s="2"/>
      <c r="N516" s="2"/>
      <c r="O516" s="170"/>
      <c r="P516" s="170"/>
      <c r="Q516" s="170"/>
      <c r="R516" s="170"/>
      <c r="S516" s="170"/>
      <c r="T516" s="170"/>
      <c r="U516" s="170"/>
      <c r="V516" s="170"/>
      <c r="W516" s="170"/>
      <c r="X516" s="170"/>
      <c r="Y516" s="170"/>
      <c r="Z516" s="170"/>
      <c r="AA516" s="170"/>
      <c r="AB516" s="170"/>
      <c r="AC516" s="170"/>
    </row>
    <row r="517" spans="1:29" s="261" customFormat="1" hidden="1" x14ac:dyDescent="0.2">
      <c r="A517" s="452" t="s">
        <v>147</v>
      </c>
      <c r="B517" s="144"/>
      <c r="C517" s="252"/>
      <c r="D517" s="252"/>
      <c r="E517" s="265"/>
      <c r="F517" s="252"/>
      <c r="G517" s="252"/>
      <c r="H517" s="252"/>
      <c r="I517" s="252"/>
      <c r="J517" s="252"/>
      <c r="K517" s="254"/>
      <c r="L517" s="2"/>
      <c r="M517" s="2"/>
      <c r="N517" s="2"/>
      <c r="O517" s="170"/>
      <c r="P517" s="170"/>
      <c r="Q517" s="170"/>
      <c r="R517" s="170"/>
      <c r="S517" s="170"/>
      <c r="T517" s="170"/>
      <c r="U517" s="170"/>
      <c r="V517" s="170"/>
      <c r="W517" s="170"/>
      <c r="X517" s="170"/>
      <c r="Y517" s="170"/>
      <c r="Z517" s="170"/>
      <c r="AA517" s="170"/>
      <c r="AB517" s="170"/>
      <c r="AC517" s="170"/>
    </row>
    <row r="518" spans="1:29" s="261" customFormat="1" ht="15" hidden="1" x14ac:dyDescent="0.25">
      <c r="A518" s="267" t="s">
        <v>335</v>
      </c>
      <c r="B518" s="443"/>
      <c r="C518" s="444">
        <v>14</v>
      </c>
      <c r="D518" s="445">
        <v>15</v>
      </c>
      <c r="E518" s="446" t="s">
        <v>336</v>
      </c>
      <c r="F518" s="447" t="s">
        <v>337</v>
      </c>
      <c r="G518" s="448">
        <f>((PI()*C518^2/4)*(A503/D518))/100</f>
        <v>10.262536001726657</v>
      </c>
      <c r="H518" s="443" t="s">
        <v>338</v>
      </c>
      <c r="I518" s="449"/>
      <c r="J518" s="449"/>
      <c r="K518" s="449"/>
      <c r="L518" s="2"/>
      <c r="M518" s="2"/>
      <c r="N518" s="2"/>
      <c r="O518" s="170"/>
      <c r="P518" s="170"/>
      <c r="Q518" s="170"/>
      <c r="R518" s="170"/>
      <c r="S518" s="170"/>
      <c r="T518" s="170"/>
      <c r="U518" s="170"/>
      <c r="V518" s="170"/>
      <c r="W518" s="170"/>
      <c r="X518" s="170"/>
      <c r="Y518" s="170"/>
      <c r="Z518" s="170"/>
      <c r="AA518" s="170"/>
      <c r="AB518" s="170"/>
      <c r="AC518" s="170"/>
    </row>
    <row r="519" spans="1:29" s="261" customFormat="1" hidden="1" x14ac:dyDescent="0.2">
      <c r="A519" s="443"/>
      <c r="B519" s="443"/>
      <c r="C519" s="443"/>
      <c r="D519" s="443"/>
      <c r="E519" s="443"/>
      <c r="F519" s="443"/>
      <c r="G519" s="443"/>
      <c r="H519" s="443"/>
      <c r="I519" s="449"/>
      <c r="J519" s="449"/>
      <c r="K519" s="449"/>
      <c r="L519" s="2"/>
      <c r="M519" s="2"/>
      <c r="N519" s="2"/>
      <c r="O519" s="170"/>
      <c r="P519" s="170"/>
      <c r="Q519" s="170"/>
      <c r="R519" s="170"/>
      <c r="S519" s="170"/>
      <c r="T519" s="170"/>
      <c r="U519" s="170"/>
      <c r="V519" s="170"/>
      <c r="W519" s="170"/>
      <c r="X519" s="170"/>
      <c r="Y519" s="170"/>
      <c r="Z519" s="170"/>
      <c r="AA519" s="170"/>
      <c r="AB519" s="170"/>
      <c r="AC519" s="170"/>
    </row>
    <row r="520" spans="1:29" s="261" customFormat="1" hidden="1" x14ac:dyDescent="0.2">
      <c r="A520" s="443" t="s">
        <v>339</v>
      </c>
      <c r="B520" s="443"/>
      <c r="C520" s="451">
        <f>(J500*100)/(fyd*0.86*C503)</f>
        <v>16.842924893906027</v>
      </c>
      <c r="D520" s="443"/>
      <c r="E520" s="443"/>
      <c r="F520" s="443"/>
      <c r="G520" s="443"/>
      <c r="H520" s="443"/>
      <c r="I520" s="449"/>
      <c r="J520" s="449"/>
      <c r="K520" s="449"/>
      <c r="L520" s="2"/>
      <c r="M520" s="2"/>
      <c r="N520" s="2"/>
      <c r="O520" s="170"/>
      <c r="P520" s="170"/>
      <c r="Q520" s="170"/>
      <c r="R520" s="170"/>
      <c r="S520" s="170"/>
      <c r="T520" s="170"/>
      <c r="U520" s="170"/>
      <c r="V520" s="170"/>
      <c r="W520" s="170"/>
      <c r="X520" s="170"/>
      <c r="Y520" s="170"/>
      <c r="Z520" s="170"/>
      <c r="AA520" s="170"/>
      <c r="AB520" s="170"/>
      <c r="AC520" s="170"/>
    </row>
    <row r="521" spans="1:29" s="261" customFormat="1" ht="15" hidden="1" x14ac:dyDescent="0.25">
      <c r="A521" s="443" t="s">
        <v>340</v>
      </c>
      <c r="B521" s="443"/>
      <c r="C521" s="443">
        <f>0.002*A503*(C503+5)</f>
        <v>30</v>
      </c>
      <c r="D521" s="443"/>
      <c r="E521" s="443"/>
      <c r="F521" s="443"/>
      <c r="G521" s="443"/>
      <c r="H521" s="450" t="str">
        <f>IF(G518&lt;C520,"not O.K.","O.K.")</f>
        <v>not O.K.</v>
      </c>
      <c r="I521" s="449"/>
      <c r="J521" s="449"/>
      <c r="K521" s="449"/>
      <c r="L521" s="2"/>
      <c r="M521" s="2"/>
      <c r="N521" s="2"/>
      <c r="O521" s="170"/>
      <c r="P521" s="170"/>
      <c r="Q521" s="170"/>
      <c r="R521" s="170"/>
      <c r="S521" s="170"/>
      <c r="T521" s="170"/>
      <c r="U521" s="170"/>
      <c r="V521" s="170"/>
      <c r="W521" s="170"/>
      <c r="X521" s="170"/>
      <c r="Y521" s="170"/>
      <c r="Z521" s="170"/>
      <c r="AA521" s="170"/>
      <c r="AB521" s="170"/>
      <c r="AC521" s="170"/>
    </row>
    <row r="522" spans="1:29" s="261" customFormat="1" x14ac:dyDescent="0.2">
      <c r="A522" s="144"/>
      <c r="B522" s="144"/>
      <c r="C522" s="252"/>
      <c r="D522" s="252"/>
      <c r="E522" s="265"/>
      <c r="F522" s="252"/>
      <c r="G522" s="252"/>
      <c r="H522" s="252"/>
      <c r="I522" s="252"/>
      <c r="J522" s="252"/>
      <c r="K522" s="254"/>
      <c r="L522" s="2"/>
      <c r="M522" s="2"/>
      <c r="N522" s="2"/>
      <c r="O522" s="170"/>
      <c r="P522" s="170"/>
      <c r="Q522" s="170"/>
      <c r="R522" s="170"/>
      <c r="S522" s="170"/>
      <c r="T522" s="170"/>
      <c r="U522" s="170"/>
      <c r="V522" s="170"/>
      <c r="W522" s="170"/>
      <c r="X522" s="170"/>
      <c r="Y522" s="170"/>
      <c r="Z522" s="170"/>
      <c r="AA522" s="170"/>
      <c r="AB522" s="170"/>
      <c r="AC522" s="170"/>
    </row>
    <row r="523" spans="1:29" s="261" customFormat="1" x14ac:dyDescent="0.2">
      <c r="A523" s="144"/>
      <c r="B523" s="144"/>
      <c r="C523" s="252"/>
      <c r="D523" s="252"/>
      <c r="E523" s="265"/>
      <c r="F523" s="252"/>
      <c r="G523" s="252"/>
      <c r="H523" s="252"/>
      <c r="I523" s="252"/>
      <c r="J523" s="252"/>
      <c r="K523" s="254"/>
      <c r="L523" s="2"/>
      <c r="M523" s="2"/>
      <c r="N523" s="2"/>
      <c r="O523" s="170"/>
      <c r="P523" s="170"/>
      <c r="Q523" s="170"/>
      <c r="R523" s="170"/>
      <c r="S523" s="170"/>
      <c r="T523" s="170"/>
      <c r="U523" s="170"/>
      <c r="V523" s="170"/>
      <c r="W523" s="170"/>
      <c r="X523" s="170"/>
      <c r="Y523" s="170"/>
      <c r="Z523" s="170"/>
      <c r="AA523" s="170"/>
      <c r="AB523" s="170"/>
      <c r="AC523" s="170"/>
    </row>
    <row r="524" spans="1:29" ht="31.5" customHeight="1" x14ac:dyDescent="0.2">
      <c r="A524" s="695" t="s">
        <v>124</v>
      </c>
      <c r="B524" s="695"/>
      <c r="C524" s="695"/>
      <c r="D524" s="695"/>
      <c r="E524" s="695"/>
      <c r="F524" s="695"/>
      <c r="G524" s="695"/>
      <c r="H524" s="695"/>
      <c r="I524" s="695"/>
      <c r="J524" s="695"/>
      <c r="K524" s="695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  <c r="AA524" s="12"/>
      <c r="AB524" s="12"/>
      <c r="AC524" s="12"/>
    </row>
    <row r="525" spans="1:29" x14ac:dyDescent="0.2"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  <c r="AA525" s="12"/>
      <c r="AB525" s="12"/>
      <c r="AC525" s="12"/>
    </row>
    <row r="526" spans="1:29" x14ac:dyDescent="0.2"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  <c r="AA526" s="12"/>
      <c r="AB526" s="12"/>
      <c r="AC526" s="12"/>
    </row>
    <row r="527" spans="1:29" x14ac:dyDescent="0.2"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  <c r="AA527" s="12"/>
      <c r="AB527" s="12"/>
      <c r="AC527" s="12"/>
    </row>
    <row r="528" spans="1:29" x14ac:dyDescent="0.2"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  <c r="AA528" s="12"/>
      <c r="AB528" s="12"/>
      <c r="AC528" s="12"/>
    </row>
    <row r="529" spans="1:29" x14ac:dyDescent="0.2"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  <c r="AA529" s="12"/>
      <c r="AB529" s="12"/>
      <c r="AC529" s="12"/>
    </row>
    <row r="530" spans="1:29" x14ac:dyDescent="0.2"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  <c r="AA530" s="12"/>
      <c r="AB530" s="12"/>
      <c r="AC530" s="12"/>
    </row>
    <row r="531" spans="1:29" x14ac:dyDescent="0.2"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  <c r="AA531" s="12"/>
      <c r="AB531" s="12"/>
      <c r="AC531" s="12"/>
    </row>
    <row r="532" spans="1:29" x14ac:dyDescent="0.2"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  <c r="AA532" s="12"/>
      <c r="AB532" s="12"/>
      <c r="AC532" s="12"/>
    </row>
    <row r="533" spans="1:29" x14ac:dyDescent="0.2">
      <c r="L533" s="2"/>
      <c r="M533" s="9"/>
      <c r="N533" s="9"/>
      <c r="O533" s="9"/>
      <c r="P533" s="9"/>
      <c r="Q533" s="9"/>
      <c r="R533" s="9"/>
      <c r="S533" s="9"/>
      <c r="T533" s="9"/>
      <c r="U533" s="9"/>
      <c r="V533" s="12"/>
      <c r="W533" s="12"/>
      <c r="X533" s="12"/>
      <c r="Y533" s="12"/>
      <c r="Z533" s="12"/>
      <c r="AA533" s="12"/>
      <c r="AB533" s="12"/>
      <c r="AC533" s="12"/>
    </row>
    <row r="534" spans="1:29" x14ac:dyDescent="0.2">
      <c r="L534" s="2"/>
      <c r="M534" s="2"/>
      <c r="N534" s="2"/>
      <c r="O534" s="2"/>
      <c r="P534" s="2"/>
      <c r="Q534" s="2"/>
      <c r="R534" s="2"/>
      <c r="S534" s="2"/>
      <c r="T534" s="2"/>
      <c r="U534" s="2"/>
    </row>
    <row r="535" spans="1:29" x14ac:dyDescent="0.2"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</row>
    <row r="536" spans="1:29" x14ac:dyDescent="0.2"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</row>
    <row r="537" spans="1:29" x14ac:dyDescent="0.2"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</row>
    <row r="538" spans="1:29" x14ac:dyDescent="0.2"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</row>
    <row r="539" spans="1:29" x14ac:dyDescent="0.2"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</row>
    <row r="540" spans="1:29" x14ac:dyDescent="0.2"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</row>
    <row r="541" spans="1:29" x14ac:dyDescent="0.2"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</row>
    <row r="542" spans="1:29" ht="31.5" customHeight="1" x14ac:dyDescent="0.25">
      <c r="A542" s="13"/>
      <c r="B542" s="13"/>
      <c r="C542" s="61" t="s">
        <v>118</v>
      </c>
      <c r="D542" s="61" t="s">
        <v>119</v>
      </c>
      <c r="E542" s="470" t="s">
        <v>125</v>
      </c>
      <c r="F542" s="693" t="s">
        <v>162</v>
      </c>
      <c r="G542" s="694"/>
      <c r="H542" s="693" t="s">
        <v>121</v>
      </c>
      <c r="I542" s="694"/>
      <c r="J542" s="693" t="s">
        <v>329</v>
      </c>
      <c r="K542" s="694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</row>
    <row r="543" spans="1:29" s="2" customFormat="1" ht="12.75" x14ac:dyDescent="0.2">
      <c r="A543" s="649" t="s">
        <v>114</v>
      </c>
      <c r="B543" s="687"/>
      <c r="C543" s="546">
        <f>C493</f>
        <v>7.829961455807374</v>
      </c>
      <c r="D543" s="546">
        <f>D493</f>
        <v>20.651476681797948</v>
      </c>
      <c r="E543" s="555">
        <f>C543+(D543-C543)/b*br</f>
        <v>8.6313061574317853</v>
      </c>
      <c r="F543" s="644">
        <f>(E543+C543)/2*br</f>
        <v>4.1153169033097896</v>
      </c>
      <c r="G543" s="674"/>
      <c r="H543" s="683">
        <f>(C543*br*br/2+(E543-C543)*br/2*2*br/3)/(C543*br+(E543-C543)*br/2)</f>
        <v>0.25405671827372883</v>
      </c>
      <c r="I543" s="684"/>
      <c r="J543" s="644">
        <f t="shared" ref="J543:J552" si="15">F543*H543</f>
        <v>1.0455239071112894</v>
      </c>
      <c r="K543" s="674"/>
    </row>
    <row r="544" spans="1:29" s="2" customFormat="1" ht="12.75" x14ac:dyDescent="0.2">
      <c r="A544" s="649" t="s">
        <v>115</v>
      </c>
      <c r="B544" s="687"/>
      <c r="C544" s="546">
        <f>E194</f>
        <v>0</v>
      </c>
      <c r="D544" s="66">
        <f>E193</f>
        <v>35.887669441246253</v>
      </c>
      <c r="E544" s="555">
        <f>C544+(D544-C544)/b*br</f>
        <v>2.2429793400778908</v>
      </c>
      <c r="F544" s="644">
        <f>(E544+C544)/2*br</f>
        <v>0.5607448350194727</v>
      </c>
      <c r="G544" s="674"/>
      <c r="H544" s="683">
        <f>(C544*br*br/2+(E544-C544)*br/2*2*br/3)/(C544*br+(E544-C544)*br/2)</f>
        <v>0.33333333333333331</v>
      </c>
      <c r="I544" s="684"/>
      <c r="J544" s="644">
        <f t="shared" si="15"/>
        <v>0.18691494500649089</v>
      </c>
      <c r="K544" s="674"/>
    </row>
    <row r="545" spans="1:21" s="2" customFormat="1" ht="12.75" x14ac:dyDescent="0.2">
      <c r="A545" s="649" t="s">
        <v>116</v>
      </c>
      <c r="B545" s="687"/>
      <c r="C545" s="582">
        <f>+C495</f>
        <v>0</v>
      </c>
      <c r="D545" s="66">
        <f>+D495</f>
        <v>57.885408454078345</v>
      </c>
      <c r="E545" s="588">
        <f>C545+(D545-C545)/b*br</f>
        <v>3.6178380283798965</v>
      </c>
      <c r="F545" s="644">
        <f>(E545+C545)/2*br</f>
        <v>0.90445950709497414</v>
      </c>
      <c r="G545" s="674"/>
      <c r="H545" s="683">
        <f>(C545*br*br/2+(E545-C545)*br/2*2*br/3)/(C545*br+(E545-C545)*br/2)</f>
        <v>0.33333333333333331</v>
      </c>
      <c r="I545" s="684"/>
      <c r="J545" s="644">
        <f t="shared" ref="J545" si="16">F545*H545</f>
        <v>0.30148650236499136</v>
      </c>
      <c r="K545" s="674"/>
    </row>
    <row r="546" spans="1:21" s="2" customFormat="1" ht="12.75" x14ac:dyDescent="0.2">
      <c r="A546" s="649" t="s">
        <v>117</v>
      </c>
      <c r="B546" s="687"/>
      <c r="C546" s="546">
        <f>E324</f>
        <v>5.8262941727870183</v>
      </c>
      <c r="D546" s="546">
        <f>E323</f>
        <v>13.912865906956501</v>
      </c>
      <c r="E546" s="555">
        <f>C546+(D546-C546)/b*br</f>
        <v>6.3317049061726109</v>
      </c>
      <c r="F546" s="644">
        <f>(E546+C546)/2*br</f>
        <v>3.0394997697399075</v>
      </c>
      <c r="G546" s="674"/>
      <c r="H546" s="683">
        <f>(C546*br*br/2+(E546-C546)*br/2*2*br/3)/(C546*br+(E546-C546)*br/2)</f>
        <v>0.25346418525301201</v>
      </c>
      <c r="I546" s="684"/>
      <c r="J546" s="644">
        <f t="shared" si="15"/>
        <v>0.77040433271384323</v>
      </c>
      <c r="K546" s="674"/>
    </row>
    <row r="547" spans="1:21" s="2" customFormat="1" ht="13.5" thickBot="1" x14ac:dyDescent="0.25">
      <c r="A547" s="649" t="s">
        <v>362</v>
      </c>
      <c r="B547" s="687"/>
      <c r="C547" s="67">
        <f>C497</f>
        <v>9.9934278993919943</v>
      </c>
      <c r="D547" s="67">
        <f>E375</f>
        <v>16.084118185525249</v>
      </c>
      <c r="E547" s="555">
        <f>C547+(D547-C547)/b*br</f>
        <v>10.374096042275323</v>
      </c>
      <c r="F547" s="644">
        <f>(E547+C547)/2*br</f>
        <v>5.0918809854168288</v>
      </c>
      <c r="G547" s="674"/>
      <c r="H547" s="683">
        <f>(C547*br*br/2+(E547-C547)*br/2*2*br/3)/(C547*br+(E547-C547)*br/2)</f>
        <v>0.25155749640118902</v>
      </c>
      <c r="I547" s="684"/>
      <c r="J547" s="685">
        <f t="shared" si="15"/>
        <v>1.2809008326642768</v>
      </c>
      <c r="K547" s="686"/>
    </row>
    <row r="548" spans="1:21" s="2" customFormat="1" ht="15" thickTop="1" x14ac:dyDescent="0.2">
      <c r="A548" s="69" t="s">
        <v>122</v>
      </c>
      <c r="B548" s="11" t="str">
        <f>"("&amp;hs&amp;"x"&amp;br&amp;")x"&amp;gc</f>
        <v>(1.5x0.5)x2.4</v>
      </c>
      <c r="C548" s="11"/>
      <c r="D548" s="11"/>
      <c r="E548" s="472"/>
      <c r="F548" s="691">
        <f>(hs*br)*gc</f>
        <v>1.7999999999999998</v>
      </c>
      <c r="G548" s="692"/>
      <c r="H548" s="689">
        <f>br/2</f>
        <v>0.25</v>
      </c>
      <c r="I548" s="690"/>
      <c r="J548" s="618">
        <f t="shared" si="15"/>
        <v>0.44999999999999996</v>
      </c>
      <c r="K548" s="688"/>
      <c r="L548" s="1"/>
      <c r="M548" s="1"/>
      <c r="N548" s="1"/>
      <c r="O548" s="1"/>
      <c r="P548" s="1"/>
      <c r="Q548" s="1"/>
      <c r="R548" s="1"/>
      <c r="S548" s="1"/>
      <c r="T548" s="1"/>
      <c r="U548" s="1"/>
    </row>
    <row r="549" spans="1:21" s="2" customFormat="1" ht="15.75" x14ac:dyDescent="0.2">
      <c r="A549" s="34" t="s">
        <v>60</v>
      </c>
      <c r="B549" s="6" t="str">
        <f>" "&amp;br&amp;"x"&amp;ROUND(h-hs-0.5-(hsuf-hs),3)&amp;"x"&amp;ROUND(gnor,2)&amp;"="</f>
        <v xml:space="preserve"> 0.5x1.48x1.8=</v>
      </c>
      <c r="C549" s="6"/>
      <c r="D549" s="6"/>
      <c r="E549" s="473"/>
      <c r="F549" s="643">
        <f>br*(h-hs-0.5-(hsuf-hs))*(gnor)</f>
        <v>1.3319999999999996</v>
      </c>
      <c r="G549" s="643"/>
      <c r="H549" s="644">
        <f>br/2</f>
        <v>0.25</v>
      </c>
      <c r="I549" s="674"/>
      <c r="J549" s="643">
        <f t="shared" si="15"/>
        <v>0.33299999999999991</v>
      </c>
      <c r="K549" s="643"/>
      <c r="N549" s="70"/>
    </row>
    <row r="550" spans="1:21" s="2" customFormat="1" ht="15.75" x14ac:dyDescent="0.2">
      <c r="A550" s="34" t="s">
        <v>83</v>
      </c>
      <c r="B550" s="6" t="str">
        <f>" "&amp;br&amp;"x"&amp;(hsuf-hs)&amp;"x"&amp;ROUND(gdoy,2)&amp;"="</f>
        <v xml:space="preserve"> 0.5x5.12x2=</v>
      </c>
      <c r="C550" s="6"/>
      <c r="D550" s="6"/>
      <c r="E550" s="473"/>
      <c r="F550" s="643">
        <f>br*(hsuf-hs)*gdoy</f>
        <v>5.12</v>
      </c>
      <c r="G550" s="643"/>
      <c r="H550" s="644">
        <f>br/2</f>
        <v>0.25</v>
      </c>
      <c r="I550" s="674"/>
      <c r="J550" s="643">
        <f t="shared" si="15"/>
        <v>1.28</v>
      </c>
      <c r="K550" s="643"/>
      <c r="N550" s="70"/>
    </row>
    <row r="551" spans="1:21" s="2" customFormat="1" ht="15.75" x14ac:dyDescent="0.2">
      <c r="A551" s="34" t="s">
        <v>126</v>
      </c>
      <c r="B551" s="6" t="str">
        <f>" "&amp;br&amp;"x"&amp;(h-hs)&amp;"x"&amp;ROUND(gnor,2)&amp;"="</f>
        <v xml:space="preserve"> 0.5x7.1x1.8=</v>
      </c>
      <c r="C551" s="6"/>
      <c r="D551" s="6"/>
      <c r="E551" s="473"/>
      <c r="F551" s="643">
        <f>br*(h-hs)*gnor</f>
        <v>6.39</v>
      </c>
      <c r="G551" s="643"/>
      <c r="H551" s="644">
        <f>br/2</f>
        <v>0.25</v>
      </c>
      <c r="I551" s="674"/>
      <c r="J551" s="643">
        <f t="shared" si="15"/>
        <v>1.5974999999999999</v>
      </c>
      <c r="K551" s="643"/>
    </row>
    <row r="552" spans="1:21" s="2" customFormat="1" ht="12.75" x14ac:dyDescent="0.2">
      <c r="A552" s="34" t="s">
        <v>81</v>
      </c>
      <c r="B552" s="6" t="str">
        <f>" "&amp;q&amp;"x"&amp;br&amp;"="</f>
        <v xml:space="preserve"> 1.14x0.5=</v>
      </c>
      <c r="C552" s="6"/>
      <c r="D552" s="6"/>
      <c r="E552" s="473"/>
      <c r="F552" s="643">
        <f>q*br</f>
        <v>0.56999999999999995</v>
      </c>
      <c r="G552" s="643"/>
      <c r="H552" s="644">
        <f>br/2</f>
        <v>0.25</v>
      </c>
      <c r="I552" s="674"/>
      <c r="J552" s="643">
        <f t="shared" si="15"/>
        <v>0.14249999999999999</v>
      </c>
      <c r="K552" s="643"/>
    </row>
    <row r="553" spans="1:21" s="2" customFormat="1" ht="25.5" customHeight="1" x14ac:dyDescent="0.2">
      <c r="E553" s="193"/>
      <c r="F553" s="675" t="s">
        <v>155</v>
      </c>
      <c r="G553" s="676"/>
      <c r="H553" s="675" t="s">
        <v>156</v>
      </c>
      <c r="I553" s="676"/>
    </row>
    <row r="554" spans="1:21" s="2" customFormat="1" ht="15" customHeight="1" x14ac:dyDescent="0.3">
      <c r="A554" s="68" t="s">
        <v>127</v>
      </c>
      <c r="B554" s="68"/>
      <c r="C554" s="677" t="s">
        <v>134</v>
      </c>
      <c r="D554" s="678"/>
      <c r="E554" s="679"/>
      <c r="F554" s="643">
        <f>1.5*F543+1.4*(F548+F551)</f>
        <v>17.638975354964685</v>
      </c>
      <c r="G554" s="649"/>
      <c r="H554" s="644">
        <f>1.5*J543+1.6*(J548+J551)</f>
        <v>4.8442858606669343</v>
      </c>
      <c r="I554" s="674"/>
    </row>
    <row r="555" spans="1:21" s="2" customFormat="1" ht="15" customHeight="1" x14ac:dyDescent="0.3">
      <c r="A555" s="68" t="s">
        <v>128</v>
      </c>
      <c r="B555" s="68"/>
      <c r="C555" s="677" t="s">
        <v>133</v>
      </c>
      <c r="D555" s="678"/>
      <c r="E555" s="679"/>
      <c r="F555" s="643">
        <f>(F544+F548+F551+F552)/1.5</f>
        <v>6.2138298900129811</v>
      </c>
      <c r="G555" s="649"/>
      <c r="H555" s="644">
        <f>(J544+J548+J551+J552)</f>
        <v>2.376914945006491</v>
      </c>
      <c r="I555" s="674"/>
    </row>
    <row r="556" spans="1:21" s="2" customFormat="1" ht="15" customHeight="1" x14ac:dyDescent="0.3">
      <c r="A556" s="68" t="s">
        <v>129</v>
      </c>
      <c r="B556" s="68"/>
      <c r="C556" s="677" t="s">
        <v>131</v>
      </c>
      <c r="D556" s="678"/>
      <c r="E556" s="679"/>
      <c r="F556" s="643">
        <f>1.5*F546+1.4*(F548+F549+F550)</f>
        <v>16.112049654609859</v>
      </c>
      <c r="G556" s="649"/>
      <c r="H556" s="644">
        <f>1.5*J546+1.6*(J549+J550+J548)</f>
        <v>4.4564064990707646</v>
      </c>
      <c r="I556" s="674"/>
    </row>
    <row r="557" spans="1:21" s="2" customFormat="1" ht="15" customHeight="1" x14ac:dyDescent="0.3">
      <c r="A557" s="68" t="s">
        <v>130</v>
      </c>
      <c r="B557" s="68"/>
      <c r="C557" s="677" t="s">
        <v>132</v>
      </c>
      <c r="D557" s="678"/>
      <c r="E557" s="679"/>
      <c r="F557" s="643">
        <f>1.5*F547+1.4*(F548+F549+F550)</f>
        <v>19.190621478125241</v>
      </c>
      <c r="G557" s="649"/>
      <c r="H557" s="644">
        <f>1.5*J547+1.6*(J548+J549+J550)</f>
        <v>5.2221512489964148</v>
      </c>
      <c r="I557" s="674"/>
    </row>
    <row r="558" spans="1:21" s="2" customFormat="1" ht="12.75" x14ac:dyDescent="0.2">
      <c r="E558" s="196" t="s">
        <v>110</v>
      </c>
      <c r="F558" s="70">
        <f>MAX(F554:G557)</f>
        <v>19.190621478125241</v>
      </c>
      <c r="G558" s="2" t="s">
        <v>113</v>
      </c>
      <c r="H558" s="16" t="s">
        <v>111</v>
      </c>
      <c r="I558" s="70">
        <f>MAX(H554:I557)</f>
        <v>5.2221512489964148</v>
      </c>
      <c r="J558" s="2" t="s">
        <v>112</v>
      </c>
      <c r="L558" s="2" t="s">
        <v>168</v>
      </c>
    </row>
    <row r="559" spans="1:21" s="2" customFormat="1" ht="9" customHeight="1" x14ac:dyDescent="0.2">
      <c r="E559" s="193"/>
    </row>
    <row r="560" spans="1:21" s="2" customFormat="1" ht="12.75" x14ac:dyDescent="0.2">
      <c r="A560" s="649" t="s">
        <v>145</v>
      </c>
      <c r="B560" s="649"/>
      <c r="C560" s="649" t="s">
        <v>146</v>
      </c>
      <c r="D560" s="649"/>
      <c r="E560" s="193"/>
    </row>
    <row r="561" spans="1:27" s="2" customFormat="1" x14ac:dyDescent="0.2">
      <c r="A561" s="649">
        <v>100</v>
      </c>
      <c r="B561" s="649"/>
      <c r="C561" s="680">
        <f>(hs-pp)*100</f>
        <v>145</v>
      </c>
      <c r="D561" s="680"/>
      <c r="E561" s="672"/>
      <c r="F561" s="673"/>
      <c r="G561" s="673"/>
      <c r="H561" s="60"/>
    </row>
    <row r="562" spans="1:27" s="2" customFormat="1" ht="9" customHeight="1" x14ac:dyDescent="0.2">
      <c r="E562" s="193"/>
    </row>
    <row r="563" spans="1:27" s="2" customFormat="1" ht="12.75" x14ac:dyDescent="0.2">
      <c r="A563" s="71" t="s">
        <v>142</v>
      </c>
      <c r="E563" s="193"/>
    </row>
    <row r="564" spans="1:27" s="2" customFormat="1" ht="18" x14ac:dyDescent="0.35">
      <c r="A564" s="86" t="s">
        <v>144</v>
      </c>
      <c r="B564" s="9"/>
      <c r="C564" s="9"/>
      <c r="D564" s="553">
        <f>0.65*fctd*A561*C561</f>
        <v>108.38749999999999</v>
      </c>
      <c r="E564" s="168" t="s">
        <v>113</v>
      </c>
      <c r="F564" s="93" t="str">
        <f>" "&amp;IF(D564&lt;H564,"&lt;","&gt;")&amp;"     Vd ="</f>
        <v xml:space="preserve"> &gt;     Vd =</v>
      </c>
      <c r="G564" s="9"/>
      <c r="H564" s="553">
        <f>F558</f>
        <v>19.190621478125241</v>
      </c>
      <c r="I564" s="9" t="str">
        <f>E564</f>
        <v>t/m</v>
      </c>
      <c r="J564" s="94" t="str">
        <f>IF(D564&lt;H564,"not O.K.","O.K.")</f>
        <v>O.K.</v>
      </c>
      <c r="K564" s="9"/>
    </row>
    <row r="565" spans="1:27" s="2" customFormat="1" ht="18" x14ac:dyDescent="0.35">
      <c r="A565" s="86" t="s">
        <v>143</v>
      </c>
      <c r="B565" s="9"/>
      <c r="C565" s="9"/>
      <c r="D565" s="553">
        <f>0.9*0.22*fcd*A561*C561</f>
        <v>488.07</v>
      </c>
      <c r="E565" s="168" t="s">
        <v>113</v>
      </c>
      <c r="F565" s="93" t="str">
        <f>" "&amp;IF(D565&lt;H565,"&lt;","&gt;")&amp;"     Vd ="</f>
        <v xml:space="preserve"> &gt;     Vd =</v>
      </c>
      <c r="G565" s="9"/>
      <c r="H565" s="553">
        <f>H564</f>
        <v>19.190621478125241</v>
      </c>
      <c r="I565" s="9" t="str">
        <f>E565</f>
        <v>t/m</v>
      </c>
      <c r="J565" s="94" t="str">
        <f>IF(D565&lt;H565,"not O.K.","O.K.")</f>
        <v>O.K.</v>
      </c>
      <c r="K565" s="9"/>
    </row>
    <row r="566" spans="1:27" s="2" customFormat="1" ht="9.75" customHeight="1" x14ac:dyDescent="0.2">
      <c r="A566" s="9"/>
      <c r="B566" s="9"/>
      <c r="C566" s="9"/>
      <c r="D566" s="9"/>
      <c r="E566" s="168"/>
      <c r="F566" s="9"/>
      <c r="G566" s="9"/>
      <c r="H566" s="9"/>
      <c r="I566" s="9"/>
      <c r="J566" s="9"/>
      <c r="K566" s="9"/>
    </row>
    <row r="567" spans="1:27" s="2" customFormat="1" x14ac:dyDescent="0.2">
      <c r="A567" s="88" t="s">
        <v>203</v>
      </c>
      <c r="B567" s="12"/>
      <c r="C567" s="12"/>
      <c r="D567" s="12"/>
      <c r="E567" s="570"/>
      <c r="F567" s="567"/>
      <c r="G567" s="93"/>
      <c r="H567" s="567"/>
      <c r="I567" s="156"/>
      <c r="J567" s="9"/>
      <c r="K567" s="9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</row>
    <row r="568" spans="1:27" s="2" customFormat="1" ht="17.25" customHeight="1" x14ac:dyDescent="0.2">
      <c r="A568" s="648" t="str">
        <f>"A= "&amp;ROUND(A561/100,2)&amp;"x"&amp;C561/100&amp;"="</f>
        <v>A= 1x1.45=</v>
      </c>
      <c r="B568" s="648"/>
      <c r="C568" s="648"/>
      <c r="D568" s="553">
        <f>A561/100*C561/100</f>
        <v>1.45</v>
      </c>
      <c r="E568" s="556" t="s">
        <v>205</v>
      </c>
      <c r="F568" s="553"/>
      <c r="G568" s="553"/>
      <c r="H568" s="553"/>
      <c r="I568" s="553"/>
      <c r="J568" s="166"/>
      <c r="K568" s="166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</row>
    <row r="569" spans="1:27" s="2" customFormat="1" x14ac:dyDescent="0.2">
      <c r="A569" s="648" t="str">
        <f>"W= ("&amp;ROUND(A561/100,2)&amp;"x"&amp;ROUND(A561/100,2)&amp;"x"&amp;C561/100&amp;")/6="</f>
        <v>W= (1x1x1.45)/6=</v>
      </c>
      <c r="B569" s="648"/>
      <c r="C569" s="648"/>
      <c r="D569" s="59">
        <f>(A561/100)^2*hs/6</f>
        <v>0.25</v>
      </c>
      <c r="E569" s="464" t="s">
        <v>204</v>
      </c>
      <c r="F569" s="553"/>
      <c r="G569" s="553"/>
      <c r="H569" s="553"/>
      <c r="I569" s="553"/>
      <c r="J569" s="9"/>
      <c r="K569" s="9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</row>
    <row r="570" spans="1:27" s="2" customFormat="1" ht="15" x14ac:dyDescent="0.25">
      <c r="A570"/>
      <c r="B570" s="553"/>
      <c r="C570" s="262"/>
      <c r="D570" s="262"/>
      <c r="E570" s="262"/>
      <c r="F570" s="262"/>
      <c r="G570" s="262"/>
      <c r="H570" s="262"/>
      <c r="I570" s="262"/>
      <c r="J570" s="9"/>
      <c r="K570" s="9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</row>
    <row r="571" spans="1:27" s="218" customFormat="1" x14ac:dyDescent="0.2">
      <c r="A571" s="278"/>
      <c r="B571" s="278"/>
      <c r="C571" s="263" t="s">
        <v>206</v>
      </c>
      <c r="D571" s="264">
        <f>I558</f>
        <v>5.2221512489964148</v>
      </c>
      <c r="E571" s="265" t="s">
        <v>206</v>
      </c>
      <c r="F571" s="273">
        <f>D571/D572</f>
        <v>20.888604995985659</v>
      </c>
      <c r="G571" s="274" t="s">
        <v>208</v>
      </c>
      <c r="H571" s="313" t="str">
        <f>IF(fctd*10000&gt;F571," &lt; fctd   OK~Donatı Gerekmez"," &gt; fctd NOT OK~Donatı gerekir")</f>
        <v xml:space="preserve"> &lt; fctd   OK~Donatı Gerekmez</v>
      </c>
      <c r="I571" s="170"/>
      <c r="J571" s="168"/>
      <c r="K571" s="168"/>
      <c r="L571" s="261"/>
      <c r="M571" s="261"/>
      <c r="N571" s="261"/>
      <c r="O571" s="270"/>
      <c r="P571" s="270"/>
      <c r="Q571" s="270"/>
      <c r="R571" s="270"/>
      <c r="S571" s="270"/>
      <c r="T571" s="270"/>
      <c r="U571" s="270"/>
      <c r="V571" s="270"/>
      <c r="W571" s="270"/>
      <c r="X571" s="270"/>
      <c r="Y571" s="270"/>
      <c r="Z571" s="270"/>
      <c r="AA571" s="270"/>
    </row>
    <row r="572" spans="1:27" s="2" customFormat="1" x14ac:dyDescent="0.2">
      <c r="A572" s="144"/>
      <c r="B572" s="144"/>
      <c r="C572" s="252"/>
      <c r="D572" s="268">
        <f>D569</f>
        <v>0.25</v>
      </c>
      <c r="E572" s="265"/>
      <c r="F572" s="255"/>
      <c r="G572" s="252"/>
      <c r="H572" s="252"/>
      <c r="I572" s="252"/>
      <c r="J572" s="9"/>
      <c r="K572" s="9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</row>
    <row r="573" spans="1:27" x14ac:dyDescent="0.2">
      <c r="A573" s="144"/>
      <c r="B573" s="144"/>
      <c r="C573" s="252"/>
      <c r="D573" s="252"/>
      <c r="E573" s="265"/>
      <c r="F573" s="252"/>
      <c r="G573" s="252"/>
      <c r="H573" s="252"/>
      <c r="I573" s="252"/>
    </row>
    <row r="574" spans="1:27" hidden="1" x14ac:dyDescent="0.2">
      <c r="A574" s="452" t="s">
        <v>147</v>
      </c>
      <c r="B574" s="267"/>
      <c r="C574" s="267"/>
      <c r="D574" s="267"/>
      <c r="E574" s="267"/>
      <c r="F574" s="267"/>
      <c r="G574" s="267"/>
      <c r="H574" s="267"/>
    </row>
    <row r="575" spans="1:27" hidden="1" x14ac:dyDescent="0.2">
      <c r="A575" s="267" t="s">
        <v>335</v>
      </c>
      <c r="B575" s="267"/>
      <c r="C575" s="453">
        <v>22</v>
      </c>
      <c r="D575" s="454">
        <v>15</v>
      </c>
      <c r="E575" s="474" t="s">
        <v>336</v>
      </c>
      <c r="F575" s="455" t="s">
        <v>337</v>
      </c>
      <c r="G575" s="448">
        <f>((PI()*C575^2/4)*(A561/D575))/100</f>
        <v>25.342180738957669</v>
      </c>
      <c r="H575" s="267" t="s">
        <v>338</v>
      </c>
    </row>
    <row r="576" spans="1:27" hidden="1" x14ac:dyDescent="0.2">
      <c r="A576" s="267"/>
      <c r="B576" s="267"/>
      <c r="C576" s="267"/>
      <c r="D576" s="267"/>
      <c r="E576" s="267"/>
      <c r="F576" s="267"/>
      <c r="G576" s="267"/>
      <c r="H576" s="267"/>
    </row>
    <row r="577" spans="1:8" ht="15" hidden="1" x14ac:dyDescent="0.25">
      <c r="A577" s="267" t="s">
        <v>339</v>
      </c>
      <c r="B577" s="267"/>
      <c r="C577" s="456">
        <f>(I558*100)/(fyd*0.86*C561)</f>
        <v>1.1473346989479223</v>
      </c>
      <c r="D577" s="267"/>
      <c r="E577" s="267"/>
      <c r="F577" s="450" t="str">
        <f>IF(C577&gt;G575,"not O.K.","O.K.")</f>
        <v>O.K.</v>
      </c>
      <c r="G577" s="267"/>
      <c r="H577" s="521">
        <f>+G575*2</f>
        <v>50.684361477915338</v>
      </c>
    </row>
    <row r="578" spans="1:8" hidden="1" x14ac:dyDescent="0.2">
      <c r="A578" s="267" t="s">
        <v>341</v>
      </c>
      <c r="B578" s="267"/>
      <c r="C578" s="449">
        <f>0.002*A561*(C561+5)</f>
        <v>30</v>
      </c>
      <c r="D578" s="267"/>
      <c r="E578" s="267"/>
      <c r="F578" s="267"/>
      <c r="G578" s="267"/>
      <c r="H578" s="267"/>
    </row>
  </sheetData>
  <mergeCells count="635">
    <mergeCell ref="L246:L247"/>
    <mergeCell ref="L249:L250"/>
    <mergeCell ref="A245:L245"/>
    <mergeCell ref="A248:L248"/>
    <mergeCell ref="M234:M241"/>
    <mergeCell ref="M243:M250"/>
    <mergeCell ref="B246:D246"/>
    <mergeCell ref="B247:D247"/>
    <mergeCell ref="A242:M242"/>
    <mergeCell ref="B249:D249"/>
    <mergeCell ref="F249:G249"/>
    <mergeCell ref="I249:J249"/>
    <mergeCell ref="B250:D250"/>
    <mergeCell ref="F250:G250"/>
    <mergeCell ref="I250:J250"/>
    <mergeCell ref="A495:B495"/>
    <mergeCell ref="F495:G495"/>
    <mergeCell ref="H495:I495"/>
    <mergeCell ref="J495:K495"/>
    <mergeCell ref="A545:B545"/>
    <mergeCell ref="F545:G545"/>
    <mergeCell ref="H545:I545"/>
    <mergeCell ref="J545:K545"/>
    <mergeCell ref="R423:S423"/>
    <mergeCell ref="A433:D433"/>
    <mergeCell ref="E433:F433"/>
    <mergeCell ref="G433:H433"/>
    <mergeCell ref="E434:F434"/>
    <mergeCell ref="A437:D437"/>
    <mergeCell ref="E437:F437"/>
    <mergeCell ref="G437:H437"/>
    <mergeCell ref="A440:D440"/>
    <mergeCell ref="E440:F440"/>
    <mergeCell ref="G440:H440"/>
    <mergeCell ref="A441:D441"/>
    <mergeCell ref="E441:F441"/>
    <mergeCell ref="G441:H441"/>
    <mergeCell ref="A438:D438"/>
    <mergeCell ref="E438:F438"/>
    <mergeCell ref="U423:V423"/>
    <mergeCell ref="A424:D424"/>
    <mergeCell ref="E424:F424"/>
    <mergeCell ref="G424:H424"/>
    <mergeCell ref="A425:D425"/>
    <mergeCell ref="E425:F425"/>
    <mergeCell ref="G425:H425"/>
    <mergeCell ref="A426:D426"/>
    <mergeCell ref="E426:F426"/>
    <mergeCell ref="G426:H426"/>
    <mergeCell ref="A1:K1"/>
    <mergeCell ref="L4:P4"/>
    <mergeCell ref="A58:B58"/>
    <mergeCell ref="C58:D58"/>
    <mergeCell ref="A59:B59"/>
    <mergeCell ref="C59:D59"/>
    <mergeCell ref="B114:D114"/>
    <mergeCell ref="F114:G114"/>
    <mergeCell ref="I114:J114"/>
    <mergeCell ref="B115:D115"/>
    <mergeCell ref="F115:G115"/>
    <mergeCell ref="I115:J115"/>
    <mergeCell ref="A92:K92"/>
    <mergeCell ref="A112:E112"/>
    <mergeCell ref="F112:H112"/>
    <mergeCell ref="I112:K112"/>
    <mergeCell ref="B113:D113"/>
    <mergeCell ref="F113:G113"/>
    <mergeCell ref="I113:J113"/>
    <mergeCell ref="B118:D118"/>
    <mergeCell ref="F118:G118"/>
    <mergeCell ref="I118:J118"/>
    <mergeCell ref="B119:D119"/>
    <mergeCell ref="F119:G119"/>
    <mergeCell ref="I119:J119"/>
    <mergeCell ref="B116:D116"/>
    <mergeCell ref="F116:G116"/>
    <mergeCell ref="I116:J116"/>
    <mergeCell ref="B117:D117"/>
    <mergeCell ref="F117:G117"/>
    <mergeCell ref="I117:J117"/>
    <mergeCell ref="B122:D122"/>
    <mergeCell ref="F122:G122"/>
    <mergeCell ref="I122:J122"/>
    <mergeCell ref="A133:B133"/>
    <mergeCell ref="C133:D133"/>
    <mergeCell ref="B137:C137"/>
    <mergeCell ref="B120:D120"/>
    <mergeCell ref="F120:G120"/>
    <mergeCell ref="I120:J120"/>
    <mergeCell ref="B121:D121"/>
    <mergeCell ref="F121:G121"/>
    <mergeCell ref="I121:J121"/>
    <mergeCell ref="A145:B145"/>
    <mergeCell ref="C145:D145"/>
    <mergeCell ref="F145:G145"/>
    <mergeCell ref="A146:B146"/>
    <mergeCell ref="C146:D146"/>
    <mergeCell ref="F146:G146"/>
    <mergeCell ref="B138:C138"/>
    <mergeCell ref="A141:B141"/>
    <mergeCell ref="C141:D141"/>
    <mergeCell ref="E141:F141"/>
    <mergeCell ref="A142:B142"/>
    <mergeCell ref="C142:D142"/>
    <mergeCell ref="E142:F142"/>
    <mergeCell ref="B170:D170"/>
    <mergeCell ref="F170:G170"/>
    <mergeCell ref="I170:J170"/>
    <mergeCell ref="B171:D171"/>
    <mergeCell ref="F171:G171"/>
    <mergeCell ref="I171:J171"/>
    <mergeCell ref="A149:K149"/>
    <mergeCell ref="A168:E168"/>
    <mergeCell ref="F168:H168"/>
    <mergeCell ref="I168:K168"/>
    <mergeCell ref="B169:D169"/>
    <mergeCell ref="F169:G169"/>
    <mergeCell ref="I169:J169"/>
    <mergeCell ref="B174:D174"/>
    <mergeCell ref="F174:G174"/>
    <mergeCell ref="I174:J174"/>
    <mergeCell ref="B175:D175"/>
    <mergeCell ref="F175:G175"/>
    <mergeCell ref="I175:J175"/>
    <mergeCell ref="B172:D172"/>
    <mergeCell ref="F172:G172"/>
    <mergeCell ref="I172:J172"/>
    <mergeCell ref="B173:D173"/>
    <mergeCell ref="F173:G173"/>
    <mergeCell ref="I173:J173"/>
    <mergeCell ref="Q178:S178"/>
    <mergeCell ref="U178:V178"/>
    <mergeCell ref="X178:Y178"/>
    <mergeCell ref="B176:D176"/>
    <mergeCell ref="F176:G176"/>
    <mergeCell ref="I176:J176"/>
    <mergeCell ref="B177:D177"/>
    <mergeCell ref="F177:G177"/>
    <mergeCell ref="I177:J177"/>
    <mergeCell ref="B179:D179"/>
    <mergeCell ref="F179:G179"/>
    <mergeCell ref="I179:J179"/>
    <mergeCell ref="B180:D180"/>
    <mergeCell ref="F180:G180"/>
    <mergeCell ref="I180:J180"/>
    <mergeCell ref="B178:D178"/>
    <mergeCell ref="F178:G178"/>
    <mergeCell ref="I178:J178"/>
    <mergeCell ref="Q182:S182"/>
    <mergeCell ref="U182:V182"/>
    <mergeCell ref="X182:Y182"/>
    <mergeCell ref="B181:D181"/>
    <mergeCell ref="F181:G181"/>
    <mergeCell ref="I181:J181"/>
    <mergeCell ref="Q181:S181"/>
    <mergeCell ref="U181:V181"/>
    <mergeCell ref="X181:Y181"/>
    <mergeCell ref="B183:D183"/>
    <mergeCell ref="F183:G183"/>
    <mergeCell ref="I183:J183"/>
    <mergeCell ref="B184:D184"/>
    <mergeCell ref="F184:G184"/>
    <mergeCell ref="I184:J184"/>
    <mergeCell ref="B182:D182"/>
    <mergeCell ref="F182:G182"/>
    <mergeCell ref="I182:J182"/>
    <mergeCell ref="X188:Y188"/>
    <mergeCell ref="A189:B189"/>
    <mergeCell ref="C189:D189"/>
    <mergeCell ref="B193:C193"/>
    <mergeCell ref="B185:D185"/>
    <mergeCell ref="F185:G185"/>
    <mergeCell ref="I185:J185"/>
    <mergeCell ref="B186:D186"/>
    <mergeCell ref="F186:G186"/>
    <mergeCell ref="I186:J186"/>
    <mergeCell ref="B194:C194"/>
    <mergeCell ref="A197:B197"/>
    <mergeCell ref="C197:D197"/>
    <mergeCell ref="E197:F197"/>
    <mergeCell ref="A198:B198"/>
    <mergeCell ref="C198:D198"/>
    <mergeCell ref="E198:F198"/>
    <mergeCell ref="Q188:S188"/>
    <mergeCell ref="U188:V188"/>
    <mergeCell ref="A203:B203"/>
    <mergeCell ref="C203:D203"/>
    <mergeCell ref="F203:G203"/>
    <mergeCell ref="A204:B204"/>
    <mergeCell ref="C204:D204"/>
    <mergeCell ref="F204:G204"/>
    <mergeCell ref="A199:B199"/>
    <mergeCell ref="C199:D199"/>
    <mergeCell ref="E199:F199"/>
    <mergeCell ref="A202:B202"/>
    <mergeCell ref="C202:D202"/>
    <mergeCell ref="F202:G202"/>
    <mergeCell ref="B228:D228"/>
    <mergeCell ref="F228:G228"/>
    <mergeCell ref="I228:J228"/>
    <mergeCell ref="B229:D229"/>
    <mergeCell ref="F229:G229"/>
    <mergeCell ref="I229:J229"/>
    <mergeCell ref="A207:K207"/>
    <mergeCell ref="A226:E226"/>
    <mergeCell ref="F226:H226"/>
    <mergeCell ref="I226:K226"/>
    <mergeCell ref="B227:D227"/>
    <mergeCell ref="F227:G227"/>
    <mergeCell ref="I227:J227"/>
    <mergeCell ref="B235:D235"/>
    <mergeCell ref="F235:G235"/>
    <mergeCell ref="I235:J235"/>
    <mergeCell ref="B234:D234"/>
    <mergeCell ref="F234:G234"/>
    <mergeCell ref="I234:J234"/>
    <mergeCell ref="Q232:S232"/>
    <mergeCell ref="U232:V232"/>
    <mergeCell ref="X232:Y232"/>
    <mergeCell ref="B230:D230"/>
    <mergeCell ref="F230:G230"/>
    <mergeCell ref="I230:J230"/>
    <mergeCell ref="B231:D231"/>
    <mergeCell ref="F231:G231"/>
    <mergeCell ref="I231:J231"/>
    <mergeCell ref="B232:D232"/>
    <mergeCell ref="F232:G232"/>
    <mergeCell ref="I232:J232"/>
    <mergeCell ref="B237:D237"/>
    <mergeCell ref="F237:G237"/>
    <mergeCell ref="I237:J237"/>
    <mergeCell ref="B238:D238"/>
    <mergeCell ref="F238:G238"/>
    <mergeCell ref="I238:J238"/>
    <mergeCell ref="B240:D240"/>
    <mergeCell ref="F240:G240"/>
    <mergeCell ref="I240:J240"/>
    <mergeCell ref="B241:D241"/>
    <mergeCell ref="F241:G241"/>
    <mergeCell ref="I241:J241"/>
    <mergeCell ref="A239:L239"/>
    <mergeCell ref="A236:L236"/>
    <mergeCell ref="A233:M233"/>
    <mergeCell ref="B243:D243"/>
    <mergeCell ref="F243:G243"/>
    <mergeCell ref="I243:J243"/>
    <mergeCell ref="L234:L235"/>
    <mergeCell ref="L237:L238"/>
    <mergeCell ref="L240:L241"/>
    <mergeCell ref="L243:L244"/>
    <mergeCell ref="B254:D254"/>
    <mergeCell ref="F254:G254"/>
    <mergeCell ref="I254:J254"/>
    <mergeCell ref="B255:D255"/>
    <mergeCell ref="F255:G255"/>
    <mergeCell ref="I255:J255"/>
    <mergeCell ref="B244:D244"/>
    <mergeCell ref="F244:G244"/>
    <mergeCell ref="I244:J244"/>
    <mergeCell ref="A251:M251"/>
    <mergeCell ref="Q260:S260"/>
    <mergeCell ref="U260:V260"/>
    <mergeCell ref="X260:Y260"/>
    <mergeCell ref="B256:D256"/>
    <mergeCell ref="F256:G256"/>
    <mergeCell ref="I256:J256"/>
    <mergeCell ref="B257:D257"/>
    <mergeCell ref="F257:G257"/>
    <mergeCell ref="I257:J257"/>
    <mergeCell ref="A261:B261"/>
    <mergeCell ref="C261:D261"/>
    <mergeCell ref="B265:C265"/>
    <mergeCell ref="B266:C266"/>
    <mergeCell ref="A269:B269"/>
    <mergeCell ref="C269:D269"/>
    <mergeCell ref="B258:D258"/>
    <mergeCell ref="F258:G258"/>
    <mergeCell ref="I258:J258"/>
    <mergeCell ref="A275:B275"/>
    <mergeCell ref="C275:D275"/>
    <mergeCell ref="F275:G275"/>
    <mergeCell ref="A278:K278"/>
    <mergeCell ref="A297:E297"/>
    <mergeCell ref="F297:H297"/>
    <mergeCell ref="I297:K297"/>
    <mergeCell ref="A270:B270"/>
    <mergeCell ref="C270:D270"/>
    <mergeCell ref="A271:B271"/>
    <mergeCell ref="C271:D271"/>
    <mergeCell ref="E271:F271"/>
    <mergeCell ref="A274:B274"/>
    <mergeCell ref="C274:D274"/>
    <mergeCell ref="F274:G274"/>
    <mergeCell ref="B300:D300"/>
    <mergeCell ref="F300:G300"/>
    <mergeCell ref="I300:J300"/>
    <mergeCell ref="B301:D301"/>
    <mergeCell ref="F301:G301"/>
    <mergeCell ref="I301:J301"/>
    <mergeCell ref="B298:D298"/>
    <mergeCell ref="F298:G298"/>
    <mergeCell ref="I298:J298"/>
    <mergeCell ref="B299:D299"/>
    <mergeCell ref="F299:G299"/>
    <mergeCell ref="I299:J299"/>
    <mergeCell ref="B304:D304"/>
    <mergeCell ref="F304:G304"/>
    <mergeCell ref="I304:J304"/>
    <mergeCell ref="B305:D305"/>
    <mergeCell ref="F305:G305"/>
    <mergeCell ref="I305:J305"/>
    <mergeCell ref="B302:D302"/>
    <mergeCell ref="F302:G302"/>
    <mergeCell ref="I302:J302"/>
    <mergeCell ref="B303:D303"/>
    <mergeCell ref="F303:G303"/>
    <mergeCell ref="I303:J303"/>
    <mergeCell ref="B308:D308"/>
    <mergeCell ref="F308:G308"/>
    <mergeCell ref="I308:J308"/>
    <mergeCell ref="B309:D309"/>
    <mergeCell ref="F309:G309"/>
    <mergeCell ref="I309:J309"/>
    <mergeCell ref="B306:D306"/>
    <mergeCell ref="F306:G306"/>
    <mergeCell ref="I306:J306"/>
    <mergeCell ref="B307:D307"/>
    <mergeCell ref="F307:G307"/>
    <mergeCell ref="I307:J307"/>
    <mergeCell ref="B312:D312"/>
    <mergeCell ref="F312:G312"/>
    <mergeCell ref="I312:J312"/>
    <mergeCell ref="B313:D313"/>
    <mergeCell ref="F313:G313"/>
    <mergeCell ref="I313:J313"/>
    <mergeCell ref="B310:D310"/>
    <mergeCell ref="F310:G310"/>
    <mergeCell ref="I310:J310"/>
    <mergeCell ref="B311:D311"/>
    <mergeCell ref="F311:G311"/>
    <mergeCell ref="I311:J311"/>
    <mergeCell ref="B316:D316"/>
    <mergeCell ref="F316:G316"/>
    <mergeCell ref="I316:J316"/>
    <mergeCell ref="F317:G317"/>
    <mergeCell ref="A319:B319"/>
    <mergeCell ref="C319:D319"/>
    <mergeCell ref="B314:D314"/>
    <mergeCell ref="F314:G314"/>
    <mergeCell ref="I314:J314"/>
    <mergeCell ref="B315:D315"/>
    <mergeCell ref="F315:G315"/>
    <mergeCell ref="I315:J315"/>
    <mergeCell ref="A331:B331"/>
    <mergeCell ref="C331:D331"/>
    <mergeCell ref="F331:G331"/>
    <mergeCell ref="A332:B332"/>
    <mergeCell ref="C332:D332"/>
    <mergeCell ref="F332:G332"/>
    <mergeCell ref="B323:C323"/>
    <mergeCell ref="B324:C324"/>
    <mergeCell ref="A327:B327"/>
    <mergeCell ref="C327:D327"/>
    <mergeCell ref="E327:F327"/>
    <mergeCell ref="A328:B328"/>
    <mergeCell ref="C328:D328"/>
    <mergeCell ref="E328:F328"/>
    <mergeCell ref="B350:D350"/>
    <mergeCell ref="F350:G350"/>
    <mergeCell ref="I350:J350"/>
    <mergeCell ref="B351:D351"/>
    <mergeCell ref="F351:G351"/>
    <mergeCell ref="I351:J351"/>
    <mergeCell ref="A335:K335"/>
    <mergeCell ref="A348:E348"/>
    <mergeCell ref="F348:H348"/>
    <mergeCell ref="I348:K348"/>
    <mergeCell ref="B349:D349"/>
    <mergeCell ref="F349:G349"/>
    <mergeCell ref="I349:J349"/>
    <mergeCell ref="B354:D354"/>
    <mergeCell ref="F354:G354"/>
    <mergeCell ref="I354:J354"/>
    <mergeCell ref="B355:D355"/>
    <mergeCell ref="F355:G355"/>
    <mergeCell ref="I355:J355"/>
    <mergeCell ref="B352:D352"/>
    <mergeCell ref="F352:G352"/>
    <mergeCell ref="I352:J352"/>
    <mergeCell ref="B353:D353"/>
    <mergeCell ref="F353:G353"/>
    <mergeCell ref="I353:J353"/>
    <mergeCell ref="B358:D358"/>
    <mergeCell ref="F358:G358"/>
    <mergeCell ref="I358:J358"/>
    <mergeCell ref="L358:M358"/>
    <mergeCell ref="B359:D359"/>
    <mergeCell ref="F359:G359"/>
    <mergeCell ref="I359:J359"/>
    <mergeCell ref="L359:M359"/>
    <mergeCell ref="B356:D356"/>
    <mergeCell ref="F356:G356"/>
    <mergeCell ref="I356:J356"/>
    <mergeCell ref="B357:D357"/>
    <mergeCell ref="F357:G357"/>
    <mergeCell ref="I357:J357"/>
    <mergeCell ref="L362:M362"/>
    <mergeCell ref="B363:D363"/>
    <mergeCell ref="F363:G363"/>
    <mergeCell ref="I363:J363"/>
    <mergeCell ref="L363:M363"/>
    <mergeCell ref="B360:D360"/>
    <mergeCell ref="F360:G360"/>
    <mergeCell ref="I360:J360"/>
    <mergeCell ref="L360:M360"/>
    <mergeCell ref="B361:D361"/>
    <mergeCell ref="F361:G361"/>
    <mergeCell ref="I361:J361"/>
    <mergeCell ref="L361:M361"/>
    <mergeCell ref="B364:D364"/>
    <mergeCell ref="F364:G364"/>
    <mergeCell ref="I364:J364"/>
    <mergeCell ref="B365:D365"/>
    <mergeCell ref="F365:G365"/>
    <mergeCell ref="I365:J365"/>
    <mergeCell ref="B362:D362"/>
    <mergeCell ref="F362:G362"/>
    <mergeCell ref="I362:J362"/>
    <mergeCell ref="B368:D368"/>
    <mergeCell ref="F368:G368"/>
    <mergeCell ref="I368:J368"/>
    <mergeCell ref="F369:G369"/>
    <mergeCell ref="A371:B371"/>
    <mergeCell ref="C371:D371"/>
    <mergeCell ref="B366:D366"/>
    <mergeCell ref="F366:G366"/>
    <mergeCell ref="I366:J366"/>
    <mergeCell ref="B367:D367"/>
    <mergeCell ref="F367:G367"/>
    <mergeCell ref="I367:J367"/>
    <mergeCell ref="N380:O380"/>
    <mergeCell ref="L382:M382"/>
    <mergeCell ref="A383:B383"/>
    <mergeCell ref="C383:D383"/>
    <mergeCell ref="F383:G383"/>
    <mergeCell ref="L383:M383"/>
    <mergeCell ref="B375:C375"/>
    <mergeCell ref="B376:C376"/>
    <mergeCell ref="A379:B379"/>
    <mergeCell ref="C379:D379"/>
    <mergeCell ref="E379:F379"/>
    <mergeCell ref="A380:B380"/>
    <mergeCell ref="C380:D380"/>
    <mergeCell ref="E380:F380"/>
    <mergeCell ref="R409:S409"/>
    <mergeCell ref="U409:V409"/>
    <mergeCell ref="A410:D410"/>
    <mergeCell ref="E410:F410"/>
    <mergeCell ref="G410:H410"/>
    <mergeCell ref="M410:P410"/>
    <mergeCell ref="R410:S410"/>
    <mergeCell ref="U410:V410"/>
    <mergeCell ref="A384:B384"/>
    <mergeCell ref="C384:D384"/>
    <mergeCell ref="F384:G384"/>
    <mergeCell ref="L384:M384"/>
    <mergeCell ref="L385:M385"/>
    <mergeCell ref="E408:F408"/>
    <mergeCell ref="G408:H408"/>
    <mergeCell ref="I408:K408"/>
    <mergeCell ref="M412:P412"/>
    <mergeCell ref="R412:S412"/>
    <mergeCell ref="U412:V412"/>
    <mergeCell ref="E414:F414"/>
    <mergeCell ref="M414:P414"/>
    <mergeCell ref="R414:S414"/>
    <mergeCell ref="U414:V414"/>
    <mergeCell ref="A411:D411"/>
    <mergeCell ref="E411:F411"/>
    <mergeCell ref="G411:H411"/>
    <mergeCell ref="A412:D412"/>
    <mergeCell ref="E412:F412"/>
    <mergeCell ref="G412:H412"/>
    <mergeCell ref="A418:D418"/>
    <mergeCell ref="E418:F418"/>
    <mergeCell ref="G418:H418"/>
    <mergeCell ref="A419:D419"/>
    <mergeCell ref="E419:F419"/>
    <mergeCell ref="G419:H419"/>
    <mergeCell ref="M415:P415"/>
    <mergeCell ref="U415:V415"/>
    <mergeCell ref="R416:S416"/>
    <mergeCell ref="U416:V416"/>
    <mergeCell ref="A417:D417"/>
    <mergeCell ref="E417:F417"/>
    <mergeCell ref="G417:H417"/>
    <mergeCell ref="A420:D420"/>
    <mergeCell ref="E420:F420"/>
    <mergeCell ref="G420:H420"/>
    <mergeCell ref="E421:F421"/>
    <mergeCell ref="A432:D432"/>
    <mergeCell ref="E432:F432"/>
    <mergeCell ref="G432:H432"/>
    <mergeCell ref="A427:D427"/>
    <mergeCell ref="E427:F427"/>
    <mergeCell ref="G427:H427"/>
    <mergeCell ref="E428:F428"/>
    <mergeCell ref="G438:H438"/>
    <mergeCell ref="A439:D439"/>
    <mergeCell ref="E439:F439"/>
    <mergeCell ref="G439:H439"/>
    <mergeCell ref="A455:C455"/>
    <mergeCell ref="A472:K472"/>
    <mergeCell ref="M489:R489"/>
    <mergeCell ref="S489:U489"/>
    <mergeCell ref="V489:X489"/>
    <mergeCell ref="N490:Q490"/>
    <mergeCell ref="S490:T490"/>
    <mergeCell ref="V490:W490"/>
    <mergeCell ref="E442:F442"/>
    <mergeCell ref="A445:B445"/>
    <mergeCell ref="C445:D445"/>
    <mergeCell ref="A446:B446"/>
    <mergeCell ref="C446:D446"/>
    <mergeCell ref="A454:C454"/>
    <mergeCell ref="N491:Q491"/>
    <mergeCell ref="S491:T491"/>
    <mergeCell ref="V491:W491"/>
    <mergeCell ref="F492:G492"/>
    <mergeCell ref="H492:I492"/>
    <mergeCell ref="J492:K492"/>
    <mergeCell ref="N492:Q492"/>
    <mergeCell ref="S492:T492"/>
    <mergeCell ref="V492:W492"/>
    <mergeCell ref="V493:W493"/>
    <mergeCell ref="A494:B494"/>
    <mergeCell ref="F494:G494"/>
    <mergeCell ref="H494:I494"/>
    <mergeCell ref="J494:K494"/>
    <mergeCell ref="N494:Q494"/>
    <mergeCell ref="S494:T494"/>
    <mergeCell ref="V494:W494"/>
    <mergeCell ref="A493:B493"/>
    <mergeCell ref="F493:G493"/>
    <mergeCell ref="H493:I493"/>
    <mergeCell ref="J493:K493"/>
    <mergeCell ref="N493:Q493"/>
    <mergeCell ref="S493:T493"/>
    <mergeCell ref="F498:G498"/>
    <mergeCell ref="H498:I498"/>
    <mergeCell ref="J498:K498"/>
    <mergeCell ref="N498:Q498"/>
    <mergeCell ref="S498:T498"/>
    <mergeCell ref="V498:W498"/>
    <mergeCell ref="V496:W496"/>
    <mergeCell ref="A497:B497"/>
    <mergeCell ref="F497:G497"/>
    <mergeCell ref="H497:I497"/>
    <mergeCell ref="J497:K497"/>
    <mergeCell ref="N497:Q497"/>
    <mergeCell ref="S497:T497"/>
    <mergeCell ref="V497:W497"/>
    <mergeCell ref="A496:B496"/>
    <mergeCell ref="F496:G496"/>
    <mergeCell ref="H496:I496"/>
    <mergeCell ref="J496:K496"/>
    <mergeCell ref="N496:Q496"/>
    <mergeCell ref="S496:T496"/>
    <mergeCell ref="N506:P506"/>
    <mergeCell ref="N507:P507"/>
    <mergeCell ref="A511:C511"/>
    <mergeCell ref="A512:C512"/>
    <mergeCell ref="A524:K524"/>
    <mergeCell ref="F542:G542"/>
    <mergeCell ref="H542:I542"/>
    <mergeCell ref="J542:K542"/>
    <mergeCell ref="S499:T499"/>
    <mergeCell ref="A502:B502"/>
    <mergeCell ref="C502:D502"/>
    <mergeCell ref="M502:N502"/>
    <mergeCell ref="P502:Q502"/>
    <mergeCell ref="A503:B503"/>
    <mergeCell ref="C503:D503"/>
    <mergeCell ref="A546:B546"/>
    <mergeCell ref="F546:G546"/>
    <mergeCell ref="H546:I546"/>
    <mergeCell ref="J546:K546"/>
    <mergeCell ref="A547:B547"/>
    <mergeCell ref="F547:G547"/>
    <mergeCell ref="H547:I547"/>
    <mergeCell ref="J547:K547"/>
    <mergeCell ref="A543:B543"/>
    <mergeCell ref="F543:G543"/>
    <mergeCell ref="H543:I543"/>
    <mergeCell ref="J543:K543"/>
    <mergeCell ref="A544:B544"/>
    <mergeCell ref="F544:G544"/>
    <mergeCell ref="H544:I544"/>
    <mergeCell ref="J544:K544"/>
    <mergeCell ref="F550:G550"/>
    <mergeCell ref="H550:I550"/>
    <mergeCell ref="J550:K550"/>
    <mergeCell ref="F551:G551"/>
    <mergeCell ref="H551:I551"/>
    <mergeCell ref="J551:K551"/>
    <mergeCell ref="F548:G548"/>
    <mergeCell ref="H548:I548"/>
    <mergeCell ref="J548:K548"/>
    <mergeCell ref="F549:G549"/>
    <mergeCell ref="H549:I549"/>
    <mergeCell ref="J549:K549"/>
    <mergeCell ref="C555:E555"/>
    <mergeCell ref="F555:G555"/>
    <mergeCell ref="H555:I555"/>
    <mergeCell ref="C556:E556"/>
    <mergeCell ref="F556:G556"/>
    <mergeCell ref="H556:I556"/>
    <mergeCell ref="F552:G552"/>
    <mergeCell ref="H552:I552"/>
    <mergeCell ref="J552:K552"/>
    <mergeCell ref="F553:G553"/>
    <mergeCell ref="H553:I553"/>
    <mergeCell ref="C554:E554"/>
    <mergeCell ref="F554:G554"/>
    <mergeCell ref="H554:I554"/>
    <mergeCell ref="A568:C568"/>
    <mergeCell ref="A569:C569"/>
    <mergeCell ref="C557:E557"/>
    <mergeCell ref="F557:G557"/>
    <mergeCell ref="H557:I557"/>
    <mergeCell ref="A560:B560"/>
    <mergeCell ref="C560:D560"/>
    <mergeCell ref="A561:B561"/>
    <mergeCell ref="C561:D561"/>
    <mergeCell ref="E561:G561"/>
  </mergeCells>
  <pageMargins left="0.7" right="0.45" top="0.75" bottom="0.75" header="0.3" footer="0.3"/>
  <pageSetup paperSize="9" scale="90" orientation="portrait" horizontalDpi="1200" verticalDpi="1200" r:id="rId1"/>
  <headerFooter alignWithMargins="0"/>
  <rowBreaks count="8" manualBreakCount="8">
    <brk id="27" max="16383" man="1"/>
    <brk id="80" max="16383" man="1"/>
    <brk id="132" max="16383" man="1"/>
    <brk id="193" max="16383" man="1"/>
    <brk id="323" max="16383" man="1"/>
    <brk id="375" max="16383" man="1"/>
    <brk id="442" max="16383" man="1"/>
    <brk id="499" max="16383" man="1"/>
  </rowBreaks>
  <drawing r:id="rId2"/>
  <legacyDrawing r:id="rId3"/>
  <oleObjects>
    <mc:AlternateContent xmlns:mc="http://schemas.openxmlformats.org/markup-compatibility/2006">
      <mc:Choice Requires="x14">
        <oleObject progId="Equation.3" shapeId="347137" r:id="rId4">
          <objectPr defaultSize="0" autoPict="0" r:id="rId5">
            <anchor moveWithCells="1" sizeWithCells="1">
              <from>
                <xdr:col>0</xdr:col>
                <xdr:colOff>76200</xdr:colOff>
                <xdr:row>61</xdr:row>
                <xdr:rowOff>9525</xdr:rowOff>
              </from>
              <to>
                <xdr:col>6</xdr:col>
                <xdr:colOff>85725</xdr:colOff>
                <xdr:row>65</xdr:row>
                <xdr:rowOff>76200</xdr:rowOff>
              </to>
            </anchor>
          </objectPr>
        </oleObject>
      </mc:Choice>
      <mc:Fallback>
        <oleObject progId="Equation.3" shapeId="347137" r:id="rId4"/>
      </mc:Fallback>
    </mc:AlternateContent>
    <mc:AlternateContent xmlns:mc="http://schemas.openxmlformats.org/markup-compatibility/2006">
      <mc:Choice Requires="x14">
        <oleObject progId="Equation.3" shapeId="347138" r:id="rId6">
          <objectPr defaultSize="0" autoPict="0" r:id="rId7">
            <anchor moveWithCells="1" sizeWithCells="1">
              <from>
                <xdr:col>0</xdr:col>
                <xdr:colOff>95250</xdr:colOff>
                <xdr:row>67</xdr:row>
                <xdr:rowOff>19050</xdr:rowOff>
              </from>
              <to>
                <xdr:col>1</xdr:col>
                <xdr:colOff>209550</xdr:colOff>
                <xdr:row>69</xdr:row>
                <xdr:rowOff>123825</xdr:rowOff>
              </to>
            </anchor>
          </objectPr>
        </oleObject>
      </mc:Choice>
      <mc:Fallback>
        <oleObject progId="Equation.3" shapeId="347138" r:id="rId6"/>
      </mc:Fallback>
    </mc:AlternateContent>
    <mc:AlternateContent xmlns:mc="http://schemas.openxmlformats.org/markup-compatibility/2006">
      <mc:Choice Requires="x14">
        <oleObject progId="Equation.3" shapeId="347139" r:id="rId8">
          <objectPr defaultSize="0" autoPict="0" r:id="rId9">
            <anchor moveWithCells="1" sizeWithCells="1">
              <from>
                <xdr:col>0</xdr:col>
                <xdr:colOff>104775</xdr:colOff>
                <xdr:row>70</xdr:row>
                <xdr:rowOff>38100</xdr:rowOff>
              </from>
              <to>
                <xdr:col>2</xdr:col>
                <xdr:colOff>314325</xdr:colOff>
                <xdr:row>72</xdr:row>
                <xdr:rowOff>161925</xdr:rowOff>
              </to>
            </anchor>
          </objectPr>
        </oleObject>
      </mc:Choice>
      <mc:Fallback>
        <oleObject progId="Equation.3" shapeId="347139" r:id="rId8"/>
      </mc:Fallback>
    </mc:AlternateContent>
    <mc:AlternateContent xmlns:mc="http://schemas.openxmlformats.org/markup-compatibility/2006">
      <mc:Choice Requires="x14">
        <oleObject progId="Equation.3" shapeId="347140" r:id="rId10">
          <objectPr defaultSize="0" autoPict="0" r:id="rId11">
            <anchor moveWithCells="1" sizeWithCells="1">
              <from>
                <xdr:col>0</xdr:col>
                <xdr:colOff>104775</xdr:colOff>
                <xdr:row>73</xdr:row>
                <xdr:rowOff>0</xdr:rowOff>
              </from>
              <to>
                <xdr:col>3</xdr:col>
                <xdr:colOff>409575</xdr:colOff>
                <xdr:row>76</xdr:row>
                <xdr:rowOff>9525</xdr:rowOff>
              </to>
            </anchor>
          </objectPr>
        </oleObject>
      </mc:Choice>
      <mc:Fallback>
        <oleObject progId="Equation.3" shapeId="347140" r:id="rId10"/>
      </mc:Fallback>
    </mc:AlternateContent>
    <mc:AlternateContent xmlns:mc="http://schemas.openxmlformats.org/markup-compatibility/2006">
      <mc:Choice Requires="x14">
        <oleObject progId="Equation.3" shapeId="347141" r:id="rId12">
          <objectPr defaultSize="0" autoPict="0" r:id="rId13">
            <anchor moveWithCells="1" sizeWithCells="1">
              <from>
                <xdr:col>0</xdr:col>
                <xdr:colOff>95250</xdr:colOff>
                <xdr:row>76</xdr:row>
                <xdr:rowOff>57150</xdr:rowOff>
              </from>
              <to>
                <xdr:col>7</xdr:col>
                <xdr:colOff>352425</xdr:colOff>
                <xdr:row>80</xdr:row>
                <xdr:rowOff>85725</xdr:rowOff>
              </to>
            </anchor>
          </objectPr>
        </oleObject>
      </mc:Choice>
      <mc:Fallback>
        <oleObject progId="Equation.3" shapeId="347141" r:id="rId12"/>
      </mc:Fallback>
    </mc:AlternateContent>
    <mc:AlternateContent xmlns:mc="http://schemas.openxmlformats.org/markup-compatibility/2006">
      <mc:Choice Requires="x14">
        <oleObject progId="Equation.3" shapeId="347142" r:id="rId14">
          <objectPr defaultSize="0" autoPict="0" r:id="rId15">
            <anchor moveWithCells="1" sizeWithCells="1">
              <from>
                <xdr:col>3</xdr:col>
                <xdr:colOff>123825</xdr:colOff>
                <xdr:row>132</xdr:row>
                <xdr:rowOff>0</xdr:rowOff>
              </from>
              <to>
                <xdr:col>7</xdr:col>
                <xdr:colOff>314325</xdr:colOff>
                <xdr:row>135</xdr:row>
                <xdr:rowOff>180975</xdr:rowOff>
              </to>
            </anchor>
          </objectPr>
        </oleObject>
      </mc:Choice>
      <mc:Fallback>
        <oleObject progId="Equation.3" shapeId="347142" r:id="rId14"/>
      </mc:Fallback>
    </mc:AlternateContent>
    <mc:AlternateContent xmlns:mc="http://schemas.openxmlformats.org/markup-compatibility/2006">
      <mc:Choice Requires="x14">
        <oleObject progId="Equation.3" shapeId="347143" r:id="rId16">
          <objectPr defaultSize="0" autoPict="0" r:id="rId15">
            <anchor moveWithCells="1" sizeWithCells="1">
              <from>
                <xdr:col>3</xdr:col>
                <xdr:colOff>95250</xdr:colOff>
                <xdr:row>188</xdr:row>
                <xdr:rowOff>38100</xdr:rowOff>
              </from>
              <to>
                <xdr:col>7</xdr:col>
                <xdr:colOff>285750</xdr:colOff>
                <xdr:row>191</xdr:row>
                <xdr:rowOff>142875</xdr:rowOff>
              </to>
            </anchor>
          </objectPr>
        </oleObject>
      </mc:Choice>
      <mc:Fallback>
        <oleObject progId="Equation.3" shapeId="347143" r:id="rId16"/>
      </mc:Fallback>
    </mc:AlternateContent>
    <mc:AlternateContent xmlns:mc="http://schemas.openxmlformats.org/markup-compatibility/2006">
      <mc:Choice Requires="x14">
        <oleObject progId="Equation.3" shapeId="347144" r:id="rId17">
          <objectPr defaultSize="0" autoPict="0" r:id="rId15">
            <anchor moveWithCells="1" sizeWithCells="1">
              <from>
                <xdr:col>3</xdr:col>
                <xdr:colOff>76200</xdr:colOff>
                <xdr:row>318</xdr:row>
                <xdr:rowOff>123825</xdr:rowOff>
              </from>
              <to>
                <xdr:col>7</xdr:col>
                <xdr:colOff>266700</xdr:colOff>
                <xdr:row>322</xdr:row>
                <xdr:rowOff>0</xdr:rowOff>
              </to>
            </anchor>
          </objectPr>
        </oleObject>
      </mc:Choice>
      <mc:Fallback>
        <oleObject progId="Equation.3" shapeId="347144" r:id="rId17"/>
      </mc:Fallback>
    </mc:AlternateContent>
    <mc:AlternateContent xmlns:mc="http://schemas.openxmlformats.org/markup-compatibility/2006">
      <mc:Choice Requires="x14">
        <oleObject progId="Equation.3" shapeId="347145" r:id="rId18">
          <objectPr defaultSize="0" autoPict="0" r:id="rId15">
            <anchor moveWithCells="1" sizeWithCells="1">
              <from>
                <xdr:col>3</xdr:col>
                <xdr:colOff>209550</xdr:colOff>
                <xdr:row>370</xdr:row>
                <xdr:rowOff>133350</xdr:rowOff>
              </from>
              <to>
                <xdr:col>7</xdr:col>
                <xdr:colOff>400050</xdr:colOff>
                <xdr:row>374</xdr:row>
                <xdr:rowOff>85725</xdr:rowOff>
              </to>
            </anchor>
          </objectPr>
        </oleObject>
      </mc:Choice>
      <mc:Fallback>
        <oleObject progId="Equation.3" shapeId="347145" r:id="rId18"/>
      </mc:Fallback>
    </mc:AlternateContent>
    <mc:AlternateContent xmlns:mc="http://schemas.openxmlformats.org/markup-compatibility/2006">
      <mc:Choice Requires="x14">
        <oleObject progId="Equation.3" shapeId="347146" r:id="rId19">
          <objectPr defaultSize="0" autoPict="0" r:id="rId20">
            <anchor moveWithCells="1" sizeWithCells="1">
              <from>
                <xdr:col>0</xdr:col>
                <xdr:colOff>57150</xdr:colOff>
                <xdr:row>136</xdr:row>
                <xdr:rowOff>9525</xdr:rowOff>
              </from>
              <to>
                <xdr:col>0</xdr:col>
                <xdr:colOff>457200</xdr:colOff>
                <xdr:row>137</xdr:row>
                <xdr:rowOff>9525</xdr:rowOff>
              </to>
            </anchor>
          </objectPr>
        </oleObject>
      </mc:Choice>
      <mc:Fallback>
        <oleObject progId="Equation.3" shapeId="347146" r:id="rId19"/>
      </mc:Fallback>
    </mc:AlternateContent>
    <mc:AlternateContent xmlns:mc="http://schemas.openxmlformats.org/markup-compatibility/2006">
      <mc:Choice Requires="x14">
        <oleObject progId="Equation.3" shapeId="347147" r:id="rId21">
          <objectPr defaultSize="0" autoPict="0" r:id="rId22">
            <anchor moveWithCells="1" sizeWithCells="1">
              <from>
                <xdr:col>0</xdr:col>
                <xdr:colOff>38100</xdr:colOff>
                <xdr:row>192</xdr:row>
                <xdr:rowOff>9525</xdr:rowOff>
              </from>
              <to>
                <xdr:col>0</xdr:col>
                <xdr:colOff>438150</xdr:colOff>
                <xdr:row>193</xdr:row>
                <xdr:rowOff>9525</xdr:rowOff>
              </to>
            </anchor>
          </objectPr>
        </oleObject>
      </mc:Choice>
      <mc:Fallback>
        <oleObject progId="Equation.3" shapeId="347147" r:id="rId21"/>
      </mc:Fallback>
    </mc:AlternateContent>
    <mc:AlternateContent xmlns:mc="http://schemas.openxmlformats.org/markup-compatibility/2006">
      <mc:Choice Requires="x14">
        <oleObject progId="Equation.3" shapeId="347148" r:id="rId23">
          <objectPr defaultSize="0" autoPict="0" r:id="rId24">
            <anchor moveWithCells="1" sizeWithCells="1">
              <from>
                <xdr:col>0</xdr:col>
                <xdr:colOff>57150</xdr:colOff>
                <xdr:row>322</xdr:row>
                <xdr:rowOff>9525</xdr:rowOff>
              </from>
              <to>
                <xdr:col>0</xdr:col>
                <xdr:colOff>457200</xdr:colOff>
                <xdr:row>322</xdr:row>
                <xdr:rowOff>371475</xdr:rowOff>
              </to>
            </anchor>
          </objectPr>
        </oleObject>
      </mc:Choice>
      <mc:Fallback>
        <oleObject progId="Equation.3" shapeId="347148" r:id="rId23"/>
      </mc:Fallback>
    </mc:AlternateContent>
    <mc:AlternateContent xmlns:mc="http://schemas.openxmlformats.org/markup-compatibility/2006">
      <mc:Choice Requires="x14">
        <oleObject progId="Equation.3" shapeId="347149" r:id="rId25">
          <objectPr defaultSize="0" autoPict="0" r:id="rId26">
            <anchor moveWithCells="1" sizeWithCells="1">
              <from>
                <xdr:col>0</xdr:col>
                <xdr:colOff>47625</xdr:colOff>
                <xdr:row>374</xdr:row>
                <xdr:rowOff>9525</xdr:rowOff>
              </from>
              <to>
                <xdr:col>0</xdr:col>
                <xdr:colOff>447675</xdr:colOff>
                <xdr:row>375</xdr:row>
                <xdr:rowOff>9525</xdr:rowOff>
              </to>
            </anchor>
          </objectPr>
        </oleObject>
      </mc:Choice>
      <mc:Fallback>
        <oleObject progId="Equation.3" shapeId="347149" r:id="rId25"/>
      </mc:Fallback>
    </mc:AlternateContent>
    <mc:AlternateContent xmlns:mc="http://schemas.openxmlformats.org/markup-compatibility/2006">
      <mc:Choice Requires="x14">
        <oleObject progId="Equation.3" shapeId="347150" r:id="rId27">
          <objectPr defaultSize="0" autoPict="0" r:id="rId28">
            <anchor moveWithCells="1" sizeWithCells="1">
              <from>
                <xdr:col>1</xdr:col>
                <xdr:colOff>333375</xdr:colOff>
                <xdr:row>374</xdr:row>
                <xdr:rowOff>9525</xdr:rowOff>
              </from>
              <to>
                <xdr:col>2</xdr:col>
                <xdr:colOff>304800</xdr:colOff>
                <xdr:row>375</xdr:row>
                <xdr:rowOff>9525</xdr:rowOff>
              </to>
            </anchor>
          </objectPr>
        </oleObject>
      </mc:Choice>
      <mc:Fallback>
        <oleObject progId="Equation.3" shapeId="347150" r:id="rId27"/>
      </mc:Fallback>
    </mc:AlternateContent>
    <mc:AlternateContent xmlns:mc="http://schemas.openxmlformats.org/markup-compatibility/2006">
      <mc:Choice Requires="x14">
        <oleObject progId="Equation.3" shapeId="347151" r:id="rId29">
          <objectPr defaultSize="0" autoPict="0" r:id="rId30">
            <anchor moveWithCells="1" sizeWithCells="1">
              <from>
                <xdr:col>2</xdr:col>
                <xdr:colOff>152400</xdr:colOff>
                <xdr:row>322</xdr:row>
                <xdr:rowOff>38100</xdr:rowOff>
              </from>
              <to>
                <xdr:col>2</xdr:col>
                <xdr:colOff>657225</xdr:colOff>
                <xdr:row>323</xdr:row>
                <xdr:rowOff>0</xdr:rowOff>
              </to>
            </anchor>
          </objectPr>
        </oleObject>
      </mc:Choice>
      <mc:Fallback>
        <oleObject progId="Equation.3" shapeId="347151" r:id="rId29"/>
      </mc:Fallback>
    </mc:AlternateContent>
    <mc:AlternateContent xmlns:mc="http://schemas.openxmlformats.org/markup-compatibility/2006">
      <mc:Choice Requires="x14">
        <oleObject progId="Equation.3" shapeId="347152" r:id="rId31">
          <objectPr defaultSize="0" autoPict="0" r:id="rId32">
            <anchor moveWithCells="1" sizeWithCells="1">
              <from>
                <xdr:col>2</xdr:col>
                <xdr:colOff>142875</xdr:colOff>
                <xdr:row>191</xdr:row>
                <xdr:rowOff>180975</xdr:rowOff>
              </from>
              <to>
                <xdr:col>2</xdr:col>
                <xdr:colOff>647700</xdr:colOff>
                <xdr:row>192</xdr:row>
                <xdr:rowOff>342900</xdr:rowOff>
              </to>
            </anchor>
          </objectPr>
        </oleObject>
      </mc:Choice>
      <mc:Fallback>
        <oleObject progId="Equation.3" shapeId="347152" r:id="rId31"/>
      </mc:Fallback>
    </mc:AlternateContent>
    <mc:AlternateContent xmlns:mc="http://schemas.openxmlformats.org/markup-compatibility/2006">
      <mc:Choice Requires="x14">
        <oleObject progId="Equation.3" shapeId="347153" r:id="rId33">
          <objectPr defaultSize="0" autoPict="0" r:id="rId34">
            <anchor moveWithCells="1" sizeWithCells="1">
              <from>
                <xdr:col>1</xdr:col>
                <xdr:colOff>342900</xdr:colOff>
                <xdr:row>136</xdr:row>
                <xdr:rowOff>9525</xdr:rowOff>
              </from>
              <to>
                <xdr:col>2</xdr:col>
                <xdr:colOff>304800</xdr:colOff>
                <xdr:row>137</xdr:row>
                <xdr:rowOff>9525</xdr:rowOff>
              </to>
            </anchor>
          </objectPr>
        </oleObject>
      </mc:Choice>
      <mc:Fallback>
        <oleObject progId="Equation.3" shapeId="347153" r:id="rId33"/>
      </mc:Fallback>
    </mc:AlternateContent>
    <mc:AlternateContent xmlns:mc="http://schemas.openxmlformats.org/markup-compatibility/2006">
      <mc:Choice Requires="x14">
        <oleObject progId="Equation.3" shapeId="347154" r:id="rId35">
          <objectPr defaultSize="0" autoPict="0" r:id="rId36">
            <anchor moveWithCells="1" sizeWithCells="1">
              <from>
                <xdr:col>4</xdr:col>
                <xdr:colOff>228600</xdr:colOff>
                <xdr:row>140</xdr:row>
                <xdr:rowOff>19050</xdr:rowOff>
              </from>
              <to>
                <xdr:col>5</xdr:col>
                <xdr:colOff>295275</xdr:colOff>
                <xdr:row>140</xdr:row>
                <xdr:rowOff>419100</xdr:rowOff>
              </to>
            </anchor>
          </objectPr>
        </oleObject>
      </mc:Choice>
      <mc:Fallback>
        <oleObject progId="Equation.3" shapeId="347154" r:id="rId35"/>
      </mc:Fallback>
    </mc:AlternateContent>
    <mc:AlternateContent xmlns:mc="http://schemas.openxmlformats.org/markup-compatibility/2006">
      <mc:Choice Requires="x14">
        <oleObject progId="Equation.3" shapeId="347155" r:id="rId37">
          <objectPr defaultSize="0" autoPict="0" r:id="rId38">
            <anchor moveWithCells="1" sizeWithCells="1">
              <from>
                <xdr:col>4</xdr:col>
                <xdr:colOff>219075</xdr:colOff>
                <xdr:row>196</xdr:row>
                <xdr:rowOff>19050</xdr:rowOff>
              </from>
              <to>
                <xdr:col>5</xdr:col>
                <xdr:colOff>285750</xdr:colOff>
                <xdr:row>197</xdr:row>
                <xdr:rowOff>0</xdr:rowOff>
              </to>
            </anchor>
          </objectPr>
        </oleObject>
      </mc:Choice>
      <mc:Fallback>
        <oleObject progId="Equation.3" shapeId="347155" r:id="rId37"/>
      </mc:Fallback>
    </mc:AlternateContent>
    <mc:AlternateContent xmlns:mc="http://schemas.openxmlformats.org/markup-compatibility/2006">
      <mc:Choice Requires="x14">
        <oleObject progId="Equation.3" shapeId="347156" r:id="rId39">
          <objectPr defaultSize="0" autoPict="0" r:id="rId40">
            <anchor moveWithCells="1" sizeWithCells="1">
              <from>
                <xdr:col>4</xdr:col>
                <xdr:colOff>200025</xdr:colOff>
                <xdr:row>326</xdr:row>
                <xdr:rowOff>19050</xdr:rowOff>
              </from>
              <to>
                <xdr:col>5</xdr:col>
                <xdr:colOff>266700</xdr:colOff>
                <xdr:row>326</xdr:row>
                <xdr:rowOff>419100</xdr:rowOff>
              </to>
            </anchor>
          </objectPr>
        </oleObject>
      </mc:Choice>
      <mc:Fallback>
        <oleObject progId="Equation.3" shapeId="347156" r:id="rId39"/>
      </mc:Fallback>
    </mc:AlternateContent>
    <mc:AlternateContent xmlns:mc="http://schemas.openxmlformats.org/markup-compatibility/2006">
      <mc:Choice Requires="x14">
        <oleObject progId="Equation.3" shapeId="347157" r:id="rId41">
          <objectPr defaultSize="0" autoPict="0" r:id="rId42">
            <anchor moveWithCells="1" sizeWithCells="1">
              <from>
                <xdr:col>4</xdr:col>
                <xdr:colOff>238125</xdr:colOff>
                <xdr:row>378</xdr:row>
                <xdr:rowOff>0</xdr:rowOff>
              </from>
              <to>
                <xdr:col>5</xdr:col>
                <xdr:colOff>304800</xdr:colOff>
                <xdr:row>379</xdr:row>
                <xdr:rowOff>9525</xdr:rowOff>
              </to>
            </anchor>
          </objectPr>
        </oleObject>
      </mc:Choice>
      <mc:Fallback>
        <oleObject progId="Equation.3" shapeId="347157" r:id="rId41"/>
      </mc:Fallback>
    </mc:AlternateContent>
    <mc:AlternateContent xmlns:mc="http://schemas.openxmlformats.org/markup-compatibility/2006">
      <mc:Choice Requires="x14">
        <oleObject progId="Equation.3" shapeId="347158" r:id="rId43">
          <objectPr defaultSize="0" autoPict="0" r:id="rId44">
            <anchor moveWithCells="1" sizeWithCells="1">
              <from>
                <xdr:col>5</xdr:col>
                <xdr:colOff>152400</xdr:colOff>
                <xdr:row>382</xdr:row>
                <xdr:rowOff>9525</xdr:rowOff>
              </from>
              <to>
                <xdr:col>6</xdr:col>
                <xdr:colOff>295275</xdr:colOff>
                <xdr:row>383</xdr:row>
                <xdr:rowOff>0</xdr:rowOff>
              </to>
            </anchor>
          </objectPr>
        </oleObject>
      </mc:Choice>
      <mc:Fallback>
        <oleObject progId="Equation.3" shapeId="347158" r:id="rId43"/>
      </mc:Fallback>
    </mc:AlternateContent>
    <mc:AlternateContent xmlns:mc="http://schemas.openxmlformats.org/markup-compatibility/2006">
      <mc:Choice Requires="x14">
        <oleObject progId="Equation.3" shapeId="347159" r:id="rId45">
          <objectPr defaultSize="0" autoPict="0" r:id="rId46">
            <anchor moveWithCells="1" sizeWithCells="1">
              <from>
                <xdr:col>5</xdr:col>
                <xdr:colOff>171450</xdr:colOff>
                <xdr:row>330</xdr:row>
                <xdr:rowOff>9525</xdr:rowOff>
              </from>
              <to>
                <xdr:col>6</xdr:col>
                <xdr:colOff>314325</xdr:colOff>
                <xdr:row>331</xdr:row>
                <xdr:rowOff>0</xdr:rowOff>
              </to>
            </anchor>
          </objectPr>
        </oleObject>
      </mc:Choice>
      <mc:Fallback>
        <oleObject progId="Equation.3" shapeId="347159" r:id="rId45"/>
      </mc:Fallback>
    </mc:AlternateContent>
    <mc:AlternateContent xmlns:mc="http://schemas.openxmlformats.org/markup-compatibility/2006">
      <mc:Choice Requires="x14">
        <oleObject progId="Equation.3" shapeId="347160" r:id="rId47">
          <objectPr defaultSize="0" autoPict="0" r:id="rId48">
            <anchor moveWithCells="1" sizeWithCells="1">
              <from>
                <xdr:col>5</xdr:col>
                <xdr:colOff>228600</xdr:colOff>
                <xdr:row>200</xdr:row>
                <xdr:rowOff>171450</xdr:rowOff>
              </from>
              <to>
                <xdr:col>6</xdr:col>
                <xdr:colOff>371475</xdr:colOff>
                <xdr:row>202</xdr:row>
                <xdr:rowOff>9525</xdr:rowOff>
              </to>
            </anchor>
          </objectPr>
        </oleObject>
      </mc:Choice>
      <mc:Fallback>
        <oleObject progId="Equation.3" shapeId="347160" r:id="rId47"/>
      </mc:Fallback>
    </mc:AlternateContent>
    <mc:AlternateContent xmlns:mc="http://schemas.openxmlformats.org/markup-compatibility/2006">
      <mc:Choice Requires="x14">
        <oleObject progId="Equation.3" shapeId="347161" r:id="rId49">
          <objectPr defaultSize="0" autoPict="0" r:id="rId50">
            <anchor moveWithCells="1" sizeWithCells="1">
              <from>
                <xdr:col>5</xdr:col>
                <xdr:colOff>238125</xdr:colOff>
                <xdr:row>144</xdr:row>
                <xdr:rowOff>19050</xdr:rowOff>
              </from>
              <to>
                <xdr:col>6</xdr:col>
                <xdr:colOff>381000</xdr:colOff>
                <xdr:row>145</xdr:row>
                <xdr:rowOff>0</xdr:rowOff>
              </to>
            </anchor>
          </objectPr>
        </oleObject>
      </mc:Choice>
      <mc:Fallback>
        <oleObject progId="Equation.3" shapeId="347161" r:id="rId49"/>
      </mc:Fallback>
    </mc:AlternateContent>
    <mc:AlternateContent xmlns:mc="http://schemas.openxmlformats.org/markup-compatibility/2006">
      <mc:Choice Requires="x14">
        <oleObject progId="AutoCAD.Drawing.17" shapeId="347162" r:id="rId51">
          <objectPr defaultSize="0" autoPict="0" r:id="rId52">
            <anchor moveWithCells="1">
              <from>
                <xdr:col>1</xdr:col>
                <xdr:colOff>333375</xdr:colOff>
                <xdr:row>1</xdr:row>
                <xdr:rowOff>85725</xdr:rowOff>
              </from>
              <to>
                <xdr:col>6</xdr:col>
                <xdr:colOff>228600</xdr:colOff>
                <xdr:row>18</xdr:row>
                <xdr:rowOff>104775</xdr:rowOff>
              </to>
            </anchor>
          </objectPr>
        </oleObject>
      </mc:Choice>
      <mc:Fallback>
        <oleObject progId="AutoCAD.Drawing.17" shapeId="347162" r:id="rId51"/>
      </mc:Fallback>
    </mc:AlternateContent>
    <mc:AlternateContent xmlns:mc="http://schemas.openxmlformats.org/markup-compatibility/2006">
      <mc:Choice Requires="x14">
        <oleObject progId="Equation.3" shapeId="347163" r:id="rId53">
          <objectPr defaultSize="0" autoPict="0" r:id="rId54">
            <anchor moveWithCells="1" sizeWithCells="1">
              <from>
                <xdr:col>0</xdr:col>
                <xdr:colOff>57150</xdr:colOff>
                <xdr:row>85</xdr:row>
                <xdr:rowOff>9525</xdr:rowOff>
              </from>
              <to>
                <xdr:col>6</xdr:col>
                <xdr:colOff>142875</xdr:colOff>
                <xdr:row>89</xdr:row>
                <xdr:rowOff>66675</xdr:rowOff>
              </to>
            </anchor>
          </objectPr>
        </oleObject>
      </mc:Choice>
      <mc:Fallback>
        <oleObject progId="Equation.3" shapeId="347163" r:id="rId53"/>
      </mc:Fallback>
    </mc:AlternateContent>
    <mc:AlternateContent xmlns:mc="http://schemas.openxmlformats.org/markup-compatibility/2006">
      <mc:Choice Requires="x14">
        <oleObject progId="AutoCAD.Drawing.17" shapeId="347164" r:id="rId55">
          <objectPr defaultSize="0" autoPict="0" r:id="rId56">
            <anchor moveWithCells="1">
              <from>
                <xdr:col>0</xdr:col>
                <xdr:colOff>0</xdr:colOff>
                <xdr:row>121</xdr:row>
                <xdr:rowOff>66675</xdr:rowOff>
              </from>
              <to>
                <xdr:col>3</xdr:col>
                <xdr:colOff>1209675</xdr:colOff>
                <xdr:row>216</xdr:row>
                <xdr:rowOff>171450</xdr:rowOff>
              </to>
            </anchor>
          </objectPr>
        </oleObject>
      </mc:Choice>
      <mc:Fallback>
        <oleObject progId="AutoCAD.Drawing.17" shapeId="347164" r:id="rId55"/>
      </mc:Fallback>
    </mc:AlternateContent>
    <mc:AlternateContent xmlns:mc="http://schemas.openxmlformats.org/markup-compatibility/2006">
      <mc:Choice Requires="x14">
        <oleObject progId="Equation.3" shapeId="347165" r:id="rId57">
          <objectPr defaultSize="0" autoPict="0" r:id="rId15">
            <anchor moveWithCells="1" sizeWithCells="1">
              <from>
                <xdr:col>3</xdr:col>
                <xdr:colOff>95250</xdr:colOff>
                <xdr:row>260</xdr:row>
                <xdr:rowOff>38100</xdr:rowOff>
              </from>
              <to>
                <xdr:col>7</xdr:col>
                <xdr:colOff>285750</xdr:colOff>
                <xdr:row>263</xdr:row>
                <xdr:rowOff>142875</xdr:rowOff>
              </to>
            </anchor>
          </objectPr>
        </oleObject>
      </mc:Choice>
      <mc:Fallback>
        <oleObject progId="Equation.3" shapeId="347165" r:id="rId57"/>
      </mc:Fallback>
    </mc:AlternateContent>
    <mc:AlternateContent xmlns:mc="http://schemas.openxmlformats.org/markup-compatibility/2006">
      <mc:Choice Requires="x14">
        <oleObject progId="Equation.3" shapeId="347166" r:id="rId58">
          <objectPr defaultSize="0" autoPict="0" r:id="rId22">
            <anchor moveWithCells="1" sizeWithCells="1">
              <from>
                <xdr:col>0</xdr:col>
                <xdr:colOff>38100</xdr:colOff>
                <xdr:row>264</xdr:row>
                <xdr:rowOff>9525</xdr:rowOff>
              </from>
              <to>
                <xdr:col>0</xdr:col>
                <xdr:colOff>438150</xdr:colOff>
                <xdr:row>265</xdr:row>
                <xdr:rowOff>9525</xdr:rowOff>
              </to>
            </anchor>
          </objectPr>
        </oleObject>
      </mc:Choice>
      <mc:Fallback>
        <oleObject progId="Equation.3" shapeId="347166" r:id="rId58"/>
      </mc:Fallback>
    </mc:AlternateContent>
    <mc:AlternateContent xmlns:mc="http://schemas.openxmlformats.org/markup-compatibility/2006">
      <mc:Choice Requires="x14">
        <oleObject progId="Equation.3" shapeId="347167" r:id="rId59">
          <objectPr defaultSize="0" autoPict="0" r:id="rId32">
            <anchor moveWithCells="1" sizeWithCells="1">
              <from>
                <xdr:col>1</xdr:col>
                <xdr:colOff>333375</xdr:colOff>
                <xdr:row>264</xdr:row>
                <xdr:rowOff>0</xdr:rowOff>
              </from>
              <to>
                <xdr:col>2</xdr:col>
                <xdr:colOff>304800</xdr:colOff>
                <xdr:row>265</xdr:row>
                <xdr:rowOff>0</xdr:rowOff>
              </to>
            </anchor>
          </objectPr>
        </oleObject>
      </mc:Choice>
      <mc:Fallback>
        <oleObject progId="Equation.3" shapeId="347167" r:id="rId59"/>
      </mc:Fallback>
    </mc:AlternateContent>
    <mc:AlternateContent xmlns:mc="http://schemas.openxmlformats.org/markup-compatibility/2006">
      <mc:Choice Requires="x14">
        <oleObject progId="Equation.3" shapeId="347168" r:id="rId60">
          <objectPr defaultSize="0" autoPict="0" r:id="rId38">
            <anchor moveWithCells="1" sizeWithCells="1">
              <from>
                <xdr:col>4</xdr:col>
                <xdr:colOff>295275</xdr:colOff>
                <xdr:row>268</xdr:row>
                <xdr:rowOff>19050</xdr:rowOff>
              </from>
              <to>
                <xdr:col>6</xdr:col>
                <xdr:colOff>104775</xdr:colOff>
                <xdr:row>268</xdr:row>
                <xdr:rowOff>419100</xdr:rowOff>
              </to>
            </anchor>
          </objectPr>
        </oleObject>
      </mc:Choice>
      <mc:Fallback>
        <oleObject progId="Equation.3" shapeId="347168" r:id="rId60"/>
      </mc:Fallback>
    </mc:AlternateContent>
    <mc:AlternateContent xmlns:mc="http://schemas.openxmlformats.org/markup-compatibility/2006">
      <mc:Choice Requires="x14">
        <oleObject progId="Equation.3" shapeId="347169" r:id="rId61">
          <objectPr defaultSize="0" autoPict="0" r:id="rId48">
            <anchor moveWithCells="1" sizeWithCells="1">
              <from>
                <xdr:col>5</xdr:col>
                <xdr:colOff>228600</xdr:colOff>
                <xdr:row>272</xdr:row>
                <xdr:rowOff>171450</xdr:rowOff>
              </from>
              <to>
                <xdr:col>6</xdr:col>
                <xdr:colOff>371475</xdr:colOff>
                <xdr:row>274</xdr:row>
                <xdr:rowOff>9525</xdr:rowOff>
              </to>
            </anchor>
          </objectPr>
        </oleObject>
      </mc:Choice>
      <mc:Fallback>
        <oleObject progId="Equation.3" shapeId="347169" r:id="rId61"/>
      </mc:Fallback>
    </mc:AlternateContent>
    <mc:AlternateContent xmlns:mc="http://schemas.openxmlformats.org/markup-compatibility/2006">
      <mc:Choice Requires="x14">
        <oleObject progId="AutoCAD.Drawing.17" shapeId="347170" r:id="rId62">
          <objectPr defaultSize="0" autoPict="0" r:id="rId63">
            <anchor moveWithCells="1">
              <from>
                <xdr:col>1</xdr:col>
                <xdr:colOff>266700</xdr:colOff>
                <xdr:row>202</xdr:row>
                <xdr:rowOff>161925</xdr:rowOff>
              </from>
              <to>
                <xdr:col>8</xdr:col>
                <xdr:colOff>371475</xdr:colOff>
                <xdr:row>225</xdr:row>
                <xdr:rowOff>209550</xdr:rowOff>
              </to>
            </anchor>
          </objectPr>
        </oleObject>
      </mc:Choice>
      <mc:Fallback>
        <oleObject progId="AutoCAD.Drawing.17" shapeId="347170" r:id="rId62"/>
      </mc:Fallback>
    </mc:AlternateContent>
    <mc:AlternateContent xmlns:mc="http://schemas.openxmlformats.org/markup-compatibility/2006">
      <mc:Choice Requires="x14">
        <oleObject progId="AutoCAD.Drawing.17" shapeId="347171" r:id="rId64">
          <objectPr defaultSize="0" autoPict="0" r:id="rId65">
            <anchor moveWithCells="1">
              <from>
                <xdr:col>2</xdr:col>
                <xdr:colOff>304800</xdr:colOff>
                <xdr:row>146</xdr:row>
                <xdr:rowOff>85725</xdr:rowOff>
              </from>
              <to>
                <xdr:col>9</xdr:col>
                <xdr:colOff>247650</xdr:colOff>
                <xdr:row>225</xdr:row>
                <xdr:rowOff>266700</xdr:rowOff>
              </to>
            </anchor>
          </objectPr>
        </oleObject>
      </mc:Choice>
      <mc:Fallback>
        <oleObject progId="AutoCAD.Drawing.17" shapeId="347171" r:id="rId64"/>
      </mc:Fallback>
    </mc:AlternateContent>
    <mc:AlternateContent xmlns:mc="http://schemas.openxmlformats.org/markup-compatibility/2006">
      <mc:Choice Requires="x14">
        <oleObject progId="AutoCAD.Drawing.17" shapeId="347172" r:id="rId66">
          <objectPr defaultSize="0" autoPict="0" r:id="rId67">
            <anchor moveWithCells="1">
              <from>
                <xdr:col>2</xdr:col>
                <xdr:colOff>133350</xdr:colOff>
                <xdr:row>90</xdr:row>
                <xdr:rowOff>28575</xdr:rowOff>
              </from>
              <to>
                <xdr:col>8</xdr:col>
                <xdr:colOff>676275</xdr:colOff>
                <xdr:row>224</xdr:row>
                <xdr:rowOff>142875</xdr:rowOff>
              </to>
            </anchor>
          </objectPr>
        </oleObject>
      </mc:Choice>
      <mc:Fallback>
        <oleObject progId="AutoCAD.Drawing.17" shapeId="347172" r:id="rId66"/>
      </mc:Fallback>
    </mc:AlternateContent>
    <mc:AlternateContent xmlns:mc="http://schemas.openxmlformats.org/markup-compatibility/2006">
      <mc:Choice Requires="x14">
        <oleObject progId="AutoCAD.Drawing.17" shapeId="347173" r:id="rId68">
          <objectPr defaultSize="0" autoPict="0" r:id="rId69">
            <anchor moveWithCells="1">
              <from>
                <xdr:col>1</xdr:col>
                <xdr:colOff>295275</xdr:colOff>
                <xdr:row>278</xdr:row>
                <xdr:rowOff>28575</xdr:rowOff>
              </from>
              <to>
                <xdr:col>8</xdr:col>
                <xdr:colOff>523875</xdr:colOff>
                <xdr:row>295</xdr:row>
                <xdr:rowOff>0</xdr:rowOff>
              </to>
            </anchor>
          </objectPr>
        </oleObject>
      </mc:Choice>
      <mc:Fallback>
        <oleObject progId="AutoCAD.Drawing.17" shapeId="347173" r:id="rId68"/>
      </mc:Fallback>
    </mc:AlternateContent>
    <mc:AlternateContent xmlns:mc="http://schemas.openxmlformats.org/markup-compatibility/2006">
      <mc:Choice Requires="x14">
        <oleObject progId="AutoCAD.Drawing.17" shapeId="347174" r:id="rId70">
          <objectPr defaultSize="0" autoPict="0" r:id="rId71">
            <anchor moveWithCells="1">
              <from>
                <xdr:col>2</xdr:col>
                <xdr:colOff>133350</xdr:colOff>
                <xdr:row>335</xdr:row>
                <xdr:rowOff>95250</xdr:rowOff>
              </from>
              <to>
                <xdr:col>9</xdr:col>
                <xdr:colOff>114300</xdr:colOff>
                <xdr:row>346</xdr:row>
                <xdr:rowOff>66675</xdr:rowOff>
              </to>
            </anchor>
          </objectPr>
        </oleObject>
      </mc:Choice>
      <mc:Fallback>
        <oleObject progId="AutoCAD.Drawing.17" shapeId="347174" r:id="rId70"/>
      </mc:Fallback>
    </mc:AlternateContent>
    <mc:AlternateContent xmlns:mc="http://schemas.openxmlformats.org/markup-compatibility/2006">
      <mc:Choice Requires="x14">
        <oleObject progId="AutoCAD.Drawing.17" shapeId="347175" r:id="rId72">
          <objectPr defaultSize="0" autoPict="0" r:id="rId73">
            <anchor moveWithCells="1">
              <from>
                <xdr:col>2</xdr:col>
                <xdr:colOff>885825</xdr:colOff>
                <xdr:row>472</xdr:row>
                <xdr:rowOff>171450</xdr:rowOff>
              </from>
              <to>
                <xdr:col>6</xdr:col>
                <xdr:colOff>47625</xdr:colOff>
                <xdr:row>490</xdr:row>
                <xdr:rowOff>47625</xdr:rowOff>
              </to>
            </anchor>
          </objectPr>
        </oleObject>
      </mc:Choice>
      <mc:Fallback>
        <oleObject progId="AutoCAD.Drawing.17" shapeId="347175" r:id="rId72"/>
      </mc:Fallback>
    </mc:AlternateContent>
    <mc:AlternateContent xmlns:mc="http://schemas.openxmlformats.org/markup-compatibility/2006">
      <mc:Choice Requires="x14">
        <oleObject progId="AutoCAD.Drawing.17" shapeId="347176" r:id="rId74">
          <objectPr defaultSize="0" autoPict="0" r:id="rId75">
            <anchor moveWithCells="1">
              <from>
                <xdr:col>2</xdr:col>
                <xdr:colOff>790575</xdr:colOff>
                <xdr:row>522</xdr:row>
                <xdr:rowOff>114300</xdr:rowOff>
              </from>
              <to>
                <xdr:col>9</xdr:col>
                <xdr:colOff>180975</xdr:colOff>
                <xdr:row>541</xdr:row>
                <xdr:rowOff>171450</xdr:rowOff>
              </to>
            </anchor>
          </objectPr>
        </oleObject>
      </mc:Choice>
      <mc:Fallback>
        <oleObject progId="AutoCAD.Drawing.17" shapeId="347176" r:id="rId74"/>
      </mc:Fallback>
    </mc:AlternateContent>
  </oleObjec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3"/>
  <dimension ref="A1:U13"/>
  <sheetViews>
    <sheetView showRuler="0" workbookViewId="0">
      <selection activeCell="T6" sqref="T6"/>
    </sheetView>
  </sheetViews>
  <sheetFormatPr defaultRowHeight="15" x14ac:dyDescent="0.25"/>
  <cols>
    <col min="2" max="2" width="16.42578125" customWidth="1"/>
    <col min="8" max="8" width="12.42578125" customWidth="1"/>
    <col min="10" max="10" width="13" bestFit="1" customWidth="1"/>
    <col min="11" max="11" width="9.140625" style="774"/>
    <col min="13" max="13" width="16.42578125" customWidth="1"/>
    <col min="19" max="19" width="12.42578125" customWidth="1"/>
    <col min="21" max="21" width="13" bestFit="1" customWidth="1"/>
  </cols>
  <sheetData>
    <row r="1" spans="1:21" ht="48" customHeight="1" x14ac:dyDescent="0.25">
      <c r="A1" s="782"/>
      <c r="B1" s="783"/>
      <c r="C1" s="776" t="s">
        <v>369</v>
      </c>
      <c r="D1" s="777"/>
      <c r="E1" s="777"/>
      <c r="F1" s="778"/>
      <c r="G1" s="779" t="s">
        <v>367</v>
      </c>
      <c r="H1" s="780"/>
      <c r="I1" s="779" t="s">
        <v>368</v>
      </c>
      <c r="J1" s="780"/>
      <c r="L1" s="782"/>
      <c r="M1" s="783"/>
      <c r="N1" s="776" t="s">
        <v>369</v>
      </c>
      <c r="O1" s="777"/>
      <c r="P1" s="777"/>
      <c r="Q1" s="778"/>
      <c r="R1" s="779" t="s">
        <v>367</v>
      </c>
      <c r="S1" s="780"/>
      <c r="T1" s="779" t="s">
        <v>368</v>
      </c>
      <c r="U1" s="780"/>
    </row>
    <row r="2" spans="1:21" ht="16.5" customHeight="1" x14ac:dyDescent="0.25">
      <c r="A2" s="781" t="s">
        <v>191</v>
      </c>
      <c r="B2" s="781"/>
      <c r="C2" s="780" t="str">
        <f>"σmax &lt; "&amp;ROUND('A0=0.553g'!I49,2)</f>
        <v>σmax &lt; 400</v>
      </c>
      <c r="D2" s="780"/>
      <c r="E2" s="780" t="s">
        <v>196</v>
      </c>
      <c r="F2" s="780"/>
      <c r="G2" s="779" t="s">
        <v>197</v>
      </c>
      <c r="H2" s="780"/>
      <c r="I2" s="779" t="s">
        <v>198</v>
      </c>
      <c r="J2" s="780"/>
      <c r="L2" s="781" t="s">
        <v>191</v>
      </c>
      <c r="M2" s="781"/>
      <c r="N2" s="780" t="str">
        <f>"σmax &lt; "&amp;ROUND('A0=0.553g'!I49,2)</f>
        <v>σmax &lt; 400</v>
      </c>
      <c r="O2" s="780"/>
      <c r="P2" s="780" t="s">
        <v>196</v>
      </c>
      <c r="Q2" s="780"/>
      <c r="R2" s="779" t="s">
        <v>197</v>
      </c>
      <c r="S2" s="780"/>
      <c r="T2" s="779" t="s">
        <v>198</v>
      </c>
      <c r="U2" s="780"/>
    </row>
    <row r="3" spans="1:21" ht="32.1" customHeight="1" x14ac:dyDescent="0.25">
      <c r="A3" s="228" t="s">
        <v>192</v>
      </c>
      <c r="B3" s="227" t="s">
        <v>363</v>
      </c>
      <c r="C3" s="229">
        <f>'A0=0.553g'!E137</f>
        <v>30.817925363040725</v>
      </c>
      <c r="D3" s="230" t="str">
        <f>'A0=0.553g'!K137</f>
        <v>O.K.</v>
      </c>
      <c r="E3" s="229">
        <f>'A0=0.553g'!E138</f>
        <v>1.9392417365014747</v>
      </c>
      <c r="F3" s="230" t="str">
        <f>'A0=0.553g'!J146</f>
        <v>O.K.</v>
      </c>
      <c r="G3" s="229">
        <f>'A0=0.553g'!E142</f>
        <v>3.9409210152107135</v>
      </c>
      <c r="H3" s="230" t="str">
        <f>IF(ROUND(G3,1)&gt;1.5,"&gt;1.50 OK","&lt;1.50 not  OK")</f>
        <v>&gt;1.50 OK</v>
      </c>
      <c r="I3" s="229">
        <f>'A0=0.553g'!F146</f>
        <v>3.0213983058229497</v>
      </c>
      <c r="J3" s="230" t="str">
        <f>IF(ROUND(I3,1)&gt;1.5,"&gt;1.50 OK","&lt;1.50 not  OK")</f>
        <v>&gt;1.50 OK</v>
      </c>
      <c r="L3" s="228" t="s">
        <v>192</v>
      </c>
      <c r="M3" s="227" t="s">
        <v>363</v>
      </c>
      <c r="N3" s="229">
        <f>'A0=0.446g'!E137</f>
        <v>20.651476681797948</v>
      </c>
      <c r="O3" s="230" t="str">
        <f>'A0=0.446g'!K137</f>
        <v>O.K.</v>
      </c>
      <c r="P3" s="229">
        <f>'A0=0.446g'!E138</f>
        <v>7.829961455807374</v>
      </c>
      <c r="Q3" s="230" t="str">
        <f>'A0=0.446g'!K138</f>
        <v>O.K.</v>
      </c>
      <c r="R3" s="229">
        <f>'A0=0.446g'!E142</f>
        <v>4.8095301068015122</v>
      </c>
      <c r="S3" s="230" t="str">
        <f>IF(ROUND(R3,1)&gt;1.5,"&gt;1.50 OK","&lt;1.50 not  OK")</f>
        <v>&gt;1.50 OK</v>
      </c>
      <c r="T3" s="229">
        <f>'A0=0.446g'!F146</f>
        <v>2.9467355785255167</v>
      </c>
      <c r="U3" s="230" t="str">
        <f>IF(ROUND(T3,1)&gt;1.5,"&gt;1.50 OK","&lt;1.50 not  OK")</f>
        <v>&gt;1.50 OK</v>
      </c>
    </row>
    <row r="4" spans="1:21" ht="32.1" customHeight="1" x14ac:dyDescent="0.25">
      <c r="A4" s="228" t="s">
        <v>193</v>
      </c>
      <c r="B4" s="227" t="s">
        <v>364</v>
      </c>
      <c r="C4" s="229">
        <f>'A0=0.553g'!E193</f>
        <v>2097.490772463761</v>
      </c>
      <c r="D4" s="230" t="str">
        <f>'A0=0.553g'!K193</f>
        <v>not O.K.</v>
      </c>
      <c r="E4" s="229">
        <f>'A0=0.553g'!E194</f>
        <v>0</v>
      </c>
      <c r="F4" s="230" t="str">
        <f>'A0=0.553g'!K194</f>
        <v>O.K.</v>
      </c>
      <c r="G4" s="229">
        <f>'A0=0.553g'!E198</f>
        <v>1.0206635643675921</v>
      </c>
      <c r="H4" s="230" t="str">
        <f>IF(ROUND(G4,1)&gt;1.2,"&gt;1.20 OK","&lt;1.20 not  OK")</f>
        <v>&lt;1.20 not  OK</v>
      </c>
      <c r="I4" s="229">
        <f>'A0=0.553g'!F203</f>
        <v>1.0197065258147409</v>
      </c>
      <c r="J4" s="230" t="str">
        <f>IF(ROUND(I4,2)&gt;1.2,"&gt;1.20 OK","&lt;1.20 not  OK")</f>
        <v>&lt;1.20 not  OK</v>
      </c>
      <c r="L4" s="228" t="s">
        <v>193</v>
      </c>
      <c r="M4" s="227" t="s">
        <v>364</v>
      </c>
      <c r="N4" s="229">
        <f>'A0=0.446g'!E193</f>
        <v>35.887669441246253</v>
      </c>
      <c r="O4" s="230" t="str">
        <f>'A0=0.446g'!K193</f>
        <v>O.K.</v>
      </c>
      <c r="P4" s="229">
        <f>'A0=0.446g'!E194</f>
        <v>0</v>
      </c>
      <c r="Q4" s="230" t="str">
        <f>'A0=0.446g'!K194</f>
        <v>O.K.</v>
      </c>
      <c r="R4" s="229">
        <f>'A0=0.446g'!E198</f>
        <v>2.1783519994836187</v>
      </c>
      <c r="S4" s="230" t="str">
        <f>IF(ROUND(R4,1)&gt;1.2,"&gt;1.20 OK","&lt;1.20 not  OK")</f>
        <v>&gt;1.20 OK</v>
      </c>
      <c r="T4" s="229">
        <f>'A0=0.446g'!F203</f>
        <v>1.3413262645566981</v>
      </c>
      <c r="U4" s="230" t="str">
        <f>IF(ROUND(T4,2)&gt;1.2,"&gt;1.20 OK","&lt;1.20 not  OK")</f>
        <v>&gt;1.20 OK</v>
      </c>
    </row>
    <row r="5" spans="1:21" ht="32.1" customHeight="1" x14ac:dyDescent="0.25">
      <c r="A5" s="228" t="s">
        <v>194</v>
      </c>
      <c r="B5" s="227" t="s">
        <v>370</v>
      </c>
      <c r="C5" s="229"/>
      <c r="D5" s="230"/>
      <c r="E5" s="229"/>
      <c r="F5" s="230"/>
      <c r="G5" s="229"/>
      <c r="H5" s="230"/>
      <c r="I5" s="229"/>
      <c r="J5" s="230"/>
      <c r="L5" s="228" t="s">
        <v>194</v>
      </c>
      <c r="M5" s="227" t="s">
        <v>370</v>
      </c>
      <c r="N5" s="229"/>
      <c r="O5" s="230"/>
      <c r="P5" s="229"/>
      <c r="Q5" s="230"/>
      <c r="R5" s="229"/>
      <c r="S5" s="230"/>
      <c r="T5" s="229"/>
      <c r="U5" s="230"/>
    </row>
    <row r="6" spans="1:21" ht="32.1" customHeight="1" x14ac:dyDescent="0.25">
      <c r="A6" s="228" t="s">
        <v>195</v>
      </c>
      <c r="B6" s="227" t="s">
        <v>371</v>
      </c>
      <c r="C6" s="229">
        <f>'A0=0.553g'!E252</f>
        <v>-333.49057011239933</v>
      </c>
      <c r="D6" s="230" t="str">
        <f>'A0=0.553g'!K252</f>
        <v>O.K.</v>
      </c>
      <c r="E6" s="229">
        <f>'A0=0.553g'!E253</f>
        <v>0</v>
      </c>
      <c r="F6" s="230" t="str">
        <f>'A0=0.553g'!K253</f>
        <v>O.K.</v>
      </c>
      <c r="G6" s="229">
        <f>'A0=0.553g'!E257</f>
        <v>0.73879277518669861</v>
      </c>
      <c r="H6" s="230" t="str">
        <f t="shared" ref="H6" si="0">IF(ROUND(G6,1)&gt;1.2,"&gt;1.20 OK","&lt;1.20 not  OK")</f>
        <v>&lt;1.20 not  OK</v>
      </c>
      <c r="I6" s="229">
        <f>'A0=0.553g'!F262</f>
        <v>0.86390827398437309</v>
      </c>
      <c r="J6" s="230" t="str">
        <f t="shared" ref="J6" si="1">IF(ROUND(I6,2)&gt;1.2,"&gt;1.20 OK","&lt;1.20 not  OK")</f>
        <v>&lt;1.20 not  OK</v>
      </c>
      <c r="L6" s="228" t="s">
        <v>195</v>
      </c>
      <c r="M6" s="227" t="s">
        <v>371</v>
      </c>
      <c r="N6" s="229">
        <f>'A0=0.446g'!E265</f>
        <v>57.885408454078345</v>
      </c>
      <c r="O6" s="230" t="str">
        <f>'A0=0.446g'!K265</f>
        <v>O.K.</v>
      </c>
      <c r="P6" s="229">
        <f>'A0=0.446g'!E266</f>
        <v>0</v>
      </c>
      <c r="Q6" s="230" t="str">
        <f>'A0=0.446g'!K266</f>
        <v>O.K.</v>
      </c>
      <c r="R6" s="229">
        <f>'A0=0.446g'!E270</f>
        <v>2.3607863169628693</v>
      </c>
      <c r="S6" s="230" t="str">
        <f t="shared" ref="S6" si="2">IF(ROUND(R6,1)&gt;1.2,"&gt;1.20 OK","&lt;1.20 not  OK")</f>
        <v>&gt;1.20 OK</v>
      </c>
      <c r="T6" s="229">
        <f>'A0=0.446g'!F275</f>
        <v>1.2012349443270685</v>
      </c>
      <c r="U6" s="230" t="str">
        <f t="shared" ref="U6" si="3">IF(ROUND(T6,2)&gt;1.2,"&gt;1.20 OK","&lt;1.20 not  OK")</f>
        <v>&lt;1.20 not  OK</v>
      </c>
    </row>
    <row r="7" spans="1:21" ht="32.1" customHeight="1" x14ac:dyDescent="0.25">
      <c r="A7" s="228" t="s">
        <v>372</v>
      </c>
      <c r="B7" s="227" t="s">
        <v>365</v>
      </c>
      <c r="C7" s="229">
        <f>'A0=0.553g'!E310</f>
        <v>19.717302661851022</v>
      </c>
      <c r="D7" s="230" t="str">
        <f>'A0=0.553g'!K310</f>
        <v>O.K.</v>
      </c>
      <c r="E7" s="229">
        <f>'A0=0.553g'!E311</f>
        <v>3.2913504984278679</v>
      </c>
      <c r="F7" s="230" t="str">
        <f>'A0=0.553g'!K311</f>
        <v>O.K.</v>
      </c>
      <c r="G7" s="229">
        <f>'A0=0.553g'!E315</f>
        <v>1.8540279538313749</v>
      </c>
      <c r="H7" s="230" t="str">
        <f>IF(ROUND(G7,2)&gt;1.5,"&gt;1.50 OK","&lt;1.50 not  OK")</f>
        <v>&gt;1.50 OK</v>
      </c>
      <c r="I7" s="229">
        <f>'A0=0.553g'!F319</f>
        <v>1.5992470548356561</v>
      </c>
      <c r="J7" s="230" t="str">
        <f>IF(ROUND(I7,2)&gt;1.49,"&gt;1.50 OK","&lt;1.50 not  OK")</f>
        <v>&gt;1.50 OK</v>
      </c>
      <c r="L7" s="228" t="s">
        <v>372</v>
      </c>
      <c r="M7" s="227" t="s">
        <v>365</v>
      </c>
      <c r="N7" s="229">
        <f>'A0=0.446g'!E323</f>
        <v>13.912865906956501</v>
      </c>
      <c r="O7" s="230" t="str">
        <f>'A0=0.446g'!K323</f>
        <v>O.K.</v>
      </c>
      <c r="P7" s="229">
        <f>'A0=0.446g'!E324</f>
        <v>5.8262941727870183</v>
      </c>
      <c r="Q7" s="230" t="str">
        <f>'A0=0.446g'!K324</f>
        <v>O.K.</v>
      </c>
      <c r="R7" s="229">
        <f>'A0=0.446g'!E328</f>
        <v>1.890942303627035</v>
      </c>
      <c r="S7" s="230" t="str">
        <f>IF(ROUND(R7,2)&gt;1.5,"&gt;1.50 OK","&lt;1.50 not  OK")</f>
        <v>&gt;1.50 OK</v>
      </c>
      <c r="T7" s="229">
        <f>'A0=0.446g'!F332</f>
        <v>1.538971715280131</v>
      </c>
      <c r="U7" s="230" t="str">
        <f>IF(ROUND(T7,2)&gt;1.49,"&gt;1.50 OK","&lt;1.50 not  OK")</f>
        <v>&gt;1.50 OK</v>
      </c>
    </row>
    <row r="8" spans="1:21" ht="32.1" customHeight="1" x14ac:dyDescent="0.25">
      <c r="A8" s="228" t="s">
        <v>373</v>
      </c>
      <c r="B8" s="227" t="s">
        <v>366</v>
      </c>
      <c r="C8" s="229">
        <f>'A0=0.553g'!E362</f>
        <v>24.529652413645533</v>
      </c>
      <c r="D8" s="230" t="str">
        <f>'A0=0.553g'!K362</f>
        <v>O.K.</v>
      </c>
      <c r="E8" s="229">
        <f>'A0=0.553g'!E363</f>
        <v>5.9205075577584951</v>
      </c>
      <c r="F8" s="230" t="str">
        <f>'A0=0.553g'!K363</f>
        <v>O.K.</v>
      </c>
      <c r="G8" s="229">
        <f>'A0=0.553g'!E367</f>
        <v>2.9125150894785388</v>
      </c>
      <c r="H8" s="230" t="str">
        <f>IF(ROUND(G8,1)&gt;1.5,"&gt;1.50 OK","&lt;1.50 not  OK")</f>
        <v>&gt;1.50 OK</v>
      </c>
      <c r="I8" s="229">
        <f>'A0=0.553g'!F371</f>
        <v>1.9751648496414778</v>
      </c>
      <c r="J8" s="230" t="str">
        <f>IF(ROUND(I8,2)&lt;1.5,"&lt;1.50 not  OK","&gt;1.50 OK")</f>
        <v>&gt;1.50 OK</v>
      </c>
      <c r="L8" s="228" t="s">
        <v>373</v>
      </c>
      <c r="M8" s="227" t="s">
        <v>366</v>
      </c>
      <c r="N8" s="229">
        <f>'A0=0.446g'!E375</f>
        <v>16.084118185525249</v>
      </c>
      <c r="O8" s="230" t="str">
        <f>'A0=0.446g'!K375</f>
        <v>O.K.</v>
      </c>
      <c r="P8" s="229">
        <f>'A0=0.446g'!E376</f>
        <v>9.9934278993919943</v>
      </c>
      <c r="Q8" s="230" t="str">
        <f>'A0=0.446g'!K376</f>
        <v>O.K.</v>
      </c>
      <c r="R8" s="229">
        <f>'A0=0.446g'!E380</f>
        <v>3.1351229979106163</v>
      </c>
      <c r="S8" s="230" t="str">
        <f>IF(ROUND(R8,1)&gt;1.5,"&gt;1.50 OK","&lt;1.50 not  OK")</f>
        <v>&gt;1.50 OK</v>
      </c>
      <c r="T8" s="229">
        <f>'A0=0.446g'!F384</f>
        <v>1.8939231654150519</v>
      </c>
      <c r="U8" s="230" t="str">
        <f>IF(ROUND(T8,2)&lt;1.5,"&lt;1.50 not  OK","&gt;1.50 OK")</f>
        <v>&gt;1.50 OK</v>
      </c>
    </row>
    <row r="9" spans="1:21" x14ac:dyDescent="0.25">
      <c r="A9" s="221"/>
      <c r="B9" s="226"/>
    </row>
    <row r="10" spans="1:21" x14ac:dyDescent="0.25">
      <c r="A10" s="775" t="s">
        <v>374</v>
      </c>
      <c r="B10" s="775"/>
      <c r="C10" s="775"/>
      <c r="D10" s="775"/>
      <c r="E10" s="775"/>
      <c r="F10" s="775"/>
      <c r="G10" s="775"/>
      <c r="H10" s="775"/>
      <c r="I10" s="775"/>
      <c r="J10" s="775"/>
      <c r="L10" s="775" t="s">
        <v>375</v>
      </c>
      <c r="M10" s="775"/>
      <c r="N10" s="775"/>
      <c r="O10" s="775"/>
      <c r="P10" s="775"/>
      <c r="Q10" s="775"/>
      <c r="R10" s="775"/>
      <c r="S10" s="775"/>
      <c r="T10" s="775"/>
      <c r="U10" s="775"/>
    </row>
    <row r="11" spans="1:21" x14ac:dyDescent="0.25">
      <c r="A11" s="775"/>
      <c r="B11" s="775"/>
      <c r="C11" s="775"/>
      <c r="D11" s="775"/>
      <c r="E11" s="775"/>
      <c r="F11" s="775"/>
      <c r="G11" s="775"/>
      <c r="H11" s="775"/>
      <c r="I11" s="775"/>
      <c r="J11" s="775"/>
      <c r="L11" s="775"/>
      <c r="M11" s="775"/>
      <c r="N11" s="775"/>
      <c r="O11" s="775"/>
      <c r="P11" s="775"/>
      <c r="Q11" s="775"/>
      <c r="R11" s="775"/>
      <c r="S11" s="775"/>
      <c r="T11" s="775"/>
      <c r="U11" s="775"/>
    </row>
    <row r="12" spans="1:21" x14ac:dyDescent="0.25">
      <c r="A12" s="775"/>
      <c r="B12" s="775"/>
      <c r="C12" s="775"/>
      <c r="D12" s="775"/>
      <c r="E12" s="775"/>
      <c r="F12" s="775"/>
      <c r="G12" s="775"/>
      <c r="H12" s="775"/>
      <c r="I12" s="775"/>
      <c r="J12" s="775"/>
      <c r="L12" s="775"/>
      <c r="M12" s="775"/>
      <c r="N12" s="775"/>
      <c r="O12" s="775"/>
      <c r="P12" s="775"/>
      <c r="Q12" s="775"/>
      <c r="R12" s="775"/>
      <c r="S12" s="775"/>
      <c r="T12" s="775"/>
      <c r="U12" s="775"/>
    </row>
    <row r="13" spans="1:21" x14ac:dyDescent="0.25">
      <c r="A13" s="221"/>
      <c r="B13" s="226"/>
    </row>
  </sheetData>
  <customSheetViews>
    <customSheetView guid="{2F942A2D-0AFC-43B9-BC9A-2AEC2BA7FF1F}" showRuler="0">
      <selection activeCell="C6" sqref="C6"/>
      <pageMargins left="0.7" right="0.7" top="0.75" bottom="0.75" header="0.3" footer="0.3"/>
      <headerFooter alignWithMargins="0"/>
    </customSheetView>
    <customSheetView guid="{292239AB-1A95-418F-9252-DEADE41101FA}" showRuler="0">
      <pageMargins left="0.7" right="0.7" top="0.75" bottom="0.75" header="0.3" footer="0.3"/>
      <headerFooter alignWithMargins="0"/>
    </customSheetView>
  </customSheetViews>
  <mergeCells count="21">
    <mergeCell ref="C2:D2"/>
    <mergeCell ref="E2:F2"/>
    <mergeCell ref="G2:H2"/>
    <mergeCell ref="I2:J2"/>
    <mergeCell ref="A1:B1"/>
    <mergeCell ref="K1:K1048576"/>
    <mergeCell ref="A10:J12"/>
    <mergeCell ref="L10:U12"/>
    <mergeCell ref="N1:Q1"/>
    <mergeCell ref="R1:S1"/>
    <mergeCell ref="T1:U1"/>
    <mergeCell ref="L2:M2"/>
    <mergeCell ref="N2:O2"/>
    <mergeCell ref="P2:Q2"/>
    <mergeCell ref="R2:S2"/>
    <mergeCell ref="T2:U2"/>
    <mergeCell ref="L1:M1"/>
    <mergeCell ref="G1:H1"/>
    <mergeCell ref="I1:J1"/>
    <mergeCell ref="C1:F1"/>
    <mergeCell ref="A2:B2"/>
  </mergeCells>
  <phoneticPr fontId="20" type="noConversion"/>
  <pageMargins left="0.7" right="0.7" top="0.75" bottom="0.75" header="0.3" footer="0.3"/>
  <pageSetup paperSize="9" orientation="portrait" verticalDpi="0" r:id="rId1"/>
  <headerFooter alignWithMargins="0"/>
  <ignoredErrors>
    <ignoredError sqref="H4:I4 I7:I8 I3" formula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Çalışma Sayfaları</vt:lpstr>
      </vt:variant>
      <vt:variant>
        <vt:i4>5</vt:i4>
      </vt:variant>
      <vt:variant>
        <vt:lpstr>Adlandırılmış Aralıklar</vt:lpstr>
      </vt:variant>
      <vt:variant>
        <vt:i4>145</vt:i4>
      </vt:variant>
    </vt:vector>
  </HeadingPairs>
  <TitlesOfParts>
    <vt:vector size="150" baseType="lpstr">
      <vt:lpstr>A0=0.553g</vt:lpstr>
      <vt:lpstr>A0=0.446gjj</vt:lpstr>
      <vt:lpstr>depremli durum ankraj</vt:lpstr>
      <vt:lpstr>A0=0.446g</vt:lpstr>
      <vt:lpstr>SONUÇ </vt:lpstr>
      <vt:lpstr>'A0=0.446g'!A</vt:lpstr>
      <vt:lpstr>'A0=0.446gjj'!A</vt:lpstr>
      <vt:lpstr>A</vt:lpstr>
      <vt:lpstr>'A0=0.446g'!alfa</vt:lpstr>
      <vt:lpstr>'A0=0.446gjj'!alfa</vt:lpstr>
      <vt:lpstr>alfa</vt:lpstr>
      <vt:lpstr>'A0=0.446g'!b</vt:lpstr>
      <vt:lpstr>'A0=0.446gjj'!b</vt:lpstr>
      <vt:lpstr>b</vt:lpstr>
      <vt:lpstr>'A0=0.446g'!bdh</vt:lpstr>
      <vt:lpstr>'A0=0.446gjj'!bdh</vt:lpstr>
      <vt:lpstr>bdh</vt:lpstr>
      <vt:lpstr>'A0=0.446g'!bdw</vt:lpstr>
      <vt:lpstr>'A0=0.446gjj'!bdw</vt:lpstr>
      <vt:lpstr>bdw</vt:lpstr>
      <vt:lpstr>'A0=0.446g'!beta</vt:lpstr>
      <vt:lpstr>'A0=0.446gjj'!beta</vt:lpstr>
      <vt:lpstr>beta</vt:lpstr>
      <vt:lpstr>'A0=0.446g'!bf</vt:lpstr>
      <vt:lpstr>'A0=0.446gjj'!bf</vt:lpstr>
      <vt:lpstr>bf</vt:lpstr>
      <vt:lpstr>'A0=0.446g'!br</vt:lpstr>
      <vt:lpstr>'A0=0.446gjj'!br</vt:lpstr>
      <vt:lpstr>br</vt:lpstr>
      <vt:lpstr>'A0=0.446g'!bt</vt:lpstr>
      <vt:lpstr>'A0=0.446gjj'!bt</vt:lpstr>
      <vt:lpstr>bt</vt:lpstr>
      <vt:lpstr>'A0=0.446g'!bw</vt:lpstr>
      <vt:lpstr>'A0=0.446gjj'!bw</vt:lpstr>
      <vt:lpstr>bw</vt:lpstr>
      <vt:lpstr>'A0=0.446g'!ch</vt:lpstr>
      <vt:lpstr>'A0=0.446gjj'!ch</vt:lpstr>
      <vt:lpstr>ch</vt:lpstr>
      <vt:lpstr>'A0=0.446g'!cv</vt:lpstr>
      <vt:lpstr>'A0=0.446gjj'!cv</vt:lpstr>
      <vt:lpstr>cv</vt:lpstr>
      <vt:lpstr>'A0=0.446g'!d</vt:lpstr>
      <vt:lpstr>'A0=0.446gjj'!d</vt:lpstr>
      <vt:lpstr>d</vt:lpstr>
      <vt:lpstr>'A0=0.446g'!delta</vt:lpstr>
      <vt:lpstr>'A0=0.446gjj'!delta</vt:lpstr>
      <vt:lpstr>delta</vt:lpstr>
      <vt:lpstr>'A0=0.446g'!fc</vt:lpstr>
      <vt:lpstr>'A0=0.446gjj'!fc</vt:lpstr>
      <vt:lpstr>fc</vt:lpstr>
      <vt:lpstr>'A0=0.446g'!fcd</vt:lpstr>
      <vt:lpstr>'A0=0.446gjj'!fcd</vt:lpstr>
      <vt:lpstr>fcd</vt:lpstr>
      <vt:lpstr>'A0=0.446g'!fck</vt:lpstr>
      <vt:lpstr>'A0=0.446gjj'!fck</vt:lpstr>
      <vt:lpstr>fck</vt:lpstr>
      <vt:lpstr>'A0=0.446g'!fctd</vt:lpstr>
      <vt:lpstr>'A0=0.446gjj'!fctd</vt:lpstr>
      <vt:lpstr>fctd</vt:lpstr>
      <vt:lpstr>'A0=0.446g'!fctk</vt:lpstr>
      <vt:lpstr>'A0=0.446gjj'!fctk</vt:lpstr>
      <vt:lpstr>fctk</vt:lpstr>
      <vt:lpstr>'A0=0.446g'!fi</vt:lpstr>
      <vt:lpstr>'A0=0.446gjj'!fi</vt:lpstr>
      <vt:lpstr>fi</vt:lpstr>
      <vt:lpstr>'A0=0.446g'!fr</vt:lpstr>
      <vt:lpstr>'A0=0.446gjj'!fr</vt:lpstr>
      <vt:lpstr>fr</vt:lpstr>
      <vt:lpstr>'A0=0.446g'!fy</vt:lpstr>
      <vt:lpstr>'A0=0.446gjj'!fy</vt:lpstr>
      <vt:lpstr>fy</vt:lpstr>
      <vt:lpstr>'A0=0.446g'!fyd</vt:lpstr>
      <vt:lpstr>'A0=0.446gjj'!fyd</vt:lpstr>
      <vt:lpstr>fyd</vt:lpstr>
      <vt:lpstr>'A0=0.446g'!fyk</vt:lpstr>
      <vt:lpstr>'A0=0.446gjj'!fyk</vt:lpstr>
      <vt:lpstr>fyk</vt:lpstr>
      <vt:lpstr>'A0=0.446g'!gc</vt:lpstr>
      <vt:lpstr>'A0=0.446gjj'!gc</vt:lpstr>
      <vt:lpstr>gc</vt:lpstr>
      <vt:lpstr>'A0=0.446g'!gdoy</vt:lpstr>
      <vt:lpstr>'A0=0.446gjj'!gdoy</vt:lpstr>
      <vt:lpstr>gdoy</vt:lpstr>
      <vt:lpstr>'A0=0.446g'!gnor</vt:lpstr>
      <vt:lpstr>'A0=0.446gjj'!gnor</vt:lpstr>
      <vt:lpstr>gnor</vt:lpstr>
      <vt:lpstr>'A0=0.446g'!gw</vt:lpstr>
      <vt:lpstr>'A0=0.446gjj'!gw</vt:lpstr>
      <vt:lpstr>gw</vt:lpstr>
      <vt:lpstr>'A0=0.446g'!h</vt:lpstr>
      <vt:lpstr>'A0=0.446gjj'!h</vt:lpstr>
      <vt:lpstr>h</vt:lpstr>
      <vt:lpstr>'A0=0.446g'!hs</vt:lpstr>
      <vt:lpstr>'A0=0.446gjj'!hs</vt:lpstr>
      <vt:lpstr>hs</vt:lpstr>
      <vt:lpstr>'A0=0.446g'!hsuf</vt:lpstr>
      <vt:lpstr>'A0=0.446gjj'!hsuf</vt:lpstr>
      <vt:lpstr>hsuf</vt:lpstr>
      <vt:lpstr>'A0=0.446g'!hsui</vt:lpstr>
      <vt:lpstr>'A0=0.446gjj'!hsui</vt:lpstr>
      <vt:lpstr>hsui</vt:lpstr>
      <vt:lpstr>'A0=0.446g'!hsun</vt:lpstr>
      <vt:lpstr>'A0=0.446gjj'!hsun</vt:lpstr>
      <vt:lpstr>hsun</vt:lpstr>
      <vt:lpstr>'A0=0.446g'!hsus</vt:lpstr>
      <vt:lpstr>'A0=0.446gjj'!hsus</vt:lpstr>
      <vt:lpstr>hsus</vt:lpstr>
      <vt:lpstr>'A0=0.446g'!hw</vt:lpstr>
      <vt:lpstr>'A0=0.446gjj'!hw</vt:lpstr>
      <vt:lpstr>hw</vt:lpstr>
      <vt:lpstr>'A0=0.446g'!I</vt:lpstr>
      <vt:lpstr>'A0=0.446gjj'!I</vt:lpstr>
      <vt:lpstr>I</vt:lpstr>
      <vt:lpstr>'A0=0.446g'!kas</vt:lpstr>
      <vt:lpstr>'A0=0.446gjj'!kas</vt:lpstr>
      <vt:lpstr>kas</vt:lpstr>
      <vt:lpstr>'A0=0.446g'!koh</vt:lpstr>
      <vt:lpstr>'A0=0.446gjj'!koh</vt:lpstr>
      <vt:lpstr>koh</vt:lpstr>
      <vt:lpstr>'A0=0.446g'!lislak1</vt:lpstr>
      <vt:lpstr>'A0=0.446gjj'!lislak1</vt:lpstr>
      <vt:lpstr>lislak1</vt:lpstr>
      <vt:lpstr>'A0=0.446g'!lislak2</vt:lpstr>
      <vt:lpstr>'A0=0.446gjj'!lislak2</vt:lpstr>
      <vt:lpstr>lislak2</vt:lpstr>
      <vt:lpstr>'A0=0.446g'!lkuru1</vt:lpstr>
      <vt:lpstr>'A0=0.446gjj'!lkuru1</vt:lpstr>
      <vt:lpstr>lkuru1</vt:lpstr>
      <vt:lpstr>'A0=0.446g'!lkuru2</vt:lpstr>
      <vt:lpstr>'A0=0.446gjj'!lkuru2</vt:lpstr>
      <vt:lpstr>lkuru2</vt:lpstr>
      <vt:lpstr>'A0=0.446g'!p</vt:lpstr>
      <vt:lpstr>'A0=0.446gjj'!p</vt:lpstr>
      <vt:lpstr>p</vt:lpstr>
      <vt:lpstr>'A0=0.446g'!pfi</vt:lpstr>
      <vt:lpstr>'A0=0.446gjj'!pfi</vt:lpstr>
      <vt:lpstr>pfi</vt:lpstr>
      <vt:lpstr>'A0=0.446g'!phi</vt:lpstr>
      <vt:lpstr>'A0=0.446gjj'!phi</vt:lpstr>
      <vt:lpstr>phi</vt:lpstr>
      <vt:lpstr>'A0=0.446g'!pp</vt:lpstr>
      <vt:lpstr>'A0=0.446gjj'!pp</vt:lpstr>
      <vt:lpstr>pp</vt:lpstr>
      <vt:lpstr>'A0=0.446g'!q</vt:lpstr>
      <vt:lpstr>'A0=0.446gjj'!q</vt:lpstr>
      <vt:lpstr>q</vt:lpstr>
      <vt:lpstr>'depremli durum ankraj'!Yazdırma_Alanı</vt:lpstr>
      <vt:lpstr>'A0=0.446g'!zzzzzz</vt:lpstr>
      <vt:lpstr>'A0=0.446gjj'!zzzzzz</vt:lpstr>
      <vt:lpstr>zzzzzz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omer faruk ersoy</dc:creator>
  <cp:lastModifiedBy>Ufuk Şen</cp:lastModifiedBy>
  <cp:lastPrinted>2010-09-15T14:11:15Z</cp:lastPrinted>
  <dcterms:created xsi:type="dcterms:W3CDTF">2007-07-12T05:59:35Z</dcterms:created>
  <dcterms:modified xsi:type="dcterms:W3CDTF">2023-10-06T14:16:59Z</dcterms:modified>
</cp:coreProperties>
</file>