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配当管理(米国株)" sheetId="1" r:id="rId4"/>
    <sheet state="visible" name="配当管理(日本株)" sheetId="2" r:id="rId5"/>
  </sheets>
  <definedNames/>
  <calcPr/>
</workbook>
</file>

<file path=xl/sharedStrings.xml><?xml version="1.0" encoding="utf-8"?>
<sst xmlns="http://schemas.openxmlformats.org/spreadsheetml/2006/main" count="56" uniqueCount="43">
  <si>
    <t>◆米国株　配当管理　PER、為替、配当利回り計算シート</t>
  </si>
  <si>
    <t>現在為替</t>
  </si>
  <si>
    <t>株価($)</t>
  </si>
  <si>
    <t>配当管理　配当金予想</t>
  </si>
  <si>
    <t>業種</t>
  </si>
  <si>
    <t>Symbol</t>
  </si>
  <si>
    <r>
      <rPr>
        <rFont val="Arial"/>
        <color rgb="FF434343"/>
        <sz val="10.0"/>
      </rPr>
      <t>銘</t>
    </r>
    <r>
      <rPr>
        <rFont val="Arial"/>
        <color rgb="FF434343"/>
        <sz val="10.0"/>
      </rPr>
      <t>柄</t>
    </r>
  </si>
  <si>
    <t>PER</t>
  </si>
  <si>
    <t>配当</t>
  </si>
  <si>
    <t>現在値</t>
  </si>
  <si>
    <t>取得数</t>
  </si>
  <si>
    <t>配当金予想(＄)</t>
  </si>
  <si>
    <t>配当金予想(円)</t>
  </si>
  <si>
    <t>通信</t>
  </si>
  <si>
    <t>T</t>
  </si>
  <si>
    <t>タバコ</t>
  </si>
  <si>
    <t>MO</t>
  </si>
  <si>
    <t>PM</t>
  </si>
  <si>
    <t>IT</t>
  </si>
  <si>
    <t>IBM</t>
  </si>
  <si>
    <t>VZ</t>
  </si>
  <si>
    <t>医療</t>
  </si>
  <si>
    <t>GILD</t>
  </si>
  <si>
    <t>不動産</t>
  </si>
  <si>
    <t>VNO</t>
  </si>
  <si>
    <t>化学</t>
  </si>
  <si>
    <t>DOW</t>
  </si>
  <si>
    <t>エネルギー</t>
  </si>
  <si>
    <t>XOM</t>
  </si>
  <si>
    <t>資本財</t>
  </si>
  <si>
    <t>MMM</t>
  </si>
  <si>
    <t>ABBV</t>
  </si>
  <si>
    <t>CVX</t>
  </si>
  <si>
    <t>MRK</t>
  </si>
  <si>
    <t>FLNG</t>
  </si>
  <si>
    <t>INTC</t>
  </si>
  <si>
    <t>合計</t>
  </si>
  <si>
    <t>◆日本株　配当管理　PER、PBR、配当利回り計算シート</t>
  </si>
  <si>
    <t>株価(円)</t>
  </si>
  <si>
    <t>証券コード</t>
  </si>
  <si>
    <r>
      <rPr>
        <rFont val="Arial"/>
        <color rgb="FF434343"/>
        <sz val="10.0"/>
      </rPr>
      <t>銘</t>
    </r>
    <r>
      <rPr>
        <rFont val="Arial"/>
        <color rgb="FF434343"/>
        <sz val="10.0"/>
      </rPr>
      <t>柄</t>
    </r>
  </si>
  <si>
    <t>PBR</t>
  </si>
  <si>
    <t>配当(％)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</si>
</sst>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;(#,##0.0)"/>
    <numFmt numFmtId="166" formatCode="#,##0;(#,##0)"/>
    <numFmt numFmtId="167" formatCode="[$¥-411]#,##0"/>
  </numFmts>
  <fonts count="14">
    <font>
      <sz val="10.0"/>
      <color rgb="FF000000"/>
      <name val="Arial"/>
      <scheme val="minor"/>
    </font>
    <font>
      <sz val="11.0"/>
      <color rgb="FF000000"/>
      <name val="游ゴシック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游ゴシック"/>
    </font>
    <font>
      <sz val="10.0"/>
      <color rgb="FF434343"/>
      <name val="Arial"/>
      <scheme val="minor"/>
    </font>
    <font/>
    <font>
      <b/>
      <sz val="11.0"/>
      <color rgb="FF000000"/>
      <name val="游ゴシック"/>
    </font>
    <font>
      <b/>
      <sz val="12.0"/>
      <color rgb="FF000000"/>
      <name val="游ゴシック"/>
    </font>
    <font>
      <b/>
      <sz val="10.0"/>
      <color rgb="FF434343"/>
      <name val="Arial"/>
      <scheme val="minor"/>
    </font>
    <font>
      <b/>
      <color theme="1"/>
      <name val="Arial"/>
      <scheme val="minor"/>
    </font>
    <font>
      <color rgb="FF0000FF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64" xfId="0" applyFont="1" applyNumberFormat="1"/>
    <xf borderId="0" fillId="0" fontId="5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1" fillId="2" fontId="6" numFmtId="165" xfId="0" applyAlignment="1" applyBorder="1" applyFill="1" applyFont="1" applyNumberFormat="1">
      <alignment horizontal="center" readingOrder="0"/>
    </xf>
    <xf borderId="2" fillId="3" fontId="6" numFmtId="0" xfId="0" applyAlignment="1" applyBorder="1" applyFill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4" fontId="8" numFmtId="0" xfId="0" applyAlignment="1" applyBorder="1" applyFill="1" applyFont="1">
      <alignment horizontal="center" readingOrder="0" shrinkToFit="0" wrapText="0"/>
    </xf>
    <xf borderId="1" fillId="5" fontId="9" numFmtId="0" xfId="0" applyAlignment="1" applyBorder="1" applyFill="1" applyFont="1">
      <alignment horizontal="center" readingOrder="0" shrinkToFit="0" wrapText="0"/>
    </xf>
    <xf borderId="1" fillId="2" fontId="6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5" fillId="5" fontId="1" numFmtId="0" xfId="0" applyAlignment="1" applyBorder="1" applyFont="1">
      <alignment readingOrder="0" shrinkToFit="0" wrapText="0"/>
    </xf>
    <xf borderId="1" fillId="5" fontId="1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/>
    </xf>
    <xf borderId="1" fillId="0" fontId="3" numFmtId="165" xfId="0" applyBorder="1" applyFont="1" applyNumberFormat="1"/>
    <xf borderId="1" fillId="5" fontId="3" numFmtId="166" xfId="0" applyAlignment="1" applyBorder="1" applyFont="1" applyNumberFormat="1">
      <alignment readingOrder="0"/>
    </xf>
    <xf borderId="1" fillId="0" fontId="3" numFmtId="166" xfId="0" applyBorder="1" applyFont="1" applyNumberFormat="1"/>
    <xf borderId="1" fillId="5" fontId="4" numFmtId="0" xfId="0" applyAlignment="1" applyBorder="1" applyFont="1">
      <alignment readingOrder="0"/>
    </xf>
    <xf borderId="2" fillId="6" fontId="4" numFmtId="0" xfId="0" applyAlignment="1" applyBorder="1" applyFill="1" applyFont="1">
      <alignment readingOrder="0"/>
    </xf>
    <xf borderId="1" fillId="6" fontId="4" numFmtId="0" xfId="0" applyBorder="1" applyFont="1"/>
    <xf borderId="1" fillId="6" fontId="11" numFmtId="0" xfId="0" applyBorder="1" applyFont="1"/>
    <xf borderId="1" fillId="5" fontId="12" numFmtId="0" xfId="0" applyAlignment="1" applyBorder="1" applyFont="1">
      <alignment horizontal="right" vertical="bottom"/>
    </xf>
    <xf borderId="1" fillId="0" fontId="13" numFmtId="0" xfId="0" applyAlignment="1" applyBorder="1" applyFont="1">
      <alignment vertical="bottom"/>
    </xf>
    <xf borderId="1" fillId="0" fontId="6" numFmtId="4" xfId="0" applyBorder="1" applyFont="1" applyNumberFormat="1"/>
    <xf borderId="1" fillId="0" fontId="6" numFmtId="167" xfId="0" applyBorder="1" applyFont="1" applyNumberFormat="1"/>
    <xf borderId="1" fillId="5" fontId="1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2.25"/>
    <col customWidth="1" min="3" max="3" width="10.88"/>
    <col customWidth="1" min="4" max="4" width="23.0"/>
    <col customWidth="1" min="5" max="6" width="7.0"/>
    <col customWidth="1" min="7" max="7" width="7.38"/>
    <col customWidth="1" min="8" max="8" width="8.13"/>
  </cols>
  <sheetData>
    <row r="1" ht="8.25" customHeight="1">
      <c r="A1" s="1"/>
    </row>
    <row r="2">
      <c r="A2" s="1"/>
      <c r="B2" s="2" t="s">
        <v>0</v>
      </c>
      <c r="G2" s="3"/>
      <c r="I2" s="4" t="s">
        <v>1</v>
      </c>
      <c r="J2" s="5">
        <f>IFERROR(__xludf.DUMMYFUNCTION("GOOGLEFINANCE(""CURRENCY:USDJPY"")"),138.27800000000002)</f>
        <v>138.278</v>
      </c>
    </row>
    <row r="3">
      <c r="A3" s="1"/>
      <c r="B3" s="6"/>
      <c r="C3" s="6"/>
      <c r="D3" s="7"/>
      <c r="E3" s="7"/>
      <c r="F3" s="7"/>
      <c r="G3" s="8" t="s">
        <v>2</v>
      </c>
      <c r="H3" s="9" t="s">
        <v>3</v>
      </c>
      <c r="I3" s="10"/>
      <c r="J3" s="11"/>
    </row>
    <row r="4">
      <c r="A4" s="1"/>
      <c r="B4" s="12" t="s">
        <v>4</v>
      </c>
      <c r="C4" s="13" t="s">
        <v>5</v>
      </c>
      <c r="D4" s="14" t="s">
        <v>6</v>
      </c>
      <c r="E4" s="15" t="s">
        <v>7</v>
      </c>
      <c r="F4" s="15" t="s">
        <v>8</v>
      </c>
      <c r="G4" s="8" t="s">
        <v>9</v>
      </c>
      <c r="H4" s="16" t="s">
        <v>10</v>
      </c>
      <c r="I4" s="16" t="s">
        <v>11</v>
      </c>
      <c r="J4" s="16" t="s">
        <v>12</v>
      </c>
    </row>
    <row r="5">
      <c r="A5" s="17"/>
      <c r="B5" s="18" t="s">
        <v>13</v>
      </c>
      <c r="C5" s="19" t="s">
        <v>14</v>
      </c>
      <c r="D5" s="20" t="str">
        <f>IFERROR(__xludf.DUMMYFUNCTION("IFERROR(GoogleFinance(C5,""name""))"),"AT&amp;T Inc.")</f>
        <v>AT&amp;T Inc.</v>
      </c>
      <c r="E5" s="21" t="str">
        <f>IFERROR(__xludf.DUMMYFUNCTION("IFERROR(GoogleFinance(C5,""pe""))"),"")</f>
        <v/>
      </c>
      <c r="F5" s="20" t="str">
        <f>IFERROR(__xludf.DUMMYFUNCTION("IMPORTXML(CONCATENATE(""https://finviz.com/quote.ashx?t="",C5),""/html/body/div[4]/div/table[2]/tbody/tr[8]/td[2]/b"")"),"#N/A")</f>
        <v>#N/A</v>
      </c>
      <c r="G5" s="21">
        <f>IFERROR(__xludf.DUMMYFUNCTION("IFERROR(GoogleFinance(C5,""price""))"),13.53)</f>
        <v>13.53</v>
      </c>
      <c r="H5" s="22">
        <v>200.0</v>
      </c>
      <c r="I5" s="21" t="str">
        <f t="shared" ref="I5:I19" si="1">G5*F5*H5</f>
        <v>#N/A</v>
      </c>
      <c r="J5" s="23" t="str">
        <f t="shared" ref="J5:J19" si="2">I5*$J$2</f>
        <v>#N/A</v>
      </c>
    </row>
    <row r="6">
      <c r="A6" s="1"/>
      <c r="B6" s="18" t="s">
        <v>15</v>
      </c>
      <c r="C6" s="19" t="s">
        <v>16</v>
      </c>
      <c r="D6" s="20" t="str">
        <f>IFERROR(__xludf.DUMMYFUNCTION("IFERROR(GoogleFinance(C6,""name""))"),"Altria Group Inc")</f>
        <v>Altria Group Inc</v>
      </c>
      <c r="E6" s="21">
        <f>IFERROR(__xludf.DUMMYFUNCTION("IFERROR(GoogleFinance(C6,""pe""))"),14.58)</f>
        <v>14.58</v>
      </c>
      <c r="F6" s="20" t="str">
        <f>IFERROR(__xludf.DUMMYFUNCTION("IMPORTXML(CONCATENATE(""https://finviz.com/quote.ashx?t="",C6),""/html/body/div[4]/div/table[2]/tbody/tr[8]/td[2]/b"")"),"#N/A")</f>
        <v>#N/A</v>
      </c>
      <c r="G6" s="21">
        <f>IFERROR(__xludf.DUMMYFUNCTION("IFERROR(GoogleFinance(C6,""price""))"),45.38)</f>
        <v>45.38</v>
      </c>
      <c r="H6" s="22">
        <v>90.0</v>
      </c>
      <c r="I6" s="21" t="str">
        <f t="shared" si="1"/>
        <v>#N/A</v>
      </c>
      <c r="J6" s="23" t="str">
        <f t="shared" si="2"/>
        <v>#N/A</v>
      </c>
    </row>
    <row r="7">
      <c r="A7" s="17"/>
      <c r="B7" s="18" t="s">
        <v>15</v>
      </c>
      <c r="C7" s="19" t="s">
        <v>17</v>
      </c>
      <c r="D7" s="20" t="str">
        <f>IFERROR(__xludf.DUMMYFUNCTION("IFERROR(GoogleFinance(C7,""name""))"),"Philip Morris International Inc.")</f>
        <v>Philip Morris International Inc.</v>
      </c>
      <c r="E7" s="21">
        <f>IFERROR(__xludf.DUMMYFUNCTION("IFERROR(GoogleFinance(C7,""pe""))"),17.68)</f>
        <v>17.68</v>
      </c>
      <c r="F7" s="20" t="str">
        <f>IFERROR(__xludf.DUMMYFUNCTION("IMPORTXML(CONCATENATE(""https://finviz.com/quote.ashx?t="",C7),""/html/body/div[4]/div/table[2]/tbody/tr[8]/td[2]/b"")"),"#N/A")</f>
        <v>#N/A</v>
      </c>
      <c r="G7" s="21">
        <f>IFERROR(__xludf.DUMMYFUNCTION("IFERROR(GoogleFinance(C7,""price""))"),98.95)</f>
        <v>98.95</v>
      </c>
      <c r="H7" s="22">
        <v>100.0</v>
      </c>
      <c r="I7" s="21" t="str">
        <f t="shared" si="1"/>
        <v>#N/A</v>
      </c>
      <c r="J7" s="23" t="str">
        <f t="shared" si="2"/>
        <v>#N/A</v>
      </c>
    </row>
    <row r="8">
      <c r="A8" s="17"/>
      <c r="B8" s="18" t="s">
        <v>18</v>
      </c>
      <c r="C8" s="19" t="s">
        <v>19</v>
      </c>
      <c r="D8" s="20" t="str">
        <f>IFERROR(__xludf.DUMMYFUNCTION("IFERROR(GoogleFinance(C8,""name""))"),"IBM Common Stock")</f>
        <v>IBM Common Stock</v>
      </c>
      <c r="E8" s="21">
        <f>IFERROR(__xludf.DUMMYFUNCTION("IFERROR(GoogleFinance(C8,""pe""))"),71.66)</f>
        <v>71.66</v>
      </c>
      <c r="F8" s="20" t="str">
        <f>IFERROR(__xludf.DUMMYFUNCTION("IMPORTXML(CONCATENATE(""https://finviz.com/quote.ashx?t="",C8),""/html/body/div[4]/div/table[2]/tbody/tr[8]/td[2]/b"")"),"#N/A")</f>
        <v>#N/A</v>
      </c>
      <c r="G8" s="21">
        <f>IFERROR(__xludf.DUMMYFUNCTION("IFERROR(GoogleFinance(C8,""price""))"),134.24)</f>
        <v>134.24</v>
      </c>
      <c r="H8" s="22">
        <v>190.0</v>
      </c>
      <c r="I8" s="21" t="str">
        <f t="shared" si="1"/>
        <v>#N/A</v>
      </c>
      <c r="J8" s="23" t="str">
        <f t="shared" si="2"/>
        <v>#N/A</v>
      </c>
    </row>
    <row r="9">
      <c r="A9" s="1"/>
      <c r="B9" s="18" t="s">
        <v>13</v>
      </c>
      <c r="C9" s="19" t="s">
        <v>20</v>
      </c>
      <c r="D9" s="20" t="str">
        <f>IFERROR(__xludf.DUMMYFUNCTION("IFERROR(GoogleFinance(C9,""name""))"),"Verizon Communications Inc.")</f>
        <v>Verizon Communications Inc.</v>
      </c>
      <c r="E9" s="21">
        <f>IFERROR(__xludf.DUMMYFUNCTION("IFERROR(GoogleFinance(C9,""pe""))"),6.13)</f>
        <v>6.13</v>
      </c>
      <c r="F9" s="20" t="str">
        <f>IFERROR(__xludf.DUMMYFUNCTION("IMPORTXML(CONCATENATE(""https://finviz.com/quote.ashx?t="",C9),""/html/body/div[4]/div/table[2]/tbody/tr[8]/td[2]/b"")"),"#N/A")</f>
        <v>#N/A</v>
      </c>
      <c r="G9" s="21">
        <f>IFERROR(__xludf.DUMMYFUNCTION("IFERROR(GoogleFinance(C9,""price""))"),31.46)</f>
        <v>31.46</v>
      </c>
      <c r="H9" s="22">
        <v>80.0</v>
      </c>
      <c r="I9" s="21" t="str">
        <f t="shared" si="1"/>
        <v>#N/A</v>
      </c>
      <c r="J9" s="23" t="str">
        <f t="shared" si="2"/>
        <v>#N/A</v>
      </c>
    </row>
    <row r="10">
      <c r="A10" s="17"/>
      <c r="B10" s="18" t="s">
        <v>21</v>
      </c>
      <c r="C10" s="19" t="s">
        <v>22</v>
      </c>
      <c r="D10" s="20" t="str">
        <f>IFERROR(__xludf.DUMMYFUNCTION("IFERROR(GoogleFinance(C10,""name""))"),"Gilead Sciences, Inc.")</f>
        <v>Gilead Sciences, Inc.</v>
      </c>
      <c r="E10" s="21">
        <f>IFERROR(__xludf.DUMMYFUNCTION("IFERROR(GoogleFinance(C10,""pe""))"),17.51)</f>
        <v>17.51</v>
      </c>
      <c r="F10" s="20" t="str">
        <f>IFERROR(__xludf.DUMMYFUNCTION("IMPORTXML(CONCATENATE(""https://finviz.com/quote.ashx?t="",C10),""/html/body/div[4]/div/table[2]/tbody/tr[8]/td[2]/b"")"),"#N/A")</f>
        <v>#N/A</v>
      </c>
      <c r="G10" s="21">
        <f>IFERROR(__xludf.DUMMYFUNCTION("IFERROR(GoogleFinance(C10,""price""))"),77.48)</f>
        <v>77.48</v>
      </c>
      <c r="H10" s="22">
        <v>52.0</v>
      </c>
      <c r="I10" s="21" t="str">
        <f t="shared" si="1"/>
        <v>#N/A</v>
      </c>
      <c r="J10" s="23" t="str">
        <f t="shared" si="2"/>
        <v>#N/A</v>
      </c>
    </row>
    <row r="11">
      <c r="A11" s="1"/>
      <c r="B11" s="18" t="s">
        <v>23</v>
      </c>
      <c r="C11" s="24" t="s">
        <v>24</v>
      </c>
      <c r="D11" s="20" t="str">
        <f>IFERROR(__xludf.DUMMYFUNCTION("IFERROR(GoogleFinance(C11,""name""))"),"Vornado Realty Trust")</f>
        <v>Vornado Realty Trust</v>
      </c>
      <c r="E11" s="21" t="str">
        <f>IFERROR(__xludf.DUMMYFUNCTION("IFERROR(GoogleFinance(C11,""pe""))"),"")</f>
        <v/>
      </c>
      <c r="F11" s="20" t="str">
        <f>IFERROR(__xludf.DUMMYFUNCTION("IMPORTXML(CONCATENATE(""https://finviz.com/quote.ashx?t="",C11),""/html/body/div[4]/div/table[2]/tbody/tr[8]/td[2]/b"")"),"#N/A")</f>
        <v>#N/A</v>
      </c>
      <c r="G11" s="21">
        <f>IFERROR(__xludf.DUMMYFUNCTION("IFERROR(GoogleFinance(C11,""price""))"),18.56)</f>
        <v>18.56</v>
      </c>
      <c r="H11" s="22">
        <v>50.0</v>
      </c>
      <c r="I11" s="21" t="str">
        <f t="shared" si="1"/>
        <v>#N/A</v>
      </c>
      <c r="J11" s="23" t="str">
        <f t="shared" si="2"/>
        <v>#N/A</v>
      </c>
    </row>
    <row r="12">
      <c r="A12" s="17"/>
      <c r="B12" s="18" t="s">
        <v>25</v>
      </c>
      <c r="C12" s="19" t="s">
        <v>26</v>
      </c>
      <c r="D12" s="20" t="str">
        <f>IFERROR(__xludf.DUMMYFUNCTION("IFERROR(GoogleFinance(C12,""name""))"),"Dow Inc")</f>
        <v>Dow Inc</v>
      </c>
      <c r="E12" s="21">
        <f>IFERROR(__xludf.DUMMYFUNCTION("IFERROR(GoogleFinance(C12,""pe""))"),13.1)</f>
        <v>13.1</v>
      </c>
      <c r="F12" s="20" t="str">
        <f>IFERROR(__xludf.DUMMYFUNCTION("IMPORTXML(CONCATENATE(""https://finviz.com/quote.ashx?t="",C12),""/html/body/div[4]/div/table[2]/tbody/tr[8]/td[2]/b"")"),"#N/A")</f>
        <v>#N/A</v>
      </c>
      <c r="G12" s="21">
        <f>IFERROR(__xludf.DUMMYFUNCTION("IFERROR(GoogleFinance(C12,""price""))"),52.43)</f>
        <v>52.43</v>
      </c>
      <c r="H12" s="22">
        <v>48.0</v>
      </c>
      <c r="I12" s="21" t="str">
        <f t="shared" si="1"/>
        <v>#N/A</v>
      </c>
      <c r="J12" s="23" t="str">
        <f t="shared" si="2"/>
        <v>#N/A</v>
      </c>
    </row>
    <row r="13">
      <c r="A13" s="17"/>
      <c r="B13" s="18" t="s">
        <v>27</v>
      </c>
      <c r="C13" s="19" t="s">
        <v>28</v>
      </c>
      <c r="D13" s="20" t="str">
        <f>IFERROR(__xludf.DUMMYFUNCTION("IFERROR(GoogleFinance(C13,""name""))"),"Exxon Mobil Corp")</f>
        <v>Exxon Mobil Corp</v>
      </c>
      <c r="E13" s="21">
        <f>IFERROR(__xludf.DUMMYFUNCTION("IFERROR(GoogleFinance(C13,""pe""))"),6.86)</f>
        <v>6.86</v>
      </c>
      <c r="F13" s="20" t="str">
        <f>IFERROR(__xludf.DUMMYFUNCTION("IMPORTXML(CONCATENATE(""https://finviz.com/quote.ashx?t="",C13),""/html/body/div[4]/div/table[2]/tbody/tr[8]/td[2]/b"")"),"#N/A")</f>
        <v>#N/A</v>
      </c>
      <c r="G13" s="21">
        <f>IFERROR(__xludf.DUMMYFUNCTION("IFERROR(GoogleFinance(C13,""price""))"),101.38)</f>
        <v>101.38</v>
      </c>
      <c r="H13" s="22">
        <v>44.0</v>
      </c>
      <c r="I13" s="21" t="str">
        <f t="shared" si="1"/>
        <v>#N/A</v>
      </c>
      <c r="J13" s="23" t="str">
        <f t="shared" si="2"/>
        <v>#N/A</v>
      </c>
    </row>
    <row r="14">
      <c r="A14" s="17"/>
      <c r="B14" s="18" t="s">
        <v>29</v>
      </c>
      <c r="C14" s="24" t="s">
        <v>30</v>
      </c>
      <c r="D14" s="20" t="str">
        <f>IFERROR(__xludf.DUMMYFUNCTION("IFERROR(GoogleFinance(C14,""name""))"),"3M Co")</f>
        <v>3M Co</v>
      </c>
      <c r="E14" s="21">
        <f>IFERROR(__xludf.DUMMYFUNCTION("IFERROR(GoogleFinance(C14,""pe""))"),10.54)</f>
        <v>10.54</v>
      </c>
      <c r="F14" s="20" t="str">
        <f>IFERROR(__xludf.DUMMYFUNCTION("IMPORTXML(CONCATENATE(""https://finviz.com/quote.ashx?t="",C14),""/html/body/div[4]/div/table[2]/tbody/tr[8]/td[2]/b"")"),"#N/A")</f>
        <v>#N/A</v>
      </c>
      <c r="G14" s="21">
        <f>IFERROR(__xludf.DUMMYFUNCTION("IFERROR(GoogleFinance(C14,""price""))"),101.7)</f>
        <v>101.7</v>
      </c>
      <c r="H14" s="22">
        <v>11.0</v>
      </c>
      <c r="I14" s="21" t="str">
        <f t="shared" si="1"/>
        <v>#N/A</v>
      </c>
      <c r="J14" s="23" t="str">
        <f t="shared" si="2"/>
        <v>#N/A</v>
      </c>
    </row>
    <row r="15">
      <c r="A15" s="17"/>
      <c r="B15" s="18" t="s">
        <v>21</v>
      </c>
      <c r="C15" s="18" t="s">
        <v>31</v>
      </c>
      <c r="D15" s="20" t="str">
        <f>IFERROR(__xludf.DUMMYFUNCTION("IFERROR(GoogleFinance(C15,""name""))"),"AbbVie Inc")</f>
        <v>AbbVie Inc</v>
      </c>
      <c r="E15" s="21">
        <f>IFERROR(__xludf.DUMMYFUNCTION("IFERROR(GoogleFinance(C15,""pe""))"),31.81)</f>
        <v>31.81</v>
      </c>
      <c r="F15" s="20" t="str">
        <f>IFERROR(__xludf.DUMMYFUNCTION("IMPORTXML(CONCATENATE(""https://finviz.com/quote.ashx?t="",C15),""/html/body/div[4]/div/table[2]/tbody/tr[8]/td[2]/b"")"),"#N/A")</f>
        <v>#N/A</v>
      </c>
      <c r="G15" s="21">
        <f>IFERROR(__xludf.DUMMYFUNCTION("IFERROR(GoogleFinance(C15,""price""))"),134.83)</f>
        <v>134.83</v>
      </c>
      <c r="H15" s="22">
        <v>16.0</v>
      </c>
      <c r="I15" s="21" t="str">
        <f t="shared" si="1"/>
        <v>#N/A</v>
      </c>
      <c r="J15" s="23" t="str">
        <f t="shared" si="2"/>
        <v>#N/A</v>
      </c>
    </row>
    <row r="16">
      <c r="A16" s="1"/>
      <c r="B16" s="18" t="s">
        <v>27</v>
      </c>
      <c r="C16" s="19" t="s">
        <v>32</v>
      </c>
      <c r="D16" s="20" t="str">
        <f>IFERROR(__xludf.DUMMYFUNCTION("IFERROR(GoogleFinance(C16,""name""))"),"Chevron Corporation")</f>
        <v>Chevron Corporation</v>
      </c>
      <c r="E16" s="21">
        <f>IFERROR(__xludf.DUMMYFUNCTION("IFERROR(GoogleFinance(C16,""pe""))"),8.3)</f>
        <v>8.3</v>
      </c>
      <c r="F16" s="20" t="str">
        <f>IFERROR(__xludf.DUMMYFUNCTION("IMPORTXML(CONCATENATE(""https://finviz.com/quote.ashx?t="",C16),""/html/body/div[4]/div/table[2]/tbody/tr[8]/td[2]/b"")"),"#N/A")</f>
        <v>#N/A</v>
      </c>
      <c r="G16" s="21">
        <f>IFERROR(__xludf.DUMMYFUNCTION("IFERROR(GoogleFinance(C16,""price""))"),153.44)</f>
        <v>153.44</v>
      </c>
      <c r="H16" s="22">
        <v>10.0</v>
      </c>
      <c r="I16" s="21" t="str">
        <f t="shared" si="1"/>
        <v>#N/A</v>
      </c>
      <c r="J16" s="23" t="str">
        <f t="shared" si="2"/>
        <v>#N/A</v>
      </c>
    </row>
    <row r="17">
      <c r="A17" s="17"/>
      <c r="B17" s="18" t="s">
        <v>21</v>
      </c>
      <c r="C17" s="24" t="s">
        <v>33</v>
      </c>
      <c r="D17" s="20" t="str">
        <f>IFERROR(__xludf.DUMMYFUNCTION("IFERROR(GoogleFinance(C17,""name""))"),"Merck &amp; Co Inc")</f>
        <v>Merck &amp; Co Inc</v>
      </c>
      <c r="E17" s="21">
        <f>IFERROR(__xludf.DUMMYFUNCTION("IFERROR(GoogleFinance(C17,""pe""))"),20.6)</f>
        <v>20.6</v>
      </c>
      <c r="F17" s="20" t="str">
        <f>IFERROR(__xludf.DUMMYFUNCTION("IMPORTXML(CONCATENATE(""https://finviz.com/quote.ashx?t="",C17),""/html/body/div[4]/div/table[2]/tbody/tr[8]/td[2]/b"")"),"#N/A")</f>
        <v>#N/A</v>
      </c>
      <c r="G17" s="21">
        <f>IFERROR(__xludf.DUMMYFUNCTION("IFERROR(GoogleFinance(C17,""price""))"),105.57)</f>
        <v>105.57</v>
      </c>
      <c r="H17" s="22">
        <v>22.0</v>
      </c>
      <c r="I17" s="21" t="str">
        <f t="shared" si="1"/>
        <v>#N/A</v>
      </c>
      <c r="J17" s="23" t="str">
        <f t="shared" si="2"/>
        <v>#N/A</v>
      </c>
    </row>
    <row r="18">
      <c r="A18" s="1"/>
      <c r="B18" s="18" t="s">
        <v>27</v>
      </c>
      <c r="C18" s="24" t="s">
        <v>34</v>
      </c>
      <c r="D18" s="20" t="str">
        <f>IFERROR(__xludf.DUMMYFUNCTION("IFERROR(GoogleFinance(C18,""name""))"),"FLEX LNG Ltd")</f>
        <v>FLEX LNG Ltd</v>
      </c>
      <c r="E18" s="21" t="str">
        <f>IFERROR(__xludf.DUMMYFUNCTION("IFERROR(GoogleFinance(C18,""pe""))"),"")</f>
        <v/>
      </c>
      <c r="F18" s="20" t="str">
        <f>IFERROR(__xludf.DUMMYFUNCTION("IMPORTXML(CONCATENATE(""https://finviz.com/quote.ashx?t="",C18),""/html/body/div[4]/div/table[2]/tbody/tr[8]/td[2]/b"")"),"#N/A")</f>
        <v>#N/A</v>
      </c>
      <c r="G18" s="21">
        <f>IFERROR(__xludf.DUMMYFUNCTION("IFERROR(GoogleFinance(C18,""price""))"),30.88)</f>
        <v>30.88</v>
      </c>
      <c r="H18" s="22">
        <v>45.0</v>
      </c>
      <c r="I18" s="21" t="str">
        <f t="shared" si="1"/>
        <v>#N/A</v>
      </c>
      <c r="J18" s="23" t="str">
        <f t="shared" si="2"/>
        <v>#N/A</v>
      </c>
    </row>
    <row r="19">
      <c r="A19" s="1"/>
      <c r="B19" s="19" t="s">
        <v>18</v>
      </c>
      <c r="C19" s="24" t="s">
        <v>35</v>
      </c>
      <c r="D19" s="20" t="str">
        <f>IFERROR(__xludf.DUMMYFUNCTION("IFERROR(GoogleFinance(C19,""name""))"),"Intel Corporation")</f>
        <v>Intel Corporation</v>
      </c>
      <c r="E19" s="21" t="str">
        <f>IFERROR(__xludf.DUMMYFUNCTION("IFERROR(GoogleFinance(C19,""pe""))"),"")</f>
        <v/>
      </c>
      <c r="F19" s="20" t="str">
        <f>IFERROR(__xludf.DUMMYFUNCTION("IMPORTXML(CONCATENATE(""https://finviz.com/quote.ashx?t="",C19),""/html/body/div[4]/div/table[2]/tbody/tr[8]/td[2]/b"")"),"#N/A")</f>
        <v>#N/A</v>
      </c>
      <c r="G19" s="21">
        <f>IFERROR(__xludf.DUMMYFUNCTION("IFERROR(GoogleFinance(C19,""price""))"),34.37)</f>
        <v>34.37</v>
      </c>
      <c r="H19" s="22">
        <v>45.0</v>
      </c>
      <c r="I19" s="21" t="str">
        <f t="shared" si="1"/>
        <v>#N/A</v>
      </c>
      <c r="J19" s="23" t="str">
        <f t="shared" si="2"/>
        <v>#N/A</v>
      </c>
    </row>
    <row r="20">
      <c r="A20" s="1"/>
      <c r="B20" s="25" t="s">
        <v>36</v>
      </c>
      <c r="C20" s="10"/>
      <c r="D20" s="10"/>
      <c r="E20" s="10"/>
      <c r="F20" s="10"/>
      <c r="G20" s="10"/>
      <c r="H20" s="11"/>
      <c r="I20" s="26" t="str">
        <f t="shared" ref="I20:J20" si="3">SUM(I5:I19)</f>
        <v>#N/A</v>
      </c>
      <c r="J20" s="27" t="str">
        <f t="shared" si="3"/>
        <v>#N/A</v>
      </c>
    </row>
  </sheetData>
  <mergeCells count="2">
    <mergeCell ref="H3:J3"/>
    <mergeCell ref="B20:H20"/>
  </mergeCells>
  <conditionalFormatting sqref="I1:I2 I4:J4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H1:I4 J4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28.5"/>
    <col customWidth="1" min="4" max="5" width="7.0"/>
    <col customWidth="1" min="6" max="7" width="9.13"/>
    <col customWidth="1" min="8" max="8" width="7.63"/>
  </cols>
  <sheetData>
    <row r="1">
      <c r="A1" s="1"/>
    </row>
    <row r="2">
      <c r="A2" s="1"/>
      <c r="B2" s="2" t="s">
        <v>37</v>
      </c>
      <c r="F2" s="3"/>
      <c r="G2" s="3"/>
      <c r="I2" s="4"/>
    </row>
    <row r="3">
      <c r="A3" s="1"/>
      <c r="B3" s="6"/>
      <c r="C3" s="7"/>
      <c r="D3" s="7"/>
      <c r="E3" s="7"/>
      <c r="F3" s="7"/>
      <c r="G3" s="8" t="s">
        <v>38</v>
      </c>
      <c r="H3" s="9" t="s">
        <v>3</v>
      </c>
      <c r="I3" s="11"/>
    </row>
    <row r="4">
      <c r="A4" s="1"/>
      <c r="B4" s="13" t="s">
        <v>39</v>
      </c>
      <c r="C4" s="14" t="s">
        <v>40</v>
      </c>
      <c r="D4" s="15" t="s">
        <v>7</v>
      </c>
      <c r="E4" s="15" t="s">
        <v>41</v>
      </c>
      <c r="F4" s="15" t="s">
        <v>42</v>
      </c>
      <c r="G4" s="8" t="s">
        <v>9</v>
      </c>
      <c r="H4" s="16" t="s">
        <v>10</v>
      </c>
      <c r="I4" s="16" t="s">
        <v>12</v>
      </c>
    </row>
    <row r="5" ht="20.25" customHeight="1">
      <c r="A5" s="1"/>
      <c r="B5" s="28">
        <v>4502.0</v>
      </c>
      <c r="C5" s="29" t="str">
        <f>IFERROR(__xludf.DUMMYFUNCTION("IMPORTXML(CONCATENATE(""https://kabutan.jp/stock/?code="",B5),""//*[@id='kobetsu_right']/div[4]/h3"")"),"武田薬品工業")</f>
        <v>武田薬品工業</v>
      </c>
      <c r="D5" s="30">
        <f>IFERROR(__xludf.DUMMYFUNCTION("INDEX((IMPORTXML(CONCATENATE(""https://kabutan.jp/stock/?code="",B5),""//*[@id='stockinfo_i3']/table/tbody/tr[1]/td[1]"")),1,1)"),47.4)</f>
        <v>47.4</v>
      </c>
      <c r="E5" s="30">
        <f>IFERROR(__xludf.DUMMYFUNCTION("INDEX((IMPORTXML(CONCATENATE(""https://kabutan.jp/stock/?code="",B5),""//*[@id='stockinfo_i3']/table/tbody/tr[1]/td[2]"")),1,1)"),1.06)</f>
        <v>1.06</v>
      </c>
      <c r="F5" s="30">
        <f>IFERROR(__xludf.DUMMYFUNCTION("INDEX((IMPORTXML(CONCATENATE(""https://kabutan.jp/stock/?code="",B5),""//*[@id='stockinfo_i3']/table/tbody/tr[1]/td[3]"")),1,1)"),4.38)</f>
        <v>4.38</v>
      </c>
      <c r="G5" s="31">
        <f>IFERROR(__xludf.DUMMYFUNCTION("IMPORTXML(CONCATENATE(""https://kabutan.jp/stock/?code="",B5),""//*[@id='kobetsu_left']/table[1]/tbody/tr[4]/td[1]"")"),4290.0)</f>
        <v>4290</v>
      </c>
      <c r="H5" s="22">
        <v>200.0</v>
      </c>
      <c r="I5" s="23">
        <f t="shared" ref="I5:I16" si="1">G5*F5*H5/100</f>
        <v>37580.4</v>
      </c>
    </row>
    <row r="6" ht="20.25" customHeight="1">
      <c r="A6" s="17"/>
      <c r="B6" s="32">
        <v>6301.0</v>
      </c>
      <c r="C6" s="29" t="str">
        <f>IFERROR(__xludf.DUMMYFUNCTION("IMPORTXML(CONCATENATE(""https://kabutan.jp/stock/?code="",B6),""//*[@id='kobetsu_right']/div[4]/h3"")"),"コマツ")</f>
        <v>コマツ</v>
      </c>
      <c r="D6" s="30">
        <f>IFERROR(__xludf.DUMMYFUNCTION("INDEX((IMPORTXML(CONCATENATE(""https://kabutan.jp/stock/?code="",B6),""//*[@id='stockinfo_i3']/table/tbody/tr[1]/td[1]"")),1,1)"),11.9)</f>
        <v>11.9</v>
      </c>
      <c r="E6" s="30">
        <f>IFERROR(__xludf.DUMMYFUNCTION("INDEX((IMPORTXML(CONCATENATE(""https://kabutan.jp/stock/?code="",B6),""//*[@id='stockinfo_i3']/table/tbody/tr[1]/td[2]"")),1,1)"),1.41)</f>
        <v>1.41</v>
      </c>
      <c r="F6" s="30">
        <f>IFERROR(__xludf.DUMMYFUNCTION("INDEX((IMPORTXML(CONCATENATE(""https://kabutan.jp/stock/?code="",B6),""//*[@id='stockinfo_i3']/table/tbody/tr[1]/td[3]"")),1,1)"),3.68)</f>
        <v>3.68</v>
      </c>
      <c r="G6" s="31">
        <f>IFERROR(__xludf.DUMMYFUNCTION("IMPORTXML(CONCATENATE(""https://kabutan.jp/stock/?code="",B6),""//*[@id='kobetsu_left']/table[1]/tbody/tr[4]/td[1]"")"),3775.0)</f>
        <v>3775</v>
      </c>
      <c r="H6" s="22">
        <v>100.0</v>
      </c>
      <c r="I6" s="23">
        <f t="shared" si="1"/>
        <v>13892</v>
      </c>
    </row>
    <row r="7" ht="20.25" customHeight="1">
      <c r="A7" s="17"/>
      <c r="B7" s="32">
        <v>3003.0</v>
      </c>
      <c r="C7" s="29" t="str">
        <f>IFERROR(__xludf.DUMMYFUNCTION("IMPORTXML(CONCATENATE(""https://kabutan.jp/stock/?code="",B7),""//*[@id='kobetsu_right']/div[4]/h3"")"),"ヒューリック")</f>
        <v>ヒューリック</v>
      </c>
      <c r="D7" s="30">
        <f>IFERROR(__xludf.DUMMYFUNCTION("INDEX((IMPORTXML(CONCATENATE(""https://kabutan.jp/stock/?code="",B7),""//*[@id='stockinfo_i3']/table/tbody/tr[1]/td[1]"")),1,1)"),10.5)</f>
        <v>10.5</v>
      </c>
      <c r="E7" s="30">
        <f>IFERROR(__xludf.DUMMYFUNCTION("INDEX((IMPORTXML(CONCATENATE(""https://kabutan.jp/stock/?code="",B7),""//*[@id='stockinfo_i3']/table/tbody/tr[1]/td[2]"")),1,1)"),1.31)</f>
        <v>1.31</v>
      </c>
      <c r="F7" s="30">
        <f>IFERROR(__xludf.DUMMYFUNCTION("INDEX((IMPORTXML(CONCATENATE(""https://kabutan.jp/stock/?code="",B7),""//*[@id='stockinfo_i3']/table/tbody/tr[1]/td[3]"")),1,1)"),3.85)</f>
        <v>3.85</v>
      </c>
      <c r="G7" s="31">
        <f>IFERROR(__xludf.DUMMYFUNCTION("IMPORTXML(CONCATENATE(""https://kabutan.jp/stock/?code="",B7),""//*[@id='kobetsu_left']/table[1]/tbody/tr[4]/td[1]"")"),1193.5)</f>
        <v>1193.5</v>
      </c>
      <c r="H7" s="22">
        <v>100.0</v>
      </c>
      <c r="I7" s="23">
        <f t="shared" si="1"/>
        <v>4594.975</v>
      </c>
    </row>
    <row r="8" ht="20.25" customHeight="1">
      <c r="A8" s="1"/>
      <c r="B8" s="28">
        <v>6098.0</v>
      </c>
      <c r="C8" s="29" t="str">
        <f>IFERROR(__xludf.DUMMYFUNCTION("IMPORTXML(CONCATENATE(""https://kabutan.jp/stock/?code="",B8),""//*[@id='kobetsu_right']/div[4]/h3"")"),"リクルートホールディングス")</f>
        <v>リクルートホールディングス</v>
      </c>
      <c r="D8" s="30" t="str">
        <f>IFERROR(__xludf.DUMMYFUNCTION("INDEX((IMPORTXML(CONCATENATE(""https://kabutan.jp/stock/?code="",B8),""//*[@id='stockinfo_i3']/table/tbody/tr[1]/td[1]"")),1,1)"),"－")</f>
        <v>－</v>
      </c>
      <c r="E8" s="30">
        <f>IFERROR(__xludf.DUMMYFUNCTION("INDEX((IMPORTXML(CONCATENATE(""https://kabutan.jp/stock/?code="",B8),""//*[@id='stockinfo_i3']/table/tbody/tr[1]/td[2]"")),1,1)"),4.57)</f>
        <v>4.57</v>
      </c>
      <c r="F8" s="30">
        <f>IFERROR(__xludf.DUMMYFUNCTION("INDEX((IMPORTXML(CONCATENATE(""https://kabutan.jp/stock/?code="",B8),""//*[@id='stockinfo_i3']/table/tbody/tr[1]/td[3]"")),1,1)"),0.48)</f>
        <v>0.48</v>
      </c>
      <c r="G8" s="31">
        <f>IFERROR(__xludf.DUMMYFUNCTION("IMPORTXML(CONCATENATE(""https://kabutan.jp/stock/?code="",B8),""//*[@id='kobetsu_left']/table[1]/tbody/tr[4]/td[1]"")"),4763.0)</f>
        <v>4763</v>
      </c>
      <c r="H8" s="22">
        <v>100.0</v>
      </c>
      <c r="I8" s="23">
        <f t="shared" si="1"/>
        <v>2286.24</v>
      </c>
    </row>
    <row r="9" ht="20.25" customHeight="1">
      <c r="A9" s="17"/>
      <c r="B9" s="28">
        <v>4063.0</v>
      </c>
      <c r="C9" s="29" t="str">
        <f>IFERROR(__xludf.DUMMYFUNCTION("IMPORTXML(CONCATENATE(""https://kabutan.jp/stock/?code="",B9),""//*[@id='kobetsu_right']/div[4]/h3"")"),"信越化学工業")</f>
        <v>信越化学工業</v>
      </c>
      <c r="D9" s="30" t="str">
        <f>IFERROR(__xludf.DUMMYFUNCTION("INDEX((IMPORTXML(CONCATENATE(""https://kabutan.jp/stock/?code="",B9),""//*[@id='stockinfo_i3']/table/tbody/tr[1]/td[1]"")),1,1)"),"－")</f>
        <v>－</v>
      </c>
      <c r="E9" s="30">
        <f>IFERROR(__xludf.DUMMYFUNCTION("INDEX((IMPORTXML(CONCATENATE(""https://kabutan.jp/stock/?code="",B9),""//*[@id='stockinfo_i3']/table/tbody/tr[1]/td[2]"")),1,1)"),2.44)</f>
        <v>2.44</v>
      </c>
      <c r="F9" s="30" t="str">
        <f>IFERROR(__xludf.DUMMYFUNCTION("INDEX((IMPORTXML(CONCATENATE(""https://kabutan.jp/stock/?code="",B9),""//*[@id='stockinfo_i3']/table/tbody/tr[1]/td[3]"")),1,1)"),"－")</f>
        <v>－</v>
      </c>
      <c r="G9" s="31">
        <f>IFERROR(__xludf.DUMMYFUNCTION("IMPORTXML(CONCATENATE(""https://kabutan.jp/stock/?code="",B9),""//*[@id='kobetsu_left']/table[1]/tbody/tr[4]/td[1]"")"),4683.0)</f>
        <v>4683</v>
      </c>
      <c r="H9" s="22">
        <v>100.0</v>
      </c>
      <c r="I9" s="23" t="str">
        <f t="shared" si="1"/>
        <v>#VALUE!</v>
      </c>
    </row>
    <row r="10" ht="20.25" customHeight="1">
      <c r="A10" s="1"/>
      <c r="B10" s="32">
        <v>6301.0</v>
      </c>
      <c r="C10" s="29" t="str">
        <f>IFERROR(__xludf.DUMMYFUNCTION("IMPORTXML(CONCATENATE(""https://kabutan.jp/stock/?code="",B10),""//*[@id='kobetsu_right']/div[4]/h3"")"),"コマツ")</f>
        <v>コマツ</v>
      </c>
      <c r="D10" s="30">
        <f>IFERROR(__xludf.DUMMYFUNCTION("INDEX((IMPORTXML(CONCATENATE(""https://kabutan.jp/stock/?code="",B10),""//*[@id='stockinfo_i3']/table/tbody/tr[1]/td[1]"")),1,1)"),11.9)</f>
        <v>11.9</v>
      </c>
      <c r="E10" s="30">
        <f>IFERROR(__xludf.DUMMYFUNCTION("INDEX((IMPORTXML(CONCATENATE(""https://kabutan.jp/stock/?code="",B10),""//*[@id='stockinfo_i3']/table/tbody/tr[1]/td[2]"")),1,1)"),1.41)</f>
        <v>1.41</v>
      </c>
      <c r="F10" s="30">
        <f>IFERROR(__xludf.DUMMYFUNCTION("INDEX((IMPORTXML(CONCATENATE(""https://kabutan.jp/stock/?code="",B10),""//*[@id='stockinfo_i3']/table/tbody/tr[1]/td[3]"")),1,1)"),3.68)</f>
        <v>3.68</v>
      </c>
      <c r="G10" s="31">
        <f>IFERROR(__xludf.DUMMYFUNCTION("IMPORTXML(CONCATENATE(""https://kabutan.jp/stock/?code="",B10),""//*[@id='kobetsu_left']/table[1]/tbody/tr[4]/td[1]"")"),3775.0)</f>
        <v>3775</v>
      </c>
      <c r="H10" s="22">
        <v>200.0</v>
      </c>
      <c r="I10" s="23">
        <f t="shared" si="1"/>
        <v>27784</v>
      </c>
    </row>
    <row r="11" ht="20.25" customHeight="1">
      <c r="A11" s="17"/>
      <c r="B11" s="32">
        <v>8593.0</v>
      </c>
      <c r="C11" s="29" t="str">
        <f>IFERROR(__xludf.DUMMYFUNCTION("IMPORTXML(CONCATENATE(""https://kabutan.jp/stock/?code="",B11),""//*[@id='kobetsu_right']/div[4]/h3"")"),"三菱ＨＣキャピタル")</f>
        <v>三菱ＨＣキャピタル</v>
      </c>
      <c r="D11" s="30">
        <f>IFERROR(__xludf.DUMMYFUNCTION("INDEX((IMPORTXML(CONCATENATE(""https://kabutan.jp/stock/?code="",B11),""//*[@id='stockinfo_i3']/table/tbody/tr[1]/td[1]"")),1,1)"),10.4)</f>
        <v>10.4</v>
      </c>
      <c r="E11" s="30">
        <f>IFERROR(__xludf.DUMMYFUNCTION("INDEX((IMPORTXML(CONCATENATE(""https://kabutan.jp/stock/?code="",B11),""//*[@id='stockinfo_i3']/table/tbody/tr[1]/td[2]"")),1,1)"),0.82)</f>
        <v>0.82</v>
      </c>
      <c r="F11" s="30">
        <f>IFERROR(__xludf.DUMMYFUNCTION("INDEX((IMPORTXML(CONCATENATE(""https://kabutan.jp/stock/?code="",B11),""//*[@id='stockinfo_i3']/table/tbody/tr[1]/td[3]"")),1,1)"),4.24)</f>
        <v>4.24</v>
      </c>
      <c r="G11" s="31">
        <f>IFERROR(__xludf.DUMMYFUNCTION("IMPORTXML(CONCATENATE(""https://kabutan.jp/stock/?code="",B11),""//*[@id='kobetsu_left']/table[1]/tbody/tr[4]/td[1]"")"),871.9)</f>
        <v>871.9</v>
      </c>
      <c r="H11" s="22">
        <v>100.0</v>
      </c>
      <c r="I11" s="23">
        <f t="shared" si="1"/>
        <v>3696.856</v>
      </c>
    </row>
    <row r="12" ht="20.25" customHeight="1">
      <c r="A12" s="17"/>
      <c r="B12" s="32">
        <v>5411.0</v>
      </c>
      <c r="C12" s="29" t="str">
        <f>IFERROR(__xludf.DUMMYFUNCTION("IMPORTXML(CONCATENATE(""https://kabutan.jp/stock/?code="",B12),""//*[@id='kobetsu_right']/div[4]/h3"")"),"ＪＦＥホールディングス")</f>
        <v>ＪＦＥホールディングス</v>
      </c>
      <c r="D12" s="30">
        <f>IFERROR(__xludf.DUMMYFUNCTION("INDEX((IMPORTXML(CONCATENATE(""https://kabutan.jp/stock/?code="",B12),""//*[@id='stockinfo_i3']/table/tbody/tr[1]/td[1]"")),1,1)"),6.2)</f>
        <v>6.2</v>
      </c>
      <c r="E12" s="30">
        <f>IFERROR(__xludf.DUMMYFUNCTION("INDEX((IMPORTXML(CONCATENATE(""https://kabutan.jp/stock/?code="",B12),""//*[@id='stockinfo_i3']/table/tbody/tr[1]/td[2]"")),1,1)"),0.55)</f>
        <v>0.55</v>
      </c>
      <c r="F12" s="30">
        <f>IFERROR(__xludf.DUMMYFUNCTION("INDEX((IMPORTXML(CONCATENATE(""https://kabutan.jp/stock/?code="",B12),""//*[@id='stockinfo_i3']/table/tbody/tr[1]/td[3]"")),1,1)"),4.94)</f>
        <v>4.94</v>
      </c>
      <c r="G12" s="31">
        <f>IFERROR(__xludf.DUMMYFUNCTION("IMPORTXML(CONCATENATE(""https://kabutan.jp/stock/?code="",B12),""//*[@id='kobetsu_left']/table[1]/tbody/tr[4]/td[1]"")"),2022.5)</f>
        <v>2022.5</v>
      </c>
      <c r="H12" s="22">
        <v>100.0</v>
      </c>
      <c r="I12" s="23">
        <f t="shared" si="1"/>
        <v>9991.15</v>
      </c>
    </row>
    <row r="13" ht="20.25" customHeight="1">
      <c r="A13" s="17"/>
      <c r="B13" s="32">
        <v>4188.0</v>
      </c>
      <c r="C13" s="29" t="str">
        <f>IFERROR(__xludf.DUMMYFUNCTION("IMPORTXML(CONCATENATE(""https://kabutan.jp/stock/?code="",B13),""//*[@id='kobetsu_right']/div[4]/h3"")"),"三菱ケミカルグループ")</f>
        <v>三菱ケミカルグループ</v>
      </c>
      <c r="D13" s="30">
        <f>IFERROR(__xludf.DUMMYFUNCTION("INDEX((IMPORTXML(CONCATENATE(""https://kabutan.jp/stock/?code="",B13),""//*[@id='stockinfo_i3']/table/tbody/tr[1]/td[1]"")),1,1)"),12.1)</f>
        <v>12.1</v>
      </c>
      <c r="E13" s="30">
        <f>IFERROR(__xludf.DUMMYFUNCTION("INDEX((IMPORTXML(CONCATENATE(""https://kabutan.jp/stock/?code="",B13),""//*[@id='stockinfo_i3']/table/tbody/tr[1]/td[2]"")),1,1)"),0.75)</f>
        <v>0.75</v>
      </c>
      <c r="F13" s="30">
        <f>IFERROR(__xludf.DUMMYFUNCTION("INDEX((IMPORTXML(CONCATENATE(""https://kabutan.jp/stock/?code="",B13),""//*[@id='stockinfo_i3']/table/tbody/tr[1]/td[3]"")),1,1)"),3.89)</f>
        <v>3.89</v>
      </c>
      <c r="G13" s="31">
        <f>IFERROR(__xludf.DUMMYFUNCTION("IMPORTXML(CONCATENATE(""https://kabutan.jp/stock/?code="",B13),""//*[@id='kobetsu_left']/table[1]/tbody/tr[4]/td[1]"")"),823.1)</f>
        <v>823.1</v>
      </c>
      <c r="H13" s="22">
        <v>100.0</v>
      </c>
      <c r="I13" s="23">
        <f t="shared" si="1"/>
        <v>3201.859</v>
      </c>
    </row>
    <row r="14" ht="20.25" customHeight="1">
      <c r="A14" s="17"/>
      <c r="B14" s="32">
        <v>2124.0</v>
      </c>
      <c r="C14" s="29" t="str">
        <f>IFERROR(__xludf.DUMMYFUNCTION("IMPORTXML(CONCATENATE(""https://kabutan.jp/stock/?code="",B14),""//*[@id='kobetsu_right']/div[4]/h3"")"),"ジェイエイシーリクルートメント")</f>
        <v>ジェイエイシーリクルートメント</v>
      </c>
      <c r="D14" s="30">
        <f>IFERROR(__xludf.DUMMYFUNCTION("INDEX((IMPORTXML(CONCATENATE(""https://kabutan.jp/stock/?code="",B14),""//*[@id='stockinfo_i3']/table/tbody/tr[1]/td[1]"")),1,1)"),19.7)</f>
        <v>19.7</v>
      </c>
      <c r="E14" s="30">
        <f>IFERROR(__xludf.DUMMYFUNCTION("INDEX((IMPORTXML(CONCATENATE(""https://kabutan.jp/stock/?code="",B14),""//*[@id='stockinfo_i3']/table/tbody/tr[1]/td[2]"")),1,1)"),8.43)</f>
        <v>8.43</v>
      </c>
      <c r="F14" s="30">
        <f>IFERROR(__xludf.DUMMYFUNCTION("INDEX((IMPORTXML(CONCATENATE(""https://kabutan.jp/stock/?code="",B14),""//*[@id='stockinfo_i3']/table/tbody/tr[1]/td[3]"")),1,1)"),3.18)</f>
        <v>3.18</v>
      </c>
      <c r="G14" s="31">
        <f>IFERROR(__xludf.DUMMYFUNCTION("IMPORTXML(CONCATENATE(""https://kabutan.jp/stock/?code="",B14),""//*[@id='kobetsu_left']/table[1]/tbody/tr[4]/td[1]"")"),2670.0)</f>
        <v>2670</v>
      </c>
      <c r="H14" s="22">
        <v>100.0</v>
      </c>
      <c r="I14" s="23">
        <f t="shared" si="1"/>
        <v>8490.6</v>
      </c>
    </row>
    <row r="15" ht="20.25" customHeight="1">
      <c r="A15" s="1"/>
      <c r="B15" s="32">
        <v>2163.0</v>
      </c>
      <c r="C15" s="29" t="str">
        <f>IFERROR(__xludf.DUMMYFUNCTION("IMPORTXML(CONCATENATE(""https://kabutan.jp/stock/?code="",B15),""//*[@id='kobetsu_right']/div[4]/h3"")"),"アルトナー")</f>
        <v>アルトナー</v>
      </c>
      <c r="D15" s="30">
        <f>IFERROR(__xludf.DUMMYFUNCTION("INDEX((IMPORTXML(CONCATENATE(""https://kabutan.jp/stock/?code="",B15),""//*[@id='stockinfo_i3']/table/tbody/tr[1]/td[1]"")),1,1)"),21.5)</f>
        <v>21.5</v>
      </c>
      <c r="E15" s="30">
        <f>IFERROR(__xludf.DUMMYFUNCTION("INDEX((IMPORTXML(CONCATENATE(""https://kabutan.jp/stock/?code="",B15),""//*[@id='stockinfo_i3']/table/tbody/tr[1]/td[2]"")),1,1)"),5.01)</f>
        <v>5.01</v>
      </c>
      <c r="F15" s="30">
        <f>IFERROR(__xludf.DUMMYFUNCTION("INDEX((IMPORTXML(CONCATENATE(""https://kabutan.jp/stock/?code="",B15),""//*[@id='stockinfo_i3']/table/tbody/tr[1]/td[3]"")),1,1)"),3.43)</f>
        <v>3.43</v>
      </c>
      <c r="G15" s="31">
        <f>IFERROR(__xludf.DUMMYFUNCTION("IMPORTXML(CONCATENATE(""https://kabutan.jp/stock/?code="",B15),""//*[@id='kobetsu_left']/table[1]/tbody/tr[4]/td[1]"")"),1865.0)</f>
        <v>1865</v>
      </c>
      <c r="H15" s="22">
        <v>200.0</v>
      </c>
      <c r="I15" s="23">
        <f t="shared" si="1"/>
        <v>12793.9</v>
      </c>
    </row>
    <row r="16" ht="20.25" customHeight="1">
      <c r="A16" s="17"/>
      <c r="B16" s="32">
        <v>3433.0</v>
      </c>
      <c r="C16" s="29" t="str">
        <f>IFERROR(__xludf.DUMMYFUNCTION("IMPORTXML(CONCATENATE(""https://kabutan.jp/stock/?code="",B16),""//*[@id='kobetsu_right']/div[4]/h3"")"),"トーカロ")</f>
        <v>トーカロ</v>
      </c>
      <c r="D16" s="30">
        <f>IFERROR(__xludf.DUMMYFUNCTION("INDEX((IMPORTXML(CONCATENATE(""https://kabutan.jp/stock/?code="",B16),""//*[@id='stockinfo_i3']/table/tbody/tr[1]/td[1]"")),1,1)"),14.8)</f>
        <v>14.8</v>
      </c>
      <c r="E16" s="30">
        <f>IFERROR(__xludf.DUMMYFUNCTION("INDEX((IMPORTXML(CONCATENATE(""https://kabutan.jp/stock/?code="",B16),""//*[@id='stockinfo_i3']/table/tbody/tr[1]/td[2]"")),1,1)"),1.59)</f>
        <v>1.59</v>
      </c>
      <c r="F16" s="30">
        <f>IFERROR(__xludf.DUMMYFUNCTION("INDEX((IMPORTXML(CONCATENATE(""https://kabutan.jp/stock/?code="",B16),""//*[@id='stockinfo_i3']/table/tbody/tr[1]/td[3]"")),1,1)"),3.52)</f>
        <v>3.52</v>
      </c>
      <c r="G16" s="31">
        <f>IFERROR(__xludf.DUMMYFUNCTION("IMPORTXML(CONCATENATE(""https://kabutan.jp/stock/?code="",B16),""//*[@id='kobetsu_left']/table[1]/tbody/tr[4]/td[1]"")"),1420.0)</f>
        <v>1420</v>
      </c>
      <c r="H16" s="22">
        <v>100.0</v>
      </c>
      <c r="I16" s="23">
        <f t="shared" si="1"/>
        <v>4998.4</v>
      </c>
    </row>
    <row r="17">
      <c r="A17" s="1"/>
      <c r="B17" s="25" t="s">
        <v>36</v>
      </c>
      <c r="C17" s="10"/>
      <c r="D17" s="10"/>
      <c r="E17" s="10"/>
      <c r="F17" s="10"/>
      <c r="G17" s="10"/>
      <c r="H17" s="11"/>
      <c r="I17" s="27" t="str">
        <f>SUM(I5:I16)</f>
        <v>#VALUE!</v>
      </c>
    </row>
  </sheetData>
  <mergeCells count="2">
    <mergeCell ref="H3:I3"/>
    <mergeCell ref="B17:H17"/>
  </mergeCells>
  <conditionalFormatting sqref="I1:I2 I4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H1:I4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