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4" firstSheet="0" activeTab="4"/>
  </bookViews>
  <sheets>
    <sheet name="4Kb" sheetId="1" state="visible" r:id="rId2"/>
    <sheet name="32Kb" sheetId="2" state="visible" r:id="rId3"/>
    <sheet name="4Kb_Graficos" sheetId="3" state="visible" r:id="rId4"/>
    <sheet name="32Kb_Graficos" sheetId="4" state="visible" r:id="rId5"/>
    <sheet name="MPKI_Reductio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<sst xmlns="http://schemas.openxmlformats.org/spreadsheetml/2006/main" count="216" uniqueCount="37">
  <si>
    <t>WH 4 kB</t>
  </si>
  <si>
    <t>Programa</t>
  </si>
  <si>
    <t>Num. Instruções</t>
  </si>
  <si>
    <t>Num. Branches</t>
  </si>
  <si>
    <t>Num. Mispredictions</t>
  </si>
  <si>
    <t>MPKI</t>
  </si>
  <si>
    <t>Predictor Accuracy</t>
  </si>
  <si>
    <t>Num. Uncond. Branch</t>
  </si>
  <si>
    <t>Num. Cond. Branch</t>
  </si>
  <si>
    <t>LONG-1</t>
  </si>
  <si>
    <t>LONG-2</t>
  </si>
  <si>
    <t>LONG-3</t>
  </si>
  <si>
    <t>LONG-4</t>
  </si>
  <si>
    <t>LONG-5</t>
  </si>
  <si>
    <t>LONG-6</t>
  </si>
  <si>
    <t>LONG-7</t>
  </si>
  <si>
    <t>LONG-8</t>
  </si>
  <si>
    <t>LONG-12</t>
  </si>
  <si>
    <t>WH 4 kB apenas com TAGE bimodal</t>
  </si>
  <si>
    <t>WH 4 kB sem preditor multidimensional</t>
  </si>
  <si>
    <t>WH 4 kB sem preditor multidimensional e sem TAGE</t>
  </si>
  <si>
    <t>WH 32 kB</t>
  </si>
  <si>
    <t>WH 32 kB apenas com TAGE bimodal</t>
  </si>
  <si>
    <t>WH 32 kB sem preditor multidimensional</t>
  </si>
  <si>
    <t>WH 32 kB sem preditor multidimensional e sem TAGE</t>
  </si>
  <si>
    <t>PRECISÃO</t>
  </si>
  <si>
    <t>WH</t>
  </si>
  <si>
    <t>TAGE</t>
  </si>
  <si>
    <t>WH bimodal</t>
  </si>
  <si>
    <t>TAGE bimodal</t>
  </si>
  <si>
    <t>MPKI REDUCTION</t>
  </si>
  <si>
    <t>WH 4Kb</t>
  </si>
  <si>
    <t>WH 32kB</t>
  </si>
  <si>
    <t>TAGE32kB</t>
  </si>
  <si>
    <t>WH32Kb</t>
  </si>
  <si>
    <t>TAGE4kB</t>
  </si>
  <si>
    <t>WH4Kb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</si>
</sst>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%"/>
    <numFmt numFmtId="166" formatCode="0.00%"/>
    <numFmt numFmtId="167" formatCode="0.00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Predictor Accuracy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4kb_graficos!$C$1</c:f>
              <c:strCache>
                <c:ptCount val="1"/>
                <c:pt idx="0">
                  <c:v>4kb_graficos!$c$1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4Kb_Graficos!$C$2:$C$10</c:f>
              <c:numCache>
                <c:formatCode>General</c:formatCode>
                <c:ptCount val="9"/>
                <c:pt idx="0">
                  <c:v>0.990475799041922</c:v>
                </c:pt>
                <c:pt idx="1">
                  <c:v>0.986395331574377</c:v>
                </c:pt>
                <c:pt idx="2">
                  <c:v>0.946709268688531</c:v>
                </c:pt>
                <c:pt idx="3">
                  <c:v>0.999948636071583</c:v>
                </c:pt>
                <c:pt idx="4">
                  <c:v>0.999591166016313</c:v>
                </c:pt>
                <c:pt idx="5">
                  <c:v>0.962534592321015</c:v>
                </c:pt>
                <c:pt idx="6">
                  <c:v>0.95004300316997</c:v>
                </c:pt>
                <c:pt idx="7">
                  <c:v>0.999998198087413</c:v>
                </c:pt>
                <c:pt idx="8">
                  <c:v>0.988406015372119</c:v>
                </c:pt>
              </c:numCache>
            </c:numRef>
          </c:val>
        </c:ser>
        <c:ser>
          <c:idx val="1"/>
          <c:order val="1"/>
          <c:tx>
            <c:strRef>
              <c:f>4kb_graficos!$D$1</c:f>
              <c:strCache>
                <c:ptCount val="1"/>
                <c:pt idx="0">
                  <c:v>4kb_graficos!$d$1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4Kb_Graficos!$B$2:$B$10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4Kb_Graficos!$D$2:$D$10</c:f>
              <c:numCache>
                <c:formatCode>General</c:formatCode>
                <c:ptCount val="9"/>
                <c:pt idx="0">
                  <c:v>0.99032229531159</c:v>
                </c:pt>
                <c:pt idx="1">
                  <c:v>0.986393110200289</c:v>
                </c:pt>
                <c:pt idx="2">
                  <c:v>0.946501677325839</c:v>
                </c:pt>
                <c:pt idx="3">
                  <c:v>0.999948636071583</c:v>
                </c:pt>
                <c:pt idx="4">
                  <c:v>0.999591166016313</c:v>
                </c:pt>
                <c:pt idx="5">
                  <c:v>0.954144334879873</c:v>
                </c:pt>
                <c:pt idx="6">
                  <c:v>0.950032848362171</c:v>
                </c:pt>
                <c:pt idx="7">
                  <c:v>0.999998198087413</c:v>
                </c:pt>
                <c:pt idx="8">
                  <c:v>0.988405696853162</c:v>
                </c:pt>
              </c:numCache>
            </c:numRef>
          </c:val>
        </c:ser>
        <c:ser>
          <c:idx val="2"/>
          <c:order val="2"/>
          <c:tx>
            <c:strRef>
              <c:f>4kb_graficos!$E$1</c:f>
              <c:strCache>
                <c:ptCount val="1"/>
                <c:pt idx="0">
                  <c:v>4kb_graficos!$e$1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4Kb_Graficos!$B$2:$B$10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4Kb_Graficos!$E$2:$E$10</c:f>
              <c:numCache>
                <c:formatCode>General</c:formatCode>
                <c:ptCount val="9"/>
                <c:pt idx="0">
                  <c:v>0.98719506251647</c:v>
                </c:pt>
                <c:pt idx="1">
                  <c:v>0.979365381743358</c:v>
                </c:pt>
                <c:pt idx="2">
                  <c:v>0.926234846294471</c:v>
                </c:pt>
                <c:pt idx="3">
                  <c:v>0.999735400127524</c:v>
                </c:pt>
                <c:pt idx="4">
                  <c:v>0.996812283542092</c:v>
                </c:pt>
                <c:pt idx="5">
                  <c:v>0.90404297416805</c:v>
                </c:pt>
                <c:pt idx="6">
                  <c:v>0.930597298080996</c:v>
                </c:pt>
                <c:pt idx="7">
                  <c:v>0.99997754018258</c:v>
                </c:pt>
                <c:pt idx="8">
                  <c:v>0.97922063901649</c:v>
                </c:pt>
              </c:numCache>
            </c:numRef>
          </c:val>
        </c:ser>
        <c:ser>
          <c:idx val="3"/>
          <c:order val="3"/>
          <c:tx>
            <c:strRef>
              <c:f>4kb_graficos!$F$1</c:f>
              <c:strCache>
                <c:ptCount val="1"/>
                <c:pt idx="0">
                  <c:v>4kb_graficos!$f$1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4Kb_Graficos!$B$2:$B$10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4Kb_Graficos!$F$2:$F$10</c:f>
              <c:numCache>
                <c:formatCode>General</c:formatCode>
                <c:ptCount val="9"/>
                <c:pt idx="0">
                  <c:v>0.98719506251647</c:v>
                </c:pt>
                <c:pt idx="1">
                  <c:v>0.979365381743358</c:v>
                </c:pt>
                <c:pt idx="2">
                  <c:v>0.926234846294471</c:v>
                </c:pt>
                <c:pt idx="3">
                  <c:v>0.999735400127524</c:v>
                </c:pt>
                <c:pt idx="4">
                  <c:v>0.996812283542092</c:v>
                </c:pt>
                <c:pt idx="5">
                  <c:v>0.90404297416805</c:v>
                </c:pt>
                <c:pt idx="6">
                  <c:v>0.930597298080996</c:v>
                </c:pt>
                <c:pt idx="7">
                  <c:v>0.99997754018258</c:v>
                </c:pt>
                <c:pt idx="8">
                  <c:v>0.97922063901649</c:v>
                </c:pt>
              </c:numCache>
            </c:numRef>
          </c:val>
        </c:ser>
        <c:gapWidth val="100"/>
        <c:axId val="66837285"/>
        <c:axId val="13690321"/>
      </c:barChart>
      <c:catAx>
        <c:axId val="668372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690321"/>
        <c:crosses val="autoZero"/>
        <c:auto val="1"/>
        <c:lblAlgn val="ctr"/>
        <c:lblOffset val="100"/>
      </c:catAx>
      <c:valAx>
        <c:axId val="13690321"/>
        <c:scaling>
          <c:orientation val="minMax"/>
          <c:max val="1"/>
          <c:min val="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8372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MPKI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4kb_graficos!$C$23</c:f>
              <c:strCache>
                <c:ptCount val="1"/>
                <c:pt idx="0">
                  <c:v>4kb_graficos!$c$23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4Kb_Graficos!$C$24:$C$32</c:f>
              <c:numCache>
                <c:formatCode>General</c:formatCode>
                <c:ptCount val="9"/>
                <c:pt idx="0">
                  <c:v>0.4341</c:v>
                </c:pt>
                <c:pt idx="1">
                  <c:v>1.2089</c:v>
                </c:pt>
                <c:pt idx="2">
                  <c:v>6.777</c:v>
                </c:pt>
                <c:pt idx="3">
                  <c:v>0.0007</c:v>
                </c:pt>
                <c:pt idx="4">
                  <c:v>0.0017</c:v>
                </c:pt>
                <c:pt idx="5">
                  <c:v>5.2282</c:v>
                </c:pt>
                <c:pt idx="6">
                  <c:v>8.5306</c:v>
                </c:pt>
                <c:pt idx="7">
                  <c:v>0.0003</c:v>
                </c:pt>
                <c:pt idx="8">
                  <c:v>2.996</c:v>
                </c:pt>
              </c:numCache>
            </c:numRef>
          </c:val>
        </c:ser>
        <c:ser>
          <c:idx val="1"/>
          <c:order val="1"/>
          <c:tx>
            <c:strRef>
              <c:f>4kb_graficos!$D$23</c:f>
              <c:strCache>
                <c:ptCount val="1"/>
                <c:pt idx="0">
                  <c:v>4kb_graficos!$d$23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4Kb_Graficos!$B$24:$B$32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4Kb_Graficos!$D$24:$D$32</c:f>
              <c:numCache>
                <c:formatCode>General</c:formatCode>
                <c:ptCount val="9"/>
                <c:pt idx="0">
                  <c:v>0.4411</c:v>
                </c:pt>
                <c:pt idx="1">
                  <c:v>1.2091</c:v>
                </c:pt>
                <c:pt idx="2">
                  <c:v>6.8034</c:v>
                </c:pt>
                <c:pt idx="3">
                  <c:v>0.0007</c:v>
                </c:pt>
                <c:pt idx="4">
                  <c:v>0.0017</c:v>
                </c:pt>
                <c:pt idx="5">
                  <c:v>6.399</c:v>
                </c:pt>
                <c:pt idx="6">
                  <c:v>8.5324</c:v>
                </c:pt>
                <c:pt idx="7">
                  <c:v>0.0003</c:v>
                </c:pt>
                <c:pt idx="8">
                  <c:v>2.9961</c:v>
                </c:pt>
              </c:numCache>
            </c:numRef>
          </c:val>
        </c:ser>
        <c:ser>
          <c:idx val="2"/>
          <c:order val="2"/>
          <c:tx>
            <c:strRef>
              <c:f>4kb_graficos!$E$23</c:f>
              <c:strCache>
                <c:ptCount val="1"/>
                <c:pt idx="0">
                  <c:v>4kb_graficos!$e$23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4Kb_Graficos!$B$24:$B$32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4Kb_Graficos!$E$24:$E$32</c:f>
              <c:numCache>
                <c:formatCode>General</c:formatCode>
                <c:ptCount val="9"/>
                <c:pt idx="0">
                  <c:v>0.5836</c:v>
                </c:pt>
                <c:pt idx="1">
                  <c:v>1.8336</c:v>
                </c:pt>
                <c:pt idx="2">
                  <c:v>9.3807</c:v>
                </c:pt>
                <c:pt idx="3">
                  <c:v>0.0037</c:v>
                </c:pt>
                <c:pt idx="4">
                  <c:v>0.0129</c:v>
                </c:pt>
                <c:pt idx="5">
                  <c:v>13.3905</c:v>
                </c:pt>
                <c:pt idx="6">
                  <c:v>11.8512</c:v>
                </c:pt>
                <c:pt idx="7">
                  <c:v>0.0031</c:v>
                </c:pt>
                <c:pt idx="8">
                  <c:v>5.3695</c:v>
                </c:pt>
              </c:numCache>
            </c:numRef>
          </c:val>
        </c:ser>
        <c:ser>
          <c:idx val="3"/>
          <c:order val="3"/>
          <c:tx>
            <c:strRef>
              <c:f>4kb_graficos!$F$23</c:f>
              <c:strCache>
                <c:ptCount val="1"/>
                <c:pt idx="0">
                  <c:v>4kb_graficos!$f$23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4Kb_Graficos!$B$24:$B$32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4Kb_Graficos!$F$24:$F$32</c:f>
              <c:numCache>
                <c:formatCode>General</c:formatCode>
                <c:ptCount val="9"/>
                <c:pt idx="0">
                  <c:v>0.5836</c:v>
                </c:pt>
                <c:pt idx="1">
                  <c:v>1.8336</c:v>
                </c:pt>
                <c:pt idx="2">
                  <c:v>9.3807</c:v>
                </c:pt>
                <c:pt idx="3">
                  <c:v>0.0037</c:v>
                </c:pt>
                <c:pt idx="4">
                  <c:v>0.0129</c:v>
                </c:pt>
                <c:pt idx="5">
                  <c:v>13.3905</c:v>
                </c:pt>
                <c:pt idx="6">
                  <c:v>11.8512</c:v>
                </c:pt>
                <c:pt idx="7">
                  <c:v>0.0031</c:v>
                </c:pt>
                <c:pt idx="8">
                  <c:v>5.3695</c:v>
                </c:pt>
              </c:numCache>
            </c:numRef>
          </c:val>
        </c:ser>
        <c:gapWidth val="100"/>
        <c:axId val="96057332"/>
        <c:axId val="407876"/>
      </c:barChart>
      <c:catAx>
        <c:axId val="960573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7876"/>
        <c:crosses val="autoZero"/>
        <c:auto val="1"/>
        <c:lblAlgn val="ctr"/>
        <c:lblOffset val="100"/>
      </c:catAx>
      <c:valAx>
        <c:axId val="407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0573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Predictor Accuracy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32kb_graficos!$C$1</c:f>
              <c:strCache>
                <c:ptCount val="1"/>
                <c:pt idx="0">
                  <c:v>32kb_graficos!$c$1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32Kb_Graficos!$B$2:$B$10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32Kb_Graficos!$C$2:$C$10</c:f>
              <c:numCache>
                <c:formatCode>General</c:formatCode>
                <c:ptCount val="9"/>
                <c:pt idx="0">
                  <c:v>0.999467742128902</c:v>
                </c:pt>
                <c:pt idx="1">
                  <c:v>0.998725143675777</c:v>
                </c:pt>
                <c:pt idx="2">
                  <c:v>0.948067254530242</c:v>
                </c:pt>
                <c:pt idx="3">
                  <c:v>0.999957208732848</c:v>
                </c:pt>
                <c:pt idx="4">
                  <c:v>0.999677588221223</c:v>
                </c:pt>
                <c:pt idx="5">
                  <c:v>0.966033655493665</c:v>
                </c:pt>
                <c:pt idx="6">
                  <c:v>0.952815441455419</c:v>
                </c:pt>
                <c:pt idx="7">
                  <c:v>0.99999857399941</c:v>
                </c:pt>
                <c:pt idx="8">
                  <c:v>0.980481199558341</c:v>
                </c:pt>
              </c:numCache>
            </c:numRef>
          </c:val>
        </c:ser>
        <c:ser>
          <c:idx val="1"/>
          <c:order val="1"/>
          <c:tx>
            <c:strRef>
              <c:f>32kb_graficos!$D$1</c:f>
              <c:strCache>
                <c:ptCount val="1"/>
                <c:pt idx="0">
                  <c:v>32kb_graficos!$d$1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32Kb_Graficos!$B$2:$B$10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32Kb_Graficos!$D$2:$D$10</c:f>
              <c:numCache>
                <c:formatCode>General</c:formatCode>
                <c:ptCount val="9"/>
                <c:pt idx="0">
                  <c:v>0.999425924063929</c:v>
                </c:pt>
                <c:pt idx="1">
                  <c:v>0.998725152525873</c:v>
                </c:pt>
                <c:pt idx="2">
                  <c:v>0.9480089716658</c:v>
                </c:pt>
                <c:pt idx="3">
                  <c:v>0.999957208732848</c:v>
                </c:pt>
                <c:pt idx="4">
                  <c:v>0.999663968676037</c:v>
                </c:pt>
                <c:pt idx="5">
                  <c:v>0.958064238626952</c:v>
                </c:pt>
                <c:pt idx="6">
                  <c:v>0.952815158292509</c:v>
                </c:pt>
                <c:pt idx="7">
                  <c:v>0.99999857399941</c:v>
                </c:pt>
                <c:pt idx="8">
                  <c:v>0.980479989644605</c:v>
                </c:pt>
              </c:numCache>
            </c:numRef>
          </c:val>
        </c:ser>
        <c:ser>
          <c:idx val="2"/>
          <c:order val="2"/>
          <c:tx>
            <c:strRef>
              <c:f>32kb_graficos!$E$1</c:f>
              <c:strCache>
                <c:ptCount val="1"/>
                <c:pt idx="0">
                  <c:v>32kb_graficos!$e$1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32Kb_Graficos!$B$2:$B$10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32Kb_Graficos!$E$2:$E$10</c:f>
              <c:numCache>
                <c:formatCode>General</c:formatCode>
                <c:ptCount val="9"/>
                <c:pt idx="0">
                  <c:v>0.987292467175979</c:v>
                </c:pt>
                <c:pt idx="1">
                  <c:v>0.97938102871303</c:v>
                </c:pt>
                <c:pt idx="2">
                  <c:v>0.925654406292041</c:v>
                </c:pt>
                <c:pt idx="3">
                  <c:v>0.999746422120578</c:v>
                </c:pt>
                <c:pt idx="4">
                  <c:v>0.996877904987081</c:v>
                </c:pt>
                <c:pt idx="5">
                  <c:v>0.904042918469996</c:v>
                </c:pt>
                <c:pt idx="6">
                  <c:v>0.930641578901543</c:v>
                </c:pt>
                <c:pt idx="7">
                  <c:v>0.999978003601959</c:v>
                </c:pt>
                <c:pt idx="8">
                  <c:v>0.97955326217629</c:v>
                </c:pt>
              </c:numCache>
            </c:numRef>
          </c:val>
        </c:ser>
        <c:ser>
          <c:idx val="3"/>
          <c:order val="3"/>
          <c:tx>
            <c:strRef>
              <c:f>32kb_graficos!$F$1</c:f>
              <c:strCache>
                <c:ptCount val="1"/>
                <c:pt idx="0">
                  <c:v>32kb_graficos!$f$1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32Kb_Graficos!$B$2:$B$10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32Kb_Graficos!$F$2:$F$10</c:f>
              <c:numCache>
                <c:formatCode>General</c:formatCode>
                <c:ptCount val="9"/>
                <c:pt idx="0">
                  <c:v>0.987292467175979</c:v>
                </c:pt>
                <c:pt idx="1">
                  <c:v>0.97938102871303</c:v>
                </c:pt>
                <c:pt idx="2">
                  <c:v>0.925654406292041</c:v>
                </c:pt>
                <c:pt idx="3">
                  <c:v>0.999746422120578</c:v>
                </c:pt>
                <c:pt idx="4">
                  <c:v>0.996877904987081</c:v>
                </c:pt>
                <c:pt idx="5">
                  <c:v>0.904042918469996</c:v>
                </c:pt>
                <c:pt idx="6">
                  <c:v>0.930641578901543</c:v>
                </c:pt>
                <c:pt idx="7">
                  <c:v>0.999978003601959</c:v>
                </c:pt>
                <c:pt idx="8">
                  <c:v>0.97955326217629</c:v>
                </c:pt>
              </c:numCache>
            </c:numRef>
          </c:val>
        </c:ser>
        <c:gapWidth val="100"/>
        <c:axId val="9635741"/>
        <c:axId val="17218239"/>
      </c:barChart>
      <c:catAx>
        <c:axId val="96357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218239"/>
        <c:crosses val="autoZero"/>
        <c:auto val="1"/>
        <c:lblAlgn val="ctr"/>
        <c:lblOffset val="100"/>
      </c:catAx>
      <c:valAx>
        <c:axId val="17218239"/>
        <c:scaling>
          <c:orientation val="minMax"/>
          <c:max val="1"/>
          <c:min val="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574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MPKI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32kb_graficos!$C$23</c:f>
              <c:strCache>
                <c:ptCount val="1"/>
                <c:pt idx="0">
                  <c:v>32kb_graficos!$c$23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32Kb_Graficos!$B$24:$B$32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32Kb_Graficos!$C$24:$C$32</c:f>
              <c:numCache>
                <c:formatCode>General</c:formatCode>
                <c:ptCount val="9"/>
                <c:pt idx="0">
                  <c:v>0.0243</c:v>
                </c:pt>
                <c:pt idx="1">
                  <c:v>0.1133</c:v>
                </c:pt>
                <c:pt idx="2">
                  <c:v>6.6043</c:v>
                </c:pt>
                <c:pt idx="3">
                  <c:v>0.0006</c:v>
                </c:pt>
                <c:pt idx="4">
                  <c:v>0.0013</c:v>
                </c:pt>
                <c:pt idx="5">
                  <c:v>4.7399</c:v>
                </c:pt>
                <c:pt idx="6">
                  <c:v>8.0572</c:v>
                </c:pt>
                <c:pt idx="7">
                  <c:v>0.0002</c:v>
                </c:pt>
                <c:pt idx="8">
                  <c:v>5.0438</c:v>
                </c:pt>
              </c:numCache>
            </c:numRef>
          </c:val>
        </c:ser>
        <c:ser>
          <c:idx val="1"/>
          <c:order val="1"/>
          <c:tx>
            <c:strRef>
              <c:f>32kb_graficos!$D$23</c:f>
              <c:strCache>
                <c:ptCount val="1"/>
                <c:pt idx="0">
                  <c:v>32kb_graficos!$d$23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32Kb_Graficos!$B$24:$B$32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32Kb_Graficos!$D$24:$D$32</c:f>
              <c:numCache>
                <c:formatCode>General</c:formatCode>
                <c:ptCount val="9"/>
                <c:pt idx="0">
                  <c:v>0.0262</c:v>
                </c:pt>
                <c:pt idx="1">
                  <c:v>0.1133</c:v>
                </c:pt>
                <c:pt idx="2">
                  <c:v>6.6117</c:v>
                </c:pt>
                <c:pt idx="3">
                  <c:v>0.0006</c:v>
                </c:pt>
                <c:pt idx="4">
                  <c:v>0.0014</c:v>
                </c:pt>
                <c:pt idx="5">
                  <c:v>5.852</c:v>
                </c:pt>
                <c:pt idx="6">
                  <c:v>8.0573</c:v>
                </c:pt>
                <c:pt idx="7">
                  <c:v>0.0002</c:v>
                </c:pt>
                <c:pt idx="8">
                  <c:v>5.0441</c:v>
                </c:pt>
              </c:numCache>
            </c:numRef>
          </c:val>
        </c:ser>
        <c:ser>
          <c:idx val="2"/>
          <c:order val="2"/>
          <c:tx>
            <c:strRef>
              <c:f>32kb_graficos!$E$23</c:f>
              <c:strCache>
                <c:ptCount val="1"/>
                <c:pt idx="0">
                  <c:v>32kb_graficos!$e$23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32Kb_Graficos!$B$24:$B$32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32Kb_Graficos!$E$24:$E$32</c:f>
              <c:numCache>
                <c:formatCode>General</c:formatCode>
                <c:ptCount val="9"/>
                <c:pt idx="0">
                  <c:v>0.5792</c:v>
                </c:pt>
                <c:pt idx="1">
                  <c:v>1.8322</c:v>
                </c:pt>
                <c:pt idx="2">
                  <c:v>9.4545</c:v>
                </c:pt>
                <c:pt idx="3">
                  <c:v>0.0035</c:v>
                </c:pt>
                <c:pt idx="4">
                  <c:v>0.0126</c:v>
                </c:pt>
                <c:pt idx="5">
                  <c:v>13.3905</c:v>
                </c:pt>
                <c:pt idx="6">
                  <c:v>11.8436</c:v>
                </c:pt>
                <c:pt idx="7">
                  <c:v>0.0031</c:v>
                </c:pt>
                <c:pt idx="8">
                  <c:v>5.2836</c:v>
                </c:pt>
              </c:numCache>
            </c:numRef>
          </c:val>
        </c:ser>
        <c:ser>
          <c:idx val="3"/>
          <c:order val="3"/>
          <c:tx>
            <c:strRef>
              <c:f>32kb_graficos!$F$23</c:f>
              <c:strCache>
                <c:ptCount val="1"/>
                <c:pt idx="0">
                  <c:v>32kb_graficos!$f$23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32Kb_Graficos!$B$24:$B$32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32Kb_Graficos!$F$24:$F$32</c:f>
              <c:numCache>
                <c:formatCode>General</c:formatCode>
                <c:ptCount val="9"/>
                <c:pt idx="0">
                  <c:v>0.5792</c:v>
                </c:pt>
                <c:pt idx="1">
                  <c:v>1.8322</c:v>
                </c:pt>
                <c:pt idx="2">
                  <c:v>9.4545</c:v>
                </c:pt>
                <c:pt idx="3">
                  <c:v>0.0035</c:v>
                </c:pt>
                <c:pt idx="4">
                  <c:v>0.0126</c:v>
                </c:pt>
                <c:pt idx="5">
                  <c:v>13.3905</c:v>
                </c:pt>
                <c:pt idx="6">
                  <c:v>11.8436</c:v>
                </c:pt>
                <c:pt idx="7">
                  <c:v>0.0031</c:v>
                </c:pt>
                <c:pt idx="8">
                  <c:v>5.2836</c:v>
                </c:pt>
              </c:numCache>
            </c:numRef>
          </c:val>
        </c:ser>
        <c:gapWidth val="100"/>
        <c:axId val="22590250"/>
        <c:axId val="26463390"/>
      </c:barChart>
      <c:catAx>
        <c:axId val="225902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463390"/>
        <c:crosses val="autoZero"/>
        <c:auto val="1"/>
        <c:lblAlgn val="ctr"/>
        <c:lblOffset val="100"/>
      </c:catAx>
      <c:valAx>
        <c:axId val="26463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5902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MPKI Reduction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MPKI_Reduction!$C$1</c:f>
              <c:strCache>
                <c:ptCount val="1"/>
                <c:pt idx="0">
                  <c:v>WH 4Kb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MPKI_Reduction!$B$2:$B$10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MPKI_Reduction!$C$2:$C$10</c:f>
              <c:numCache>
                <c:formatCode>General</c:formatCode>
                <c:ptCount val="9"/>
                <c:pt idx="0">
                  <c:v>0.0158694173656767</c:v>
                </c:pt>
                <c:pt idx="1">
                  <c:v>0.000165412290133139</c:v>
                </c:pt>
                <c:pt idx="2">
                  <c:v>0.00388041273480903</c:v>
                </c:pt>
                <c:pt idx="3">
                  <c:v>0</c:v>
                </c:pt>
                <c:pt idx="4">
                  <c:v>0</c:v>
                </c:pt>
                <c:pt idx="5">
                  <c:v>0.18296608845132</c:v>
                </c:pt>
                <c:pt idx="6">
                  <c:v>0.000210960573812894</c:v>
                </c:pt>
                <c:pt idx="7">
                  <c:v>0</c:v>
                </c:pt>
                <c:pt idx="8">
                  <c:v>3.33767230733991E-005</c:v>
                </c:pt>
              </c:numCache>
            </c:numRef>
          </c:val>
        </c:ser>
        <c:ser>
          <c:idx val="1"/>
          <c:order val="1"/>
          <c:tx>
            <c:strRef>
              <c:f>MPKI_Reduction!$D$1</c:f>
              <c:strCache>
                <c:ptCount val="1"/>
                <c:pt idx="0">
                  <c:v>WH 32kB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MPKI_Reduction!$B$2:$B$10</c:f>
              <c:strCache>
                <c:ptCount val="9"/>
                <c:pt idx="0">
                  <c:v>LONG-1</c:v>
                </c:pt>
                <c:pt idx="1">
                  <c:v>LONG-2</c:v>
                </c:pt>
                <c:pt idx="2">
                  <c:v>LONG-3</c:v>
                </c:pt>
                <c:pt idx="3">
                  <c:v>LONG-4</c:v>
                </c:pt>
                <c:pt idx="4">
                  <c:v>LONG-5</c:v>
                </c:pt>
                <c:pt idx="5">
                  <c:v>LONG-6</c:v>
                </c:pt>
                <c:pt idx="6">
                  <c:v>LONG-7</c:v>
                </c:pt>
                <c:pt idx="7">
                  <c:v>LONG-8</c:v>
                </c:pt>
                <c:pt idx="8">
                  <c:v>LONG-12</c:v>
                </c:pt>
              </c:strCache>
            </c:strRef>
          </c:cat>
          <c:val>
            <c:numRef>
              <c:f>MPKI_Reduction!$D$2:$D$10</c:f>
              <c:numCache>
                <c:formatCode>General</c:formatCode>
                <c:ptCount val="9"/>
                <c:pt idx="0">
                  <c:v>0.0725190839694657</c:v>
                </c:pt>
                <c:pt idx="1">
                  <c:v>0</c:v>
                </c:pt>
                <c:pt idx="2">
                  <c:v>0.00111922803514975</c:v>
                </c:pt>
                <c:pt idx="3">
                  <c:v>0</c:v>
                </c:pt>
                <c:pt idx="4">
                  <c:v>0.0714285714285715</c:v>
                </c:pt>
                <c:pt idx="5">
                  <c:v>0.190037593984963</c:v>
                </c:pt>
                <c:pt idx="6">
                  <c:v>1.24111054571341E-005</c:v>
                </c:pt>
                <c:pt idx="7">
                  <c:v>0</c:v>
                </c:pt>
                <c:pt idx="8">
                  <c:v>5.94754267362243E-005</c:v>
                </c:pt>
              </c:numCache>
            </c:numRef>
          </c:val>
        </c:ser>
        <c:gapWidth val="100"/>
        <c:axId val="71544856"/>
        <c:axId val="25452477"/>
      </c:barChart>
      <c:catAx>
        <c:axId val="71544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52477"/>
        <c:crosses val="autoZero"/>
        <c:auto val="1"/>
        <c:lblAlgn val="ctr"/>
        <c:lblOffset val="100"/>
      </c:catAx>
      <c:valAx>
        <c:axId val="25452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5448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162360</xdr:colOff>
      <xdr:row>1</xdr:row>
      <xdr:rowOff>36720</xdr:rowOff>
    </xdr:from>
    <xdr:to>
      <xdr:col>15</xdr:col>
      <xdr:colOff>378360</xdr:colOff>
      <xdr:row>21</xdr:row>
      <xdr:rowOff>37440</xdr:rowOff>
    </xdr:to>
    <xdr:graphicFrame>
      <xdr:nvGraphicFramePr>
        <xdr:cNvPr id="0" name=""/>
        <xdr:cNvGraphicFramePr/>
      </xdr:nvGraphicFramePr>
      <xdr:xfrm>
        <a:off x="6261480" y="198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70560</xdr:colOff>
      <xdr:row>22</xdr:row>
      <xdr:rowOff>95760</xdr:rowOff>
    </xdr:from>
    <xdr:to>
      <xdr:col>15</xdr:col>
      <xdr:colOff>293040</xdr:colOff>
      <xdr:row>42</xdr:row>
      <xdr:rowOff>92880</xdr:rowOff>
    </xdr:to>
    <xdr:graphicFrame>
      <xdr:nvGraphicFramePr>
        <xdr:cNvPr id="1" name=""/>
        <xdr:cNvGraphicFramePr/>
      </xdr:nvGraphicFramePr>
      <xdr:xfrm>
        <a:off x="6169680" y="3657960"/>
        <a:ext cx="5765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491400</xdr:colOff>
      <xdr:row>0</xdr:row>
      <xdr:rowOff>86400</xdr:rowOff>
    </xdr:from>
    <xdr:to>
      <xdr:col>16</xdr:col>
      <xdr:colOff>88560</xdr:colOff>
      <xdr:row>20</xdr:row>
      <xdr:rowOff>86400</xdr:rowOff>
    </xdr:to>
    <xdr:graphicFrame>
      <xdr:nvGraphicFramePr>
        <xdr:cNvPr id="2" name=""/>
        <xdr:cNvGraphicFramePr/>
      </xdr:nvGraphicFramePr>
      <xdr:xfrm>
        <a:off x="4910760" y="8640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421920</xdr:colOff>
      <xdr:row>22</xdr:row>
      <xdr:rowOff>153000</xdr:rowOff>
    </xdr:from>
    <xdr:to>
      <xdr:col>16</xdr:col>
      <xdr:colOff>19080</xdr:colOff>
      <xdr:row>42</xdr:row>
      <xdr:rowOff>152280</xdr:rowOff>
    </xdr:to>
    <xdr:graphicFrame>
      <xdr:nvGraphicFramePr>
        <xdr:cNvPr id="3" name=""/>
        <xdr:cNvGraphicFramePr/>
      </xdr:nvGraphicFramePr>
      <xdr:xfrm>
        <a:off x="4841280" y="3715200"/>
        <a:ext cx="5756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33840</xdr:colOff>
      <xdr:row>10</xdr:row>
      <xdr:rowOff>151200</xdr:rowOff>
    </xdr:from>
    <xdr:to>
      <xdr:col>8</xdr:col>
      <xdr:colOff>103320</xdr:colOff>
      <xdr:row>30</xdr:row>
      <xdr:rowOff>139320</xdr:rowOff>
    </xdr:to>
    <xdr:graphicFrame>
      <xdr:nvGraphicFramePr>
        <xdr:cNvPr id="4" name=""/>
        <xdr:cNvGraphicFramePr/>
      </xdr:nvGraphicFramePr>
      <xdr:xfrm>
        <a:off x="846360" y="1776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0" activeCellId="0" sqref="A50"/>
    </sheetView>
  </sheetViews>
  <sheetFormatPr defaultRowHeight="12.75"/>
  <cols>
    <col collapsed="false" hidden="false" max="1" min="1" style="0" width="13.8571428571429"/>
    <col collapsed="false" hidden="false" max="2" min="2" style="0" width="21.5714285714286"/>
    <col collapsed="false" hidden="false" max="3" min="3" style="0" width="18.5765306122449"/>
    <col collapsed="false" hidden="false" max="4" min="4" style="0" width="27.4234693877551"/>
    <col collapsed="false" hidden="false" max="5" min="5" style="0" width="10.2857142857143"/>
    <col collapsed="false" hidden="false" max="6" min="6" style="0" width="24.8571428571429"/>
    <col collapsed="false" hidden="false" max="7" min="7" style="0" width="27.1428571428571"/>
    <col collapsed="false" hidden="false" max="8" min="8" style="0" width="22.5714285714286"/>
    <col collapsed="false" hidden="false" max="1025" min="9" style="0" width="11.5714285714286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6.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2.75" hidden="false" customHeight="false" outlineLevel="0" collapsed="false">
      <c r="A3" s="3" t="s">
        <v>9</v>
      </c>
      <c r="B3" s="3" t="n">
        <v>642168792</v>
      </c>
      <c r="C3" s="3" t="n">
        <v>29269647</v>
      </c>
      <c r="D3" s="3" t="n">
        <v>278770</v>
      </c>
      <c r="E3" s="3" t="n">
        <v>0.4341</v>
      </c>
      <c r="F3" s="4" t="n">
        <f aca="false">(1-D3/C3)</f>
        <v>0.990475799041922</v>
      </c>
      <c r="G3" s="3" t="n">
        <v>54105</v>
      </c>
      <c r="H3" s="3" t="n">
        <v>29215542</v>
      </c>
      <c r="I3" s="5"/>
    </row>
    <row r="4" customFormat="false" ht="12.75" hidden="false" customHeight="false" outlineLevel="0" collapsed="false">
      <c r="A4" s="3" t="s">
        <v>10</v>
      </c>
      <c r="B4" s="3" t="n">
        <v>1271560006</v>
      </c>
      <c r="C4" s="3" t="n">
        <v>112993125</v>
      </c>
      <c r="D4" s="3" t="n">
        <v>1537234</v>
      </c>
      <c r="E4" s="3" t="n">
        <v>1.2089</v>
      </c>
      <c r="F4" s="4" t="n">
        <f aca="false">(1-D4/C4)</f>
        <v>0.986395331574377</v>
      </c>
      <c r="G4" s="3" t="n">
        <v>1404676</v>
      </c>
      <c r="H4" s="3" t="n">
        <v>111588449</v>
      </c>
      <c r="I4" s="5"/>
    </row>
    <row r="5" customFormat="false" ht="12.75" hidden="false" customHeight="false" outlineLevel="0" collapsed="false">
      <c r="A5" s="3" t="s">
        <v>11</v>
      </c>
      <c r="B5" s="3" t="n">
        <v>1283893069</v>
      </c>
      <c r="C5" s="3" t="n">
        <v>163272689</v>
      </c>
      <c r="D5" s="3" t="n">
        <v>8700921</v>
      </c>
      <c r="E5" s="3" t="n">
        <v>6.777</v>
      </c>
      <c r="F5" s="4" t="n">
        <f aca="false">(1-D5/C5)</f>
        <v>0.946709268688531</v>
      </c>
      <c r="G5" s="3" t="n">
        <v>26253683</v>
      </c>
      <c r="H5" s="3" t="n">
        <v>137019006</v>
      </c>
      <c r="I5" s="5"/>
    </row>
    <row r="6" customFormat="false" ht="12.75" hidden="false" customHeight="false" outlineLevel="0" collapsed="false">
      <c r="A6" s="3" t="s">
        <v>12</v>
      </c>
      <c r="B6" s="3" t="n">
        <v>999999976</v>
      </c>
      <c r="C6" s="3" t="n">
        <v>13881337</v>
      </c>
      <c r="D6" s="3" t="n">
        <v>713</v>
      </c>
      <c r="E6" s="3" t="n">
        <v>0.0007</v>
      </c>
      <c r="F6" s="4" t="n">
        <f aca="false">(1-D6/C6)</f>
        <v>0.999948636071583</v>
      </c>
      <c r="G6" s="3" t="n">
        <v>22884</v>
      </c>
      <c r="H6" s="3" t="n">
        <v>13858453</v>
      </c>
      <c r="I6" s="5"/>
    </row>
    <row r="7" customFormat="false" ht="12.75" hidden="false" customHeight="false" outlineLevel="0" collapsed="false">
      <c r="A7" s="3" t="s">
        <v>13</v>
      </c>
      <c r="B7" s="3" t="n">
        <v>1000000000</v>
      </c>
      <c r="C7" s="3" t="n">
        <v>4038314</v>
      </c>
      <c r="D7" s="3" t="n">
        <v>1651</v>
      </c>
      <c r="E7" s="3" t="n">
        <v>0.0017</v>
      </c>
      <c r="F7" s="4" t="n">
        <f aca="false">(1-D7/C7)</f>
        <v>0.999591166016313</v>
      </c>
      <c r="G7" s="3" t="n">
        <v>2489985</v>
      </c>
      <c r="H7" s="3" t="n">
        <v>1548329</v>
      </c>
      <c r="I7" s="5"/>
    </row>
    <row r="8" customFormat="false" ht="12.75" hidden="false" customHeight="false" outlineLevel="0" collapsed="false">
      <c r="A8" s="3" t="s">
        <v>14</v>
      </c>
      <c r="B8" s="3" t="n">
        <v>514635404</v>
      </c>
      <c r="C8" s="3" t="n">
        <v>71815794</v>
      </c>
      <c r="D8" s="3" t="n">
        <v>2690608</v>
      </c>
      <c r="E8" s="3" t="n">
        <v>5.2282</v>
      </c>
      <c r="F8" s="4" t="n">
        <f aca="false">(1-D8/C8)</f>
        <v>0.962534592321015</v>
      </c>
      <c r="G8" s="3" t="n">
        <v>14786976</v>
      </c>
      <c r="H8" s="3" t="n">
        <v>57028818</v>
      </c>
      <c r="I8" s="5"/>
    </row>
    <row r="9" customFormat="false" ht="12.75" hidden="false" customHeight="false" outlineLevel="0" collapsed="false">
      <c r="A9" s="3" t="s">
        <v>15</v>
      </c>
      <c r="B9" s="3" t="n">
        <v>599758591</v>
      </c>
      <c r="C9" s="3" t="n">
        <v>102414543</v>
      </c>
      <c r="D9" s="3" t="n">
        <v>5116323</v>
      </c>
      <c r="E9" s="3" t="n">
        <v>8.5306</v>
      </c>
      <c r="F9" s="4" t="n">
        <f aca="false">(1-D9/C9)</f>
        <v>0.95004300316997</v>
      </c>
      <c r="G9" s="3" t="n">
        <v>6556201</v>
      </c>
      <c r="H9" s="3" t="n">
        <v>95858342</v>
      </c>
      <c r="I9" s="5"/>
    </row>
    <row r="10" customFormat="false" ht="12.75" hidden="false" customHeight="false" outlineLevel="0" collapsed="false">
      <c r="A10" s="3" t="s">
        <v>16</v>
      </c>
      <c r="B10" s="3" t="n">
        <v>5789354553</v>
      </c>
      <c r="C10" s="3" t="n">
        <v>811360113</v>
      </c>
      <c r="D10" s="3" t="n">
        <v>1462</v>
      </c>
      <c r="E10" s="3" t="n">
        <v>0.0003</v>
      </c>
      <c r="F10" s="4" t="n">
        <f aca="false">(1-D10/C10)</f>
        <v>0.999998198087413</v>
      </c>
      <c r="G10" s="3" t="n">
        <v>426874521</v>
      </c>
      <c r="H10" s="3" t="n">
        <v>384485592</v>
      </c>
      <c r="I10" s="5"/>
    </row>
    <row r="11" customFormat="false" ht="12.75" hidden="false" customHeight="false" outlineLevel="0" collapsed="false">
      <c r="A11" s="3" t="s">
        <v>17</v>
      </c>
      <c r="B11" s="3" t="n">
        <v>1688784689</v>
      </c>
      <c r="C11" s="3" t="n">
        <v>436394748</v>
      </c>
      <c r="D11" s="3" t="n">
        <v>5059554</v>
      </c>
      <c r="E11" s="3" t="n">
        <v>2.996</v>
      </c>
      <c r="F11" s="4" t="n">
        <f aca="false">(1-D11/C11)</f>
        <v>0.988406015372119</v>
      </c>
      <c r="G11" s="3" t="n">
        <v>112850745</v>
      </c>
      <c r="H11" s="3" t="n">
        <v>323544003</v>
      </c>
      <c r="I11" s="5"/>
    </row>
    <row r="14" customFormat="false" ht="26.25" hidden="false" customHeight="false" outlineLevel="0" collapsed="false">
      <c r="A14" s="1" t="s">
        <v>18</v>
      </c>
      <c r="B14" s="1"/>
      <c r="C14" s="1"/>
      <c r="D14" s="1"/>
      <c r="E14" s="1"/>
      <c r="F14" s="1"/>
      <c r="G14" s="1"/>
      <c r="H14" s="1"/>
    </row>
    <row r="15" customFormat="false" ht="16.5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customFormat="false" ht="12.75" hidden="false" customHeight="false" outlineLevel="0" collapsed="false">
      <c r="A16" s="3" t="s">
        <v>9</v>
      </c>
      <c r="B16" s="3" t="n">
        <v>642168792</v>
      </c>
      <c r="C16" s="3" t="n">
        <v>29269647</v>
      </c>
      <c r="D16" s="3" t="n">
        <v>374796</v>
      </c>
      <c r="E16" s="3" t="n">
        <v>0.5836</v>
      </c>
      <c r="F16" s="4" t="n">
        <f aca="false">(1-D16/C16)</f>
        <v>0.98719506251647</v>
      </c>
      <c r="G16" s="3" t="n">
        <v>54105</v>
      </c>
      <c r="H16" s="3" t="n">
        <v>29215542</v>
      </c>
    </row>
    <row r="17" customFormat="false" ht="12.75" hidden="false" customHeight="false" outlineLevel="0" collapsed="false">
      <c r="A17" s="3" t="s">
        <v>10</v>
      </c>
      <c r="B17" s="3" t="n">
        <v>1271560006</v>
      </c>
      <c r="C17" s="3" t="n">
        <v>112993125</v>
      </c>
      <c r="D17" s="3" t="n">
        <v>2331570</v>
      </c>
      <c r="E17" s="3" t="n">
        <v>1.8336</v>
      </c>
      <c r="F17" s="4" t="n">
        <f aca="false">(1-D17/C17)</f>
        <v>0.979365381743358</v>
      </c>
      <c r="G17" s="3" t="n">
        <v>1404676</v>
      </c>
      <c r="H17" s="3" t="n">
        <v>111588449</v>
      </c>
    </row>
    <row r="18" customFormat="false" ht="12.75" hidden="false" customHeight="false" outlineLevel="0" collapsed="false">
      <c r="A18" s="3" t="s">
        <v>11</v>
      </c>
      <c r="B18" s="3" t="n">
        <v>1283893069</v>
      </c>
      <c r="C18" s="3" t="n">
        <v>163272689</v>
      </c>
      <c r="D18" s="3" t="n">
        <v>12043835</v>
      </c>
      <c r="E18" s="3" t="n">
        <v>9.3807</v>
      </c>
      <c r="F18" s="4" t="n">
        <f aca="false">(1-D18/C18)</f>
        <v>0.926234846294471</v>
      </c>
      <c r="G18" s="3" t="n">
        <v>26253683</v>
      </c>
      <c r="H18" s="3" t="n">
        <v>137019006</v>
      </c>
    </row>
    <row r="19" customFormat="false" ht="12.75" hidden="false" customHeight="false" outlineLevel="0" collapsed="false">
      <c r="A19" s="3" t="s">
        <v>12</v>
      </c>
      <c r="B19" s="3" t="n">
        <v>999999976</v>
      </c>
      <c r="C19" s="3" t="n">
        <v>13881337</v>
      </c>
      <c r="D19" s="3" t="n">
        <v>3673</v>
      </c>
      <c r="E19" s="3" t="n">
        <v>0.0037</v>
      </c>
      <c r="F19" s="4" t="n">
        <f aca="false">(1-D19/C19)</f>
        <v>0.999735400127524</v>
      </c>
      <c r="G19" s="3" t="n">
        <v>22884</v>
      </c>
      <c r="H19" s="3" t="n">
        <v>13858453</v>
      </c>
    </row>
    <row r="20" customFormat="false" ht="12.75" hidden="false" customHeight="false" outlineLevel="0" collapsed="false">
      <c r="A20" s="3" t="s">
        <v>13</v>
      </c>
      <c r="B20" s="3" t="n">
        <v>1000000000</v>
      </c>
      <c r="C20" s="3" t="n">
        <v>4038314</v>
      </c>
      <c r="D20" s="3" t="n">
        <v>12873</v>
      </c>
      <c r="E20" s="3" t="n">
        <v>0.0129</v>
      </c>
      <c r="F20" s="4" t="n">
        <f aca="false">(1-D20/C20)</f>
        <v>0.996812283542092</v>
      </c>
      <c r="G20" s="3" t="n">
        <v>2489985</v>
      </c>
      <c r="H20" s="3" t="n">
        <v>1548329</v>
      </c>
    </row>
    <row r="21" customFormat="false" ht="12.75" hidden="false" customHeight="false" outlineLevel="0" collapsed="false">
      <c r="A21" s="3" t="s">
        <v>14</v>
      </c>
      <c r="B21" s="3" t="n">
        <v>514635404</v>
      </c>
      <c r="C21" s="3" t="n">
        <v>71815794</v>
      </c>
      <c r="D21" s="3" t="n">
        <v>6891230</v>
      </c>
      <c r="E21" s="3" t="n">
        <v>13.3905</v>
      </c>
      <c r="F21" s="4" t="n">
        <f aca="false">(1-D21/C21)</f>
        <v>0.90404297416805</v>
      </c>
      <c r="G21" s="3" t="n">
        <v>14786976</v>
      </c>
      <c r="H21" s="3" t="n">
        <v>57028818</v>
      </c>
    </row>
    <row r="22" customFormat="false" ht="12.75" hidden="false" customHeight="false" outlineLevel="0" collapsed="false">
      <c r="A22" s="3" t="s">
        <v>15</v>
      </c>
      <c r="B22" s="3" t="n">
        <v>599758591</v>
      </c>
      <c r="C22" s="3" t="n">
        <v>102414543</v>
      </c>
      <c r="D22" s="3" t="n">
        <v>7107846</v>
      </c>
      <c r="E22" s="3" t="n">
        <v>11.8512</v>
      </c>
      <c r="F22" s="4" t="n">
        <f aca="false">(1-D22/C22)</f>
        <v>0.930597298080996</v>
      </c>
      <c r="G22" s="3" t="n">
        <v>6556201</v>
      </c>
      <c r="H22" s="3" t="n">
        <v>95858342</v>
      </c>
    </row>
    <row r="23" customFormat="false" ht="12.75" hidden="false" customHeight="false" outlineLevel="0" collapsed="false">
      <c r="A23" s="3" t="s">
        <v>16</v>
      </c>
      <c r="B23" s="3" t="n">
        <v>5789354553</v>
      </c>
      <c r="C23" s="3" t="n">
        <v>811360113</v>
      </c>
      <c r="D23" s="3" t="n">
        <v>18223</v>
      </c>
      <c r="E23" s="3" t="n">
        <v>0.0031</v>
      </c>
      <c r="F23" s="4" t="n">
        <f aca="false">(1-D23/C23)</f>
        <v>0.99997754018258</v>
      </c>
      <c r="G23" s="3" t="n">
        <v>426874521</v>
      </c>
      <c r="H23" s="3" t="n">
        <v>384485592</v>
      </c>
    </row>
    <row r="24" customFormat="false" ht="12.75" hidden="false" customHeight="false" outlineLevel="0" collapsed="false">
      <c r="A24" s="3" t="s">
        <v>17</v>
      </c>
      <c r="B24" s="3" t="n">
        <v>1688784689</v>
      </c>
      <c r="C24" s="3" t="n">
        <v>436394748</v>
      </c>
      <c r="D24" s="3" t="n">
        <v>9068004</v>
      </c>
      <c r="E24" s="3" t="n">
        <v>5.3695</v>
      </c>
      <c r="F24" s="4" t="n">
        <f aca="false">(1-D24/C24)</f>
        <v>0.97922063901649</v>
      </c>
      <c r="G24" s="3" t="n">
        <v>112850745</v>
      </c>
      <c r="H24" s="3" t="n">
        <v>323544003</v>
      </c>
    </row>
    <row r="27" customFormat="false" ht="26.25" hidden="false" customHeight="false" outlineLevel="0" collapsed="false">
      <c r="A27" s="1" t="s">
        <v>19</v>
      </c>
      <c r="B27" s="1"/>
      <c r="C27" s="1"/>
      <c r="D27" s="1"/>
      <c r="E27" s="1"/>
      <c r="F27" s="1"/>
      <c r="G27" s="1"/>
      <c r="H27" s="1"/>
    </row>
    <row r="28" customFormat="false" ht="16.5" hidden="false" customHeight="false" outlineLevel="0" collapsed="false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</row>
    <row r="29" customFormat="false" ht="12.75" hidden="false" customHeight="false" outlineLevel="0" collapsed="false">
      <c r="A29" s="3" t="s">
        <v>9</v>
      </c>
      <c r="B29" s="3" t="n">
        <v>642168792</v>
      </c>
      <c r="C29" s="3" t="n">
        <v>29269647</v>
      </c>
      <c r="D29" s="3" t="n">
        <v>283263</v>
      </c>
      <c r="E29" s="3" t="n">
        <v>0.4411</v>
      </c>
      <c r="F29" s="4" t="n">
        <f aca="false">(1-D29/C29)</f>
        <v>0.99032229531159</v>
      </c>
      <c r="G29" s="3" t="n">
        <v>54105</v>
      </c>
      <c r="H29" s="3" t="n">
        <v>29215542</v>
      </c>
    </row>
    <row r="30" customFormat="false" ht="12.75" hidden="false" customHeight="false" outlineLevel="0" collapsed="false">
      <c r="A30" s="3" t="s">
        <v>10</v>
      </c>
      <c r="B30" s="3" t="n">
        <v>1271560006</v>
      </c>
      <c r="C30" s="3" t="n">
        <v>112993125</v>
      </c>
      <c r="D30" s="3" t="n">
        <v>1537485</v>
      </c>
      <c r="E30" s="3" t="n">
        <v>1.2091</v>
      </c>
      <c r="F30" s="4" t="n">
        <f aca="false">(1-D30/C30)</f>
        <v>0.986393110200289</v>
      </c>
      <c r="G30" s="3" t="n">
        <v>1404676</v>
      </c>
      <c r="H30" s="3" t="n">
        <v>111588449</v>
      </c>
    </row>
    <row r="31" customFormat="false" ht="12.75" hidden="false" customHeight="false" outlineLevel="0" collapsed="false">
      <c r="A31" s="3" t="s">
        <v>11</v>
      </c>
      <c r="B31" s="3" t="n">
        <v>1283893069</v>
      </c>
      <c r="C31" s="3" t="n">
        <v>163272689</v>
      </c>
      <c r="D31" s="3" t="n">
        <v>8734815</v>
      </c>
      <c r="E31" s="3" t="n">
        <v>6.8034</v>
      </c>
      <c r="F31" s="4" t="n">
        <f aca="false">(1-D31/C31)</f>
        <v>0.946501677325839</v>
      </c>
      <c r="G31" s="3" t="n">
        <v>26253683</v>
      </c>
      <c r="H31" s="3" t="n">
        <v>137019006</v>
      </c>
    </row>
    <row r="32" customFormat="false" ht="12.75" hidden="false" customHeight="false" outlineLevel="0" collapsed="false">
      <c r="A32" s="3" t="s">
        <v>12</v>
      </c>
      <c r="B32" s="3" t="n">
        <v>999999976</v>
      </c>
      <c r="C32" s="3" t="n">
        <v>13881337</v>
      </c>
      <c r="D32" s="3" t="n">
        <v>713</v>
      </c>
      <c r="E32" s="3" t="n">
        <v>0.0007</v>
      </c>
      <c r="F32" s="4" t="n">
        <f aca="false">(1-D32/C32)</f>
        <v>0.999948636071583</v>
      </c>
      <c r="G32" s="3" t="n">
        <v>22884</v>
      </c>
      <c r="H32" s="3" t="n">
        <v>13858453</v>
      </c>
    </row>
    <row r="33" customFormat="false" ht="12.75" hidden="false" customHeight="false" outlineLevel="0" collapsed="false">
      <c r="A33" s="3" t="s">
        <v>13</v>
      </c>
      <c r="B33" s="3" t="n">
        <v>1000000000</v>
      </c>
      <c r="C33" s="3" t="n">
        <v>4038314</v>
      </c>
      <c r="D33" s="3" t="n">
        <v>1651</v>
      </c>
      <c r="E33" s="3" t="n">
        <v>0.0017</v>
      </c>
      <c r="F33" s="4" t="n">
        <f aca="false">(1-D33/C33)</f>
        <v>0.999591166016313</v>
      </c>
      <c r="G33" s="3" t="n">
        <v>2489985</v>
      </c>
      <c r="H33" s="3" t="n">
        <v>1548329</v>
      </c>
    </row>
    <row r="34" customFormat="false" ht="12.75" hidden="false" customHeight="false" outlineLevel="0" collapsed="false">
      <c r="A34" s="3" t="s">
        <v>14</v>
      </c>
      <c r="B34" s="3" t="n">
        <v>514635404</v>
      </c>
      <c r="C34" s="3" t="n">
        <v>71815794</v>
      </c>
      <c r="D34" s="3" t="n">
        <v>3293161</v>
      </c>
      <c r="E34" s="3" t="n">
        <v>6.399</v>
      </c>
      <c r="F34" s="4" t="n">
        <f aca="false">(1-D34/C34)</f>
        <v>0.954144334879873</v>
      </c>
      <c r="G34" s="3" t="n">
        <v>14786976</v>
      </c>
      <c r="H34" s="3" t="n">
        <v>57028818</v>
      </c>
    </row>
    <row r="35" customFormat="false" ht="12.75" hidden="false" customHeight="false" outlineLevel="0" collapsed="false">
      <c r="A35" s="3" t="s">
        <v>15</v>
      </c>
      <c r="B35" s="3" t="n">
        <v>599758591</v>
      </c>
      <c r="C35" s="3" t="n">
        <v>102414543</v>
      </c>
      <c r="D35" s="3" t="n">
        <v>5117363</v>
      </c>
      <c r="E35" s="3" t="n">
        <v>8.5324</v>
      </c>
      <c r="F35" s="4" t="n">
        <f aca="false">(1-D35/C35)</f>
        <v>0.950032848362171</v>
      </c>
      <c r="G35" s="3" t="n">
        <v>6556201</v>
      </c>
      <c r="H35" s="3" t="n">
        <v>95858342</v>
      </c>
    </row>
    <row r="36" customFormat="false" ht="12.75" hidden="false" customHeight="false" outlineLevel="0" collapsed="false">
      <c r="A36" s="3" t="s">
        <v>16</v>
      </c>
      <c r="B36" s="3" t="n">
        <v>5789354553</v>
      </c>
      <c r="C36" s="3" t="n">
        <v>811360113</v>
      </c>
      <c r="D36" s="3" t="n">
        <v>1462</v>
      </c>
      <c r="E36" s="3" t="n">
        <v>0.0003</v>
      </c>
      <c r="F36" s="4" t="n">
        <f aca="false">(1-D36/C36)</f>
        <v>0.999998198087413</v>
      </c>
      <c r="G36" s="3" t="n">
        <v>426874521</v>
      </c>
      <c r="H36" s="3" t="n">
        <v>384485592</v>
      </c>
    </row>
    <row r="37" customFormat="false" ht="12.75" hidden="false" customHeight="false" outlineLevel="0" collapsed="false">
      <c r="A37" s="3" t="s">
        <v>17</v>
      </c>
      <c r="B37" s="3" t="n">
        <v>1688784689</v>
      </c>
      <c r="C37" s="3" t="n">
        <v>436394748</v>
      </c>
      <c r="D37" s="3" t="n">
        <v>5059693</v>
      </c>
      <c r="E37" s="3" t="n">
        <v>2.9961</v>
      </c>
      <c r="F37" s="4" t="n">
        <f aca="false">(1-D37/C37)</f>
        <v>0.988405696853162</v>
      </c>
      <c r="G37" s="3" t="n">
        <v>112850745</v>
      </c>
      <c r="H37" s="3" t="n">
        <v>323544003</v>
      </c>
    </row>
    <row r="40" customFormat="false" ht="26.25" hidden="false" customHeight="false" outlineLevel="0" collapsed="false">
      <c r="A40" s="1" t="s">
        <v>20</v>
      </c>
      <c r="B40" s="1"/>
      <c r="C40" s="1"/>
      <c r="D40" s="1"/>
      <c r="E40" s="1"/>
      <c r="F40" s="1"/>
      <c r="G40" s="1"/>
      <c r="H40" s="1"/>
    </row>
    <row r="41" customFormat="false" ht="16.5" hidden="false" customHeight="false" outlineLevel="0" collapsed="false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</row>
    <row r="42" customFormat="false" ht="12.75" hidden="false" customHeight="false" outlineLevel="0" collapsed="false">
      <c r="A42" s="3" t="s">
        <v>9</v>
      </c>
      <c r="B42" s="3" t="n">
        <v>642168792</v>
      </c>
      <c r="C42" s="3" t="n">
        <v>29269647</v>
      </c>
      <c r="D42" s="3" t="n">
        <v>374796</v>
      </c>
      <c r="E42" s="3" t="n">
        <v>0.5836</v>
      </c>
      <c r="F42" s="4" t="n">
        <f aca="false">(1-D42/C42)</f>
        <v>0.98719506251647</v>
      </c>
      <c r="G42" s="3" t="n">
        <v>54105</v>
      </c>
      <c r="H42" s="3" t="n">
        <v>29215542</v>
      </c>
    </row>
    <row r="43" customFormat="false" ht="12.75" hidden="false" customHeight="false" outlineLevel="0" collapsed="false">
      <c r="A43" s="3" t="s">
        <v>10</v>
      </c>
      <c r="B43" s="3" t="n">
        <v>1271560006</v>
      </c>
      <c r="C43" s="3" t="n">
        <v>112993125</v>
      </c>
      <c r="D43" s="3" t="n">
        <v>2331570</v>
      </c>
      <c r="E43" s="3" t="n">
        <v>1.8336</v>
      </c>
      <c r="F43" s="4" t="n">
        <f aca="false">(1-D43/C43)</f>
        <v>0.979365381743358</v>
      </c>
      <c r="G43" s="3" t="n">
        <v>1404676</v>
      </c>
      <c r="H43" s="3" t="n">
        <v>111588449</v>
      </c>
    </row>
    <row r="44" customFormat="false" ht="12.75" hidden="false" customHeight="false" outlineLevel="0" collapsed="false">
      <c r="A44" s="3" t="s">
        <v>11</v>
      </c>
      <c r="B44" s="3" t="n">
        <v>1283893069</v>
      </c>
      <c r="C44" s="3" t="n">
        <v>163272689</v>
      </c>
      <c r="D44" s="3" t="n">
        <v>12043835</v>
      </c>
      <c r="E44" s="3" t="n">
        <v>9.3807</v>
      </c>
      <c r="F44" s="4" t="n">
        <f aca="false">(1-D44/C44)</f>
        <v>0.926234846294471</v>
      </c>
      <c r="G44" s="3" t="n">
        <v>26253683</v>
      </c>
      <c r="H44" s="3" t="n">
        <v>137019006</v>
      </c>
    </row>
    <row r="45" customFormat="false" ht="12.75" hidden="false" customHeight="false" outlineLevel="0" collapsed="false">
      <c r="A45" s="3" t="s">
        <v>12</v>
      </c>
      <c r="B45" s="3" t="n">
        <v>999999976</v>
      </c>
      <c r="C45" s="3" t="n">
        <v>13881337</v>
      </c>
      <c r="D45" s="3" t="n">
        <v>3673</v>
      </c>
      <c r="E45" s="3" t="n">
        <v>0.0037</v>
      </c>
      <c r="F45" s="4" t="n">
        <f aca="false">(1-D45/C45)</f>
        <v>0.999735400127524</v>
      </c>
      <c r="G45" s="3" t="n">
        <v>22884</v>
      </c>
      <c r="H45" s="3" t="n">
        <v>13858453</v>
      </c>
    </row>
    <row r="46" customFormat="false" ht="12.75" hidden="false" customHeight="false" outlineLevel="0" collapsed="false">
      <c r="A46" s="3" t="s">
        <v>13</v>
      </c>
      <c r="B46" s="3" t="n">
        <v>1000000000</v>
      </c>
      <c r="C46" s="3" t="n">
        <v>4038314</v>
      </c>
      <c r="D46" s="3" t="n">
        <v>12873</v>
      </c>
      <c r="E46" s="3" t="n">
        <v>0.0129</v>
      </c>
      <c r="F46" s="4" t="n">
        <f aca="false">(1-D46/C46)</f>
        <v>0.996812283542092</v>
      </c>
      <c r="G46" s="3" t="n">
        <v>2489985</v>
      </c>
      <c r="H46" s="3" t="n">
        <v>1548329</v>
      </c>
    </row>
    <row r="47" customFormat="false" ht="12.75" hidden="false" customHeight="false" outlineLevel="0" collapsed="false">
      <c r="A47" s="3" t="s">
        <v>14</v>
      </c>
      <c r="B47" s="3" t="n">
        <v>514635404</v>
      </c>
      <c r="C47" s="3" t="n">
        <v>71815794</v>
      </c>
      <c r="D47" s="3" t="n">
        <v>6891230</v>
      </c>
      <c r="E47" s="3" t="n">
        <v>13.3905</v>
      </c>
      <c r="F47" s="4" t="n">
        <f aca="false">(1-D47/C47)</f>
        <v>0.90404297416805</v>
      </c>
      <c r="G47" s="3" t="n">
        <v>14786976</v>
      </c>
      <c r="H47" s="3" t="n">
        <v>57028818</v>
      </c>
    </row>
    <row r="48" customFormat="false" ht="12.75" hidden="false" customHeight="false" outlineLevel="0" collapsed="false">
      <c r="A48" s="3" t="s">
        <v>15</v>
      </c>
      <c r="B48" s="3" t="n">
        <v>599758591</v>
      </c>
      <c r="C48" s="3" t="n">
        <v>102414543</v>
      </c>
      <c r="D48" s="3" t="n">
        <v>7107846</v>
      </c>
      <c r="E48" s="3" t="n">
        <v>11.8512</v>
      </c>
      <c r="F48" s="4" t="n">
        <f aca="false">(1-D48/C48)</f>
        <v>0.930597298080996</v>
      </c>
      <c r="G48" s="3" t="n">
        <v>6556201</v>
      </c>
      <c r="H48" s="3" t="n">
        <v>95858342</v>
      </c>
    </row>
    <row r="49" customFormat="false" ht="12.75" hidden="false" customHeight="false" outlineLevel="0" collapsed="false">
      <c r="A49" s="3" t="s">
        <v>16</v>
      </c>
      <c r="B49" s="3" t="n">
        <v>5789354553</v>
      </c>
      <c r="C49" s="3" t="n">
        <v>811360113</v>
      </c>
      <c r="D49" s="3" t="n">
        <v>18223</v>
      </c>
      <c r="E49" s="3" t="n">
        <v>0.0031</v>
      </c>
      <c r="F49" s="4" t="n">
        <f aca="false">(1-D49/C49)</f>
        <v>0.99997754018258</v>
      </c>
      <c r="G49" s="3" t="n">
        <v>426874521</v>
      </c>
      <c r="H49" s="3" t="n">
        <v>384485592</v>
      </c>
    </row>
    <row r="50" customFormat="false" ht="12.75" hidden="false" customHeight="false" outlineLevel="0" collapsed="false">
      <c r="A50" s="3" t="s">
        <v>17</v>
      </c>
      <c r="B50" s="3" t="n">
        <v>1688784689</v>
      </c>
      <c r="C50" s="3" t="n">
        <v>436394748</v>
      </c>
      <c r="D50" s="3" t="n">
        <v>9068004</v>
      </c>
      <c r="E50" s="3" t="n">
        <v>5.3695</v>
      </c>
      <c r="F50" s="4" t="n">
        <f aca="false">(1-D50/C50)</f>
        <v>0.97922063901649</v>
      </c>
      <c r="G50" s="3" t="n">
        <v>112850745</v>
      </c>
      <c r="H50" s="3" t="n">
        <v>323544003</v>
      </c>
    </row>
  </sheetData>
  <mergeCells count="4">
    <mergeCell ref="A1:H1"/>
    <mergeCell ref="A14:H14"/>
    <mergeCell ref="A27:H27"/>
    <mergeCell ref="A40:H4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24" activeCellId="0" sqref="E24"/>
    </sheetView>
  </sheetViews>
  <sheetFormatPr defaultRowHeight="12.75"/>
  <cols>
    <col collapsed="false" hidden="false" max="1" min="1" style="0" width="11.5714285714286"/>
    <col collapsed="false" hidden="false" max="2" min="2" style="0" width="20.4183673469388"/>
    <col collapsed="false" hidden="false" max="3" min="3" style="0" width="20.1428571428571"/>
    <col collapsed="false" hidden="false" max="4" min="4" style="0" width="27.7091836734694"/>
    <col collapsed="false" hidden="false" max="5" min="5" style="0" width="11.5714285714286"/>
    <col collapsed="false" hidden="false" max="6" min="6" style="0" width="24.2908163265306"/>
    <col collapsed="false" hidden="false" max="7" min="7" style="0" width="26.8520408163265"/>
    <col collapsed="false" hidden="false" max="8" min="8" style="0" width="24.1479591836735"/>
    <col collapsed="false" hidden="false" max="1025" min="9" style="0" width="11.5714285714286"/>
  </cols>
  <sheetData>
    <row r="1" customFormat="false" ht="26.2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</row>
    <row r="2" customFormat="false" ht="16.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2.75" hidden="false" customHeight="false" outlineLevel="0" collapsed="false">
      <c r="A3" s="3" t="s">
        <v>9</v>
      </c>
      <c r="B3" s="3" t="n">
        <v>642168792</v>
      </c>
      <c r="C3" s="3" t="n">
        <v>29269647</v>
      </c>
      <c r="D3" s="3" t="n">
        <v>15579</v>
      </c>
      <c r="E3" s="3" t="n">
        <v>0.0243</v>
      </c>
      <c r="F3" s="4" t="n">
        <f aca="false">(1-32kb!d3/32kb!c3)</f>
        <v>0.999467742128902</v>
      </c>
      <c r="G3" s="3" t="n">
        <v>54105</v>
      </c>
      <c r="H3" s="3" t="n">
        <v>29215542</v>
      </c>
    </row>
    <row r="4" customFormat="false" ht="12.75" hidden="false" customHeight="false" outlineLevel="0" collapsed="false">
      <c r="A4" s="3" t="s">
        <v>10</v>
      </c>
      <c r="B4" s="3" t="n">
        <v>1271560006</v>
      </c>
      <c r="C4" s="3" t="n">
        <v>112993125</v>
      </c>
      <c r="D4" s="3" t="n">
        <v>144050</v>
      </c>
      <c r="E4" s="3" t="n">
        <v>0.1133</v>
      </c>
      <c r="F4" s="4" t="n">
        <f aca="false">(1-32kb!d4/32kb!c4)</f>
        <v>0.998725143675777</v>
      </c>
      <c r="G4" s="3" t="n">
        <v>1404676</v>
      </c>
      <c r="H4" s="3" t="n">
        <v>111588449</v>
      </c>
    </row>
    <row r="5" customFormat="false" ht="12.75" hidden="false" customHeight="false" outlineLevel="0" collapsed="false">
      <c r="A5" s="3" t="s">
        <v>11</v>
      </c>
      <c r="B5" s="3" t="n">
        <v>1283893069</v>
      </c>
      <c r="C5" s="3" t="n">
        <v>163272689</v>
      </c>
      <c r="D5" s="3" t="n">
        <v>8479199</v>
      </c>
      <c r="E5" s="3" t="n">
        <v>6.6043</v>
      </c>
      <c r="F5" s="4" t="n">
        <f aca="false">(1-32kb!d5/32kb!c5)</f>
        <v>0.948067254530242</v>
      </c>
      <c r="G5" s="3" t="n">
        <v>26253683</v>
      </c>
      <c r="H5" s="3" t="n">
        <v>137019006</v>
      </c>
    </row>
    <row r="6" customFormat="false" ht="12.75" hidden="false" customHeight="false" outlineLevel="0" collapsed="false">
      <c r="A6" s="3" t="s">
        <v>12</v>
      </c>
      <c r="B6" s="3" t="n">
        <v>999999976</v>
      </c>
      <c r="C6" s="3" t="n">
        <v>13881337</v>
      </c>
      <c r="D6" s="3" t="n">
        <v>594</v>
      </c>
      <c r="E6" s="3" t="n">
        <v>0.0006</v>
      </c>
      <c r="F6" s="4" t="n">
        <f aca="false">(1-32kb!d6/32kb!c6)</f>
        <v>0.999957208732848</v>
      </c>
      <c r="G6" s="3" t="n">
        <v>22884</v>
      </c>
      <c r="H6" s="3" t="n">
        <v>13858453</v>
      </c>
    </row>
    <row r="7" customFormat="false" ht="12.75" hidden="false" customHeight="false" outlineLevel="0" collapsed="false">
      <c r="A7" s="3" t="s">
        <v>13</v>
      </c>
      <c r="B7" s="3" t="n">
        <v>1000000000</v>
      </c>
      <c r="C7" s="3" t="n">
        <v>4038314</v>
      </c>
      <c r="D7" s="3" t="n">
        <v>1302</v>
      </c>
      <c r="E7" s="3" t="n">
        <v>0.0013</v>
      </c>
      <c r="F7" s="4" t="n">
        <f aca="false">(1-32kb!d7/32kb!c7)</f>
        <v>0.999677588221223</v>
      </c>
      <c r="G7" s="3" t="n">
        <v>2489985</v>
      </c>
      <c r="H7" s="3" t="n">
        <v>1548329</v>
      </c>
    </row>
    <row r="8" customFormat="false" ht="12.75" hidden="false" customHeight="false" outlineLevel="0" collapsed="false">
      <c r="A8" s="3" t="s">
        <v>14</v>
      </c>
      <c r="B8" s="3" t="n">
        <v>514635404</v>
      </c>
      <c r="C8" s="3" t="n">
        <v>71815794</v>
      </c>
      <c r="D8" s="3" t="n">
        <v>2439320</v>
      </c>
      <c r="E8" s="3" t="n">
        <v>4.7399</v>
      </c>
      <c r="F8" s="4" t="n">
        <f aca="false">(1-32kb!d8/32kb!c8)</f>
        <v>0.966033655493665</v>
      </c>
      <c r="G8" s="3" t="n">
        <v>14786976</v>
      </c>
      <c r="H8" s="3" t="n">
        <v>57028818</v>
      </c>
    </row>
    <row r="9" customFormat="false" ht="12.75" hidden="false" customHeight="false" outlineLevel="0" collapsed="false">
      <c r="A9" s="3" t="s">
        <v>15</v>
      </c>
      <c r="B9" s="3" t="n">
        <v>599758591</v>
      </c>
      <c r="C9" s="3" t="n">
        <v>102414543</v>
      </c>
      <c r="D9" s="3" t="n">
        <v>4832385</v>
      </c>
      <c r="E9" s="3" t="n">
        <v>8.0572</v>
      </c>
      <c r="F9" s="4" t="n">
        <f aca="false">(1-32kb!d9/32kb!c9)</f>
        <v>0.952815441455419</v>
      </c>
      <c r="G9" s="3" t="n">
        <v>6556201</v>
      </c>
      <c r="H9" s="3" t="n">
        <v>95858342</v>
      </c>
    </row>
    <row r="10" customFormat="false" ht="12.75" hidden="false" customHeight="false" outlineLevel="0" collapsed="false">
      <c r="A10" s="3" t="s">
        <v>16</v>
      </c>
      <c r="B10" s="3" t="n">
        <v>5789354553</v>
      </c>
      <c r="C10" s="3" t="n">
        <v>811360113</v>
      </c>
      <c r="D10" s="3" t="n">
        <v>1157</v>
      </c>
      <c r="E10" s="3" t="n">
        <v>0.0002</v>
      </c>
      <c r="F10" s="4" t="n">
        <f aca="false">(1-32kb!d10/32kb!c10)</f>
        <v>0.99999857399941</v>
      </c>
      <c r="G10" s="3" t="n">
        <v>426874521</v>
      </c>
      <c r="H10" s="3" t="n">
        <v>384485592</v>
      </c>
    </row>
    <row r="11" customFormat="false" ht="12.75" hidden="false" customHeight="false" outlineLevel="0" collapsed="false">
      <c r="A11" s="3" t="s">
        <v>17</v>
      </c>
      <c r="B11" s="3" t="n">
        <v>1688784689</v>
      </c>
      <c r="C11" s="3" t="n">
        <v>436394748</v>
      </c>
      <c r="D11" s="3" t="n">
        <v>8517902</v>
      </c>
      <c r="E11" s="3" t="n">
        <v>5.0438</v>
      </c>
      <c r="F11" s="4" t="n">
        <f aca="false">(1-32kb!d11/32kb!c11)</f>
        <v>0.980481199558341</v>
      </c>
      <c r="G11" s="3" t="n">
        <v>112850745</v>
      </c>
      <c r="H11" s="3" t="n">
        <v>323544003</v>
      </c>
    </row>
    <row r="14" customFormat="false" ht="26.25" hidden="false" customHeight="false" outlineLevel="0" collapsed="false">
      <c r="A14" s="1" t="s">
        <v>22</v>
      </c>
      <c r="B14" s="1"/>
      <c r="C14" s="1"/>
      <c r="D14" s="1"/>
      <c r="E14" s="1"/>
      <c r="F14" s="1"/>
      <c r="G14" s="1"/>
      <c r="H14" s="1"/>
    </row>
    <row r="15" customFormat="false" ht="16.5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customFormat="false" ht="12.75" hidden="false" customHeight="false" outlineLevel="0" collapsed="false">
      <c r="A16" s="3" t="s">
        <v>9</v>
      </c>
      <c r="B16" s="3" t="n">
        <v>642168792</v>
      </c>
      <c r="C16" s="3" t="n">
        <v>29269647</v>
      </c>
      <c r="D16" s="3" t="n">
        <v>371945</v>
      </c>
      <c r="E16" s="3" t="n">
        <v>0.5792</v>
      </c>
      <c r="F16" s="4" t="n">
        <f aca="false">(1-32kb!d16/32kb!c16)</f>
        <v>0.987292467175979</v>
      </c>
      <c r="G16" s="3" t="n">
        <v>54105</v>
      </c>
      <c r="H16" s="3" t="n">
        <v>29215542</v>
      </c>
    </row>
    <row r="17" customFormat="false" ht="12.75" hidden="false" customHeight="false" outlineLevel="0" collapsed="false">
      <c r="A17" s="3" t="s">
        <v>10</v>
      </c>
      <c r="B17" s="3" t="n">
        <v>1271560006</v>
      </c>
      <c r="C17" s="3" t="n">
        <v>112993125</v>
      </c>
      <c r="D17" s="3" t="n">
        <v>2329802</v>
      </c>
      <c r="E17" s="3" t="n">
        <v>1.8322</v>
      </c>
      <c r="F17" s="4" t="n">
        <f aca="false">(1-32kb!d17/32kb!c17)</f>
        <v>0.97938102871303</v>
      </c>
      <c r="G17" s="3" t="n">
        <v>1404676</v>
      </c>
      <c r="H17" s="3" t="n">
        <v>111588449</v>
      </c>
    </row>
    <row r="18" customFormat="false" ht="12.75" hidden="false" customHeight="false" outlineLevel="0" collapsed="false">
      <c r="A18" s="3" t="s">
        <v>11</v>
      </c>
      <c r="B18" s="3" t="n">
        <v>1283893069</v>
      </c>
      <c r="C18" s="3" t="n">
        <v>163272689</v>
      </c>
      <c r="D18" s="3" t="n">
        <v>12138605</v>
      </c>
      <c r="E18" s="3" t="n">
        <v>9.4545</v>
      </c>
      <c r="F18" s="4" t="n">
        <f aca="false">(1-32kb!d18/32kb!c18)</f>
        <v>0.925654406292041</v>
      </c>
      <c r="G18" s="3" t="n">
        <v>26253683</v>
      </c>
      <c r="H18" s="3" t="n">
        <v>137019006</v>
      </c>
    </row>
    <row r="19" customFormat="false" ht="12.75" hidden="false" customHeight="false" outlineLevel="0" collapsed="false">
      <c r="A19" s="3" t="s">
        <v>12</v>
      </c>
      <c r="B19" s="3" t="n">
        <v>999999976</v>
      </c>
      <c r="C19" s="3" t="n">
        <v>13881337</v>
      </c>
      <c r="D19" s="3" t="n">
        <v>3520</v>
      </c>
      <c r="E19" s="3" t="n">
        <v>0.0035</v>
      </c>
      <c r="F19" s="4" t="n">
        <f aca="false">(1-32kb!d19/32kb!c19)</f>
        <v>0.999746422120578</v>
      </c>
      <c r="G19" s="3" t="n">
        <v>22884</v>
      </c>
      <c r="H19" s="3" t="n">
        <v>13858453</v>
      </c>
    </row>
    <row r="20" customFormat="false" ht="12.75" hidden="false" customHeight="false" outlineLevel="0" collapsed="false">
      <c r="A20" s="3" t="s">
        <v>13</v>
      </c>
      <c r="B20" s="3" t="n">
        <v>1000000000</v>
      </c>
      <c r="C20" s="3" t="n">
        <v>4038314</v>
      </c>
      <c r="D20" s="3" t="n">
        <v>12608</v>
      </c>
      <c r="E20" s="3" t="n">
        <v>0.0126</v>
      </c>
      <c r="F20" s="4" t="n">
        <f aca="false">(1-32kb!d20/32kb!c20)</f>
        <v>0.996877904987081</v>
      </c>
      <c r="G20" s="3" t="n">
        <v>2489985</v>
      </c>
      <c r="H20" s="3" t="n">
        <v>1548329</v>
      </c>
    </row>
    <row r="21" customFormat="false" ht="12.75" hidden="false" customHeight="false" outlineLevel="0" collapsed="false">
      <c r="A21" s="3" t="s">
        <v>14</v>
      </c>
      <c r="B21" s="3" t="n">
        <v>514635404</v>
      </c>
      <c r="C21" s="3" t="n">
        <v>71815794</v>
      </c>
      <c r="D21" s="3" t="n">
        <v>6891234</v>
      </c>
      <c r="E21" s="3" t="n">
        <v>13.3905</v>
      </c>
      <c r="F21" s="4" t="n">
        <f aca="false">(1-32kb!d21/32kb!c21)</f>
        <v>0.904042918469996</v>
      </c>
      <c r="G21" s="3" t="n">
        <v>14786976</v>
      </c>
      <c r="H21" s="3" t="n">
        <v>57028818</v>
      </c>
    </row>
    <row r="22" customFormat="false" ht="12.75" hidden="false" customHeight="false" outlineLevel="0" collapsed="false">
      <c r="A22" s="3" t="s">
        <v>15</v>
      </c>
      <c r="B22" s="3" t="n">
        <v>599758591</v>
      </c>
      <c r="C22" s="3" t="n">
        <v>102414543</v>
      </c>
      <c r="D22" s="3" t="n">
        <v>7103311</v>
      </c>
      <c r="E22" s="3" t="n">
        <v>11.8436</v>
      </c>
      <c r="F22" s="4" t="n">
        <f aca="false">(1-32kb!d22/32kb!c22)</f>
        <v>0.930641578901543</v>
      </c>
      <c r="G22" s="3" t="n">
        <v>6556201</v>
      </c>
      <c r="H22" s="3" t="n">
        <v>95858342</v>
      </c>
    </row>
    <row r="23" customFormat="false" ht="12.75" hidden="false" customHeight="false" outlineLevel="0" collapsed="false">
      <c r="A23" s="3" t="s">
        <v>16</v>
      </c>
      <c r="B23" s="3" t="n">
        <v>5789354553</v>
      </c>
      <c r="C23" s="3" t="n">
        <v>811360113</v>
      </c>
      <c r="D23" s="3" t="n">
        <v>17847</v>
      </c>
      <c r="E23" s="3" t="n">
        <v>0.0031</v>
      </c>
      <c r="F23" s="4" t="n">
        <f aca="false">(1-32kb!d23/32kb!c23)</f>
        <v>0.999978003601959</v>
      </c>
      <c r="G23" s="3" t="n">
        <v>426874521</v>
      </c>
      <c r="H23" s="3" t="n">
        <v>384485592</v>
      </c>
    </row>
    <row r="24" customFormat="false" ht="12.75" hidden="false" customHeight="false" outlineLevel="0" collapsed="false">
      <c r="A24" s="3" t="s">
        <v>17</v>
      </c>
      <c r="B24" s="3" t="n">
        <v>1688784689</v>
      </c>
      <c r="C24" s="3" t="n">
        <v>436394748</v>
      </c>
      <c r="D24" s="3" t="n">
        <v>8922849</v>
      </c>
      <c r="E24" s="3" t="n">
        <v>5.2836</v>
      </c>
      <c r="F24" s="4" t="n">
        <f aca="false">(1-32kb!d24/32kb!c24)</f>
        <v>0.97955326217629</v>
      </c>
      <c r="G24" s="3" t="n">
        <v>112850745</v>
      </c>
      <c r="H24" s="3" t="n">
        <v>323544003</v>
      </c>
    </row>
    <row r="27" customFormat="false" ht="26.25" hidden="false" customHeight="false" outlineLevel="0" collapsed="false">
      <c r="A27" s="1" t="s">
        <v>23</v>
      </c>
      <c r="B27" s="1"/>
      <c r="C27" s="1"/>
      <c r="D27" s="1"/>
      <c r="E27" s="1"/>
      <c r="F27" s="1"/>
      <c r="G27" s="1"/>
      <c r="H27" s="1"/>
    </row>
    <row r="28" customFormat="false" ht="16.5" hidden="false" customHeight="false" outlineLevel="0" collapsed="false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</row>
    <row r="29" customFormat="false" ht="12.75" hidden="false" customHeight="false" outlineLevel="0" collapsed="false">
      <c r="A29" s="3" t="s">
        <v>9</v>
      </c>
      <c r="B29" s="3" t="n">
        <v>642168792</v>
      </c>
      <c r="C29" s="3" t="n">
        <v>29269647</v>
      </c>
      <c r="D29" s="3" t="n">
        <v>16803</v>
      </c>
      <c r="E29" s="3" t="n">
        <v>0.0262</v>
      </c>
      <c r="F29" s="4" t="n">
        <f aca="false">(1-32kb!d29/32kb!c29)</f>
        <v>0.999425924063929</v>
      </c>
      <c r="G29" s="3" t="n">
        <v>54105</v>
      </c>
      <c r="H29" s="3" t="n">
        <v>29215542</v>
      </c>
    </row>
    <row r="30" customFormat="false" ht="12.75" hidden="false" customHeight="false" outlineLevel="0" collapsed="false">
      <c r="A30" s="3" t="s">
        <v>10</v>
      </c>
      <c r="B30" s="3" t="n">
        <v>1271560006</v>
      </c>
      <c r="C30" s="3" t="n">
        <v>112993125</v>
      </c>
      <c r="D30" s="3" t="n">
        <v>144049</v>
      </c>
      <c r="E30" s="3" t="n">
        <v>0.1133</v>
      </c>
      <c r="F30" s="4" t="n">
        <f aca="false">(1-32kb!d30/32kb!c30)</f>
        <v>0.998725152525873</v>
      </c>
      <c r="G30" s="3" t="n">
        <v>1404676</v>
      </c>
      <c r="H30" s="3" t="n">
        <v>111588449</v>
      </c>
    </row>
    <row r="31" customFormat="false" ht="12.75" hidden="false" customHeight="false" outlineLevel="0" collapsed="false">
      <c r="A31" s="3" t="s">
        <v>11</v>
      </c>
      <c r="B31" s="3" t="n">
        <v>1283893069</v>
      </c>
      <c r="C31" s="3" t="n">
        <v>163272689</v>
      </c>
      <c r="D31" s="3" t="n">
        <v>8488715</v>
      </c>
      <c r="E31" s="3" t="n">
        <v>6.6117</v>
      </c>
      <c r="F31" s="4" t="n">
        <f aca="false">(1-32kb!d31/32kb!c31)</f>
        <v>0.9480089716658</v>
      </c>
      <c r="G31" s="3" t="n">
        <v>26253683</v>
      </c>
      <c r="H31" s="3" t="n">
        <v>137019006</v>
      </c>
    </row>
    <row r="32" customFormat="false" ht="12.75" hidden="false" customHeight="false" outlineLevel="0" collapsed="false">
      <c r="A32" s="3" t="s">
        <v>12</v>
      </c>
      <c r="B32" s="3" t="n">
        <v>999999976</v>
      </c>
      <c r="C32" s="3" t="n">
        <v>13881337</v>
      </c>
      <c r="D32" s="3" t="n">
        <v>594</v>
      </c>
      <c r="E32" s="3" t="n">
        <v>0.0006</v>
      </c>
      <c r="F32" s="4" t="n">
        <f aca="false">(1-32kb!d32/32kb!c32)</f>
        <v>0.999957208732848</v>
      </c>
      <c r="G32" s="3" t="n">
        <v>22884</v>
      </c>
      <c r="H32" s="3" t="n">
        <v>13858453</v>
      </c>
    </row>
    <row r="33" customFormat="false" ht="12.75" hidden="false" customHeight="false" outlineLevel="0" collapsed="false">
      <c r="A33" s="3" t="s">
        <v>13</v>
      </c>
      <c r="B33" s="3" t="n">
        <v>1000000000</v>
      </c>
      <c r="C33" s="3" t="n">
        <v>4038314</v>
      </c>
      <c r="D33" s="3" t="n">
        <v>1357</v>
      </c>
      <c r="E33" s="3" t="n">
        <v>0.0014</v>
      </c>
      <c r="F33" s="4" t="n">
        <f aca="false">(1-32kb!d33/32kb!c33)</f>
        <v>0.999663968676037</v>
      </c>
      <c r="G33" s="3" t="n">
        <v>2489985</v>
      </c>
      <c r="H33" s="3" t="n">
        <v>1548329</v>
      </c>
    </row>
    <row r="34" customFormat="false" ht="12.75" hidden="false" customHeight="false" outlineLevel="0" collapsed="false">
      <c r="A34" s="3" t="s">
        <v>14</v>
      </c>
      <c r="B34" s="3" t="n">
        <v>514635404</v>
      </c>
      <c r="C34" s="3" t="n">
        <v>71815794</v>
      </c>
      <c r="D34" s="3" t="n">
        <v>3011650</v>
      </c>
      <c r="E34" s="3" t="n">
        <v>5.852</v>
      </c>
      <c r="F34" s="4" t="n">
        <f aca="false">(1-32kb!d34/32kb!c34)</f>
        <v>0.958064238626952</v>
      </c>
      <c r="G34" s="3" t="n">
        <v>14786976</v>
      </c>
      <c r="H34" s="3" t="n">
        <v>57028818</v>
      </c>
    </row>
    <row r="35" customFormat="false" ht="12.75" hidden="false" customHeight="false" outlineLevel="0" collapsed="false">
      <c r="A35" s="3" t="s">
        <v>15</v>
      </c>
      <c r="B35" s="3" t="n">
        <v>599758591</v>
      </c>
      <c r="C35" s="3" t="n">
        <v>102414543</v>
      </c>
      <c r="D35" s="3" t="n">
        <v>4832414</v>
      </c>
      <c r="E35" s="3" t="n">
        <v>8.0573</v>
      </c>
      <c r="F35" s="4" t="n">
        <f aca="false">(1-32kb!d35/32kb!c35)</f>
        <v>0.952815158292509</v>
      </c>
      <c r="G35" s="3" t="n">
        <v>6556201</v>
      </c>
      <c r="H35" s="3" t="n">
        <v>95858342</v>
      </c>
    </row>
    <row r="36" customFormat="false" ht="12.75" hidden="false" customHeight="false" outlineLevel="0" collapsed="false">
      <c r="A36" s="3" t="s">
        <v>16</v>
      </c>
      <c r="B36" s="3" t="n">
        <v>5789354553</v>
      </c>
      <c r="C36" s="3" t="n">
        <v>811360113</v>
      </c>
      <c r="D36" s="3" t="n">
        <v>1157</v>
      </c>
      <c r="E36" s="3" t="n">
        <v>0.0002</v>
      </c>
      <c r="F36" s="4" t="n">
        <f aca="false">(1-32kb!d36/32kb!c36)</f>
        <v>0.99999857399941</v>
      </c>
      <c r="G36" s="3" t="n">
        <v>426874521</v>
      </c>
      <c r="H36" s="3" t="n">
        <v>384485592</v>
      </c>
    </row>
    <row r="37" customFormat="false" ht="12.75" hidden="false" customHeight="false" outlineLevel="0" collapsed="false">
      <c r="A37" s="3" t="s">
        <v>17</v>
      </c>
      <c r="B37" s="3" t="n">
        <v>1688784689</v>
      </c>
      <c r="C37" s="3" t="n">
        <v>436394748</v>
      </c>
      <c r="D37" s="3" t="n">
        <v>8518430</v>
      </c>
      <c r="E37" s="3" t="n">
        <v>5.0441</v>
      </c>
      <c r="F37" s="4" t="n">
        <f aca="false">(1-32kb!d37/32kb!c37)</f>
        <v>0.980479989644605</v>
      </c>
      <c r="G37" s="3" t="n">
        <v>112850745</v>
      </c>
      <c r="H37" s="3" t="n">
        <v>323544003</v>
      </c>
    </row>
    <row r="40" customFormat="false" ht="26.25" hidden="false" customHeight="false" outlineLevel="0" collapsed="false">
      <c r="A40" s="1" t="s">
        <v>24</v>
      </c>
      <c r="B40" s="1"/>
      <c r="C40" s="1"/>
      <c r="D40" s="1"/>
      <c r="E40" s="1"/>
      <c r="F40" s="1"/>
      <c r="G40" s="1"/>
      <c r="H40" s="1"/>
    </row>
    <row r="41" customFormat="false" ht="16.5" hidden="false" customHeight="false" outlineLevel="0" collapsed="false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</row>
    <row r="42" customFormat="false" ht="12.75" hidden="false" customHeight="false" outlineLevel="0" collapsed="false">
      <c r="A42" s="3" t="s">
        <v>9</v>
      </c>
      <c r="B42" s="3" t="n">
        <v>642168792</v>
      </c>
      <c r="C42" s="3" t="n">
        <v>29269647</v>
      </c>
      <c r="D42" s="3" t="n">
        <v>371945</v>
      </c>
      <c r="E42" s="3" t="n">
        <v>0.5792</v>
      </c>
      <c r="F42" s="4" t="n">
        <f aca="false">(1-32kb!d42/32kb!c42)</f>
        <v>0.987292467175979</v>
      </c>
      <c r="G42" s="3" t="n">
        <v>54105</v>
      </c>
      <c r="H42" s="3" t="n">
        <v>29215542</v>
      </c>
    </row>
    <row r="43" customFormat="false" ht="12.75" hidden="false" customHeight="false" outlineLevel="0" collapsed="false">
      <c r="A43" s="3" t="s">
        <v>10</v>
      </c>
      <c r="B43" s="3" t="n">
        <v>1271560006</v>
      </c>
      <c r="C43" s="3" t="n">
        <v>112993125</v>
      </c>
      <c r="D43" s="3" t="n">
        <v>2329802</v>
      </c>
      <c r="E43" s="3" t="n">
        <v>1.8322</v>
      </c>
      <c r="F43" s="4" t="n">
        <f aca="false">(1-32kb!d43/32kb!c43)</f>
        <v>0.97938102871303</v>
      </c>
      <c r="G43" s="3" t="n">
        <v>1404676</v>
      </c>
      <c r="H43" s="3" t="n">
        <v>111588449</v>
      </c>
    </row>
    <row r="44" customFormat="false" ht="12.75" hidden="false" customHeight="false" outlineLevel="0" collapsed="false">
      <c r="A44" s="3" t="s">
        <v>11</v>
      </c>
      <c r="B44" s="3" t="n">
        <v>1283893069</v>
      </c>
      <c r="C44" s="3" t="n">
        <v>163272689</v>
      </c>
      <c r="D44" s="3" t="n">
        <v>12138605</v>
      </c>
      <c r="E44" s="3" t="n">
        <v>9.4545</v>
      </c>
      <c r="F44" s="4" t="n">
        <f aca="false">(1-32kb!d44/32kb!c44)</f>
        <v>0.925654406292041</v>
      </c>
      <c r="G44" s="3" t="n">
        <v>26253683</v>
      </c>
      <c r="H44" s="3" t="n">
        <v>137019006</v>
      </c>
    </row>
    <row r="45" customFormat="false" ht="12.75" hidden="false" customHeight="false" outlineLevel="0" collapsed="false">
      <c r="A45" s="3" t="s">
        <v>12</v>
      </c>
      <c r="B45" s="3" t="n">
        <v>999999976</v>
      </c>
      <c r="C45" s="3" t="n">
        <v>13881337</v>
      </c>
      <c r="D45" s="3" t="n">
        <v>3520</v>
      </c>
      <c r="E45" s="3" t="n">
        <v>0.0035</v>
      </c>
      <c r="F45" s="4" t="n">
        <f aca="false">(1-32kb!d45/32kb!c45)</f>
        <v>0.999746422120578</v>
      </c>
      <c r="G45" s="3" t="n">
        <v>22884</v>
      </c>
      <c r="H45" s="3" t="n">
        <v>13858453</v>
      </c>
    </row>
    <row r="46" customFormat="false" ht="12.75" hidden="false" customHeight="false" outlineLevel="0" collapsed="false">
      <c r="A46" s="3" t="s">
        <v>13</v>
      </c>
      <c r="B46" s="3" t="n">
        <v>1000000000</v>
      </c>
      <c r="C46" s="3" t="n">
        <v>4038314</v>
      </c>
      <c r="D46" s="3" t="n">
        <v>12608</v>
      </c>
      <c r="E46" s="3" t="n">
        <v>0.0126</v>
      </c>
      <c r="F46" s="4" t="n">
        <f aca="false">(1-32kb!d46/32kb!c46)</f>
        <v>0.996877904987081</v>
      </c>
      <c r="G46" s="3" t="n">
        <v>2489985</v>
      </c>
      <c r="H46" s="3" t="n">
        <v>1548329</v>
      </c>
    </row>
    <row r="47" customFormat="false" ht="12.75" hidden="false" customHeight="false" outlineLevel="0" collapsed="false">
      <c r="A47" s="3" t="s">
        <v>14</v>
      </c>
      <c r="B47" s="3" t="n">
        <v>514635404</v>
      </c>
      <c r="C47" s="3" t="n">
        <v>71815794</v>
      </c>
      <c r="D47" s="3" t="n">
        <v>6891234</v>
      </c>
      <c r="E47" s="3" t="n">
        <v>13.3905</v>
      </c>
      <c r="F47" s="4" t="n">
        <f aca="false">(1-32kb!d47/32kb!c47)</f>
        <v>0.904042918469996</v>
      </c>
      <c r="G47" s="3" t="n">
        <v>14786976</v>
      </c>
      <c r="H47" s="3" t="n">
        <v>57028818</v>
      </c>
    </row>
    <row r="48" customFormat="false" ht="12.75" hidden="false" customHeight="false" outlineLevel="0" collapsed="false">
      <c r="A48" s="3" t="s">
        <v>15</v>
      </c>
      <c r="B48" s="3" t="n">
        <v>599758591</v>
      </c>
      <c r="C48" s="3" t="n">
        <v>102414543</v>
      </c>
      <c r="D48" s="3" t="n">
        <v>7103311</v>
      </c>
      <c r="E48" s="3" t="n">
        <v>11.8436</v>
      </c>
      <c r="F48" s="4" t="n">
        <f aca="false">(1-32kb!d48/32kb!c48)</f>
        <v>0.930641578901543</v>
      </c>
      <c r="G48" s="3" t="n">
        <v>6556201</v>
      </c>
      <c r="H48" s="3" t="n">
        <v>95858342</v>
      </c>
    </row>
    <row r="49" customFormat="false" ht="12.75" hidden="false" customHeight="false" outlineLevel="0" collapsed="false">
      <c r="A49" s="3" t="s">
        <v>16</v>
      </c>
      <c r="B49" s="3" t="n">
        <v>5789354553</v>
      </c>
      <c r="C49" s="3" t="n">
        <v>811360113</v>
      </c>
      <c r="D49" s="3" t="n">
        <v>17847</v>
      </c>
      <c r="E49" s="3" t="n">
        <v>0.0031</v>
      </c>
      <c r="F49" s="4" t="n">
        <f aca="false">(1-32kb!d49/32kb!c49)</f>
        <v>0.999978003601959</v>
      </c>
      <c r="G49" s="3" t="n">
        <v>426874521</v>
      </c>
      <c r="H49" s="3" t="n">
        <v>384485592</v>
      </c>
    </row>
    <row r="50" customFormat="false" ht="12.75" hidden="false" customHeight="false" outlineLevel="0" collapsed="false">
      <c r="A50" s="3" t="s">
        <v>17</v>
      </c>
      <c r="B50" s="3" t="n">
        <v>1688784689</v>
      </c>
      <c r="C50" s="3" t="n">
        <v>436394748</v>
      </c>
      <c r="D50" s="3" t="n">
        <v>8922849</v>
      </c>
      <c r="E50" s="3" t="n">
        <v>5.2836</v>
      </c>
      <c r="F50" s="4" t="n">
        <f aca="false">(1-32kb!d50/32kb!c50)</f>
        <v>0.97955326217629</v>
      </c>
      <c r="G50" s="3" t="n">
        <v>112850745</v>
      </c>
      <c r="H50" s="3" t="n">
        <v>323544003</v>
      </c>
    </row>
  </sheetData>
  <mergeCells count="4">
    <mergeCell ref="A1:H1"/>
    <mergeCell ref="A14:H14"/>
    <mergeCell ref="A27:H27"/>
    <mergeCell ref="A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18" activeCellId="0" sqref="F18"/>
    </sheetView>
  </sheetViews>
  <sheetFormatPr defaultRowHeight="12.75"/>
  <cols>
    <col collapsed="false" hidden="false" max="1" min="1" style="0" width="19.5714285714286"/>
    <col collapsed="false" hidden="false" max="2" min="2" style="0" width="8.72959183673469"/>
    <col collapsed="false" hidden="false" max="3" min="3" style="0" width="12.4183673469388"/>
    <col collapsed="false" hidden="false" max="4" min="4" style="0" width="16.2908163265306"/>
    <col collapsed="false" hidden="false" max="5" min="5" style="0" width="14.5714285714286"/>
    <col collapsed="false" hidden="false" max="6" min="6" style="0" width="14.8571428571429"/>
    <col collapsed="false" hidden="false" max="1025" min="7" style="0" width="8.72959183673469"/>
  </cols>
  <sheetData>
    <row r="1" customFormat="false" ht="12.75" hidden="false" customHeight="false" outlineLevel="0" collapsed="false">
      <c r="A1" s="6" t="s">
        <v>25</v>
      </c>
      <c r="C1" s="0" t="s">
        <v>26</v>
      </c>
      <c r="D1" s="0" t="s">
        <v>27</v>
      </c>
      <c r="E1" s="0" t="s">
        <v>28</v>
      </c>
      <c r="F1" s="0" t="s">
        <v>29</v>
      </c>
    </row>
    <row r="2" customFormat="false" ht="12.75" hidden="false" customHeight="false" outlineLevel="0" collapsed="false">
      <c r="A2" s="6"/>
      <c r="B2" s="3" t="s">
        <v>9</v>
      </c>
      <c r="C2" s="0" t="n">
        <f aca="false">4kb!f3</f>
        <v>0.990475799041922</v>
      </c>
      <c r="D2" s="0" t="n">
        <f aca="false">4kb!f29</f>
        <v>0.99032229531159</v>
      </c>
      <c r="E2" s="0" t="n">
        <f aca="false">4kb!f16</f>
        <v>0.98719506251647</v>
      </c>
      <c r="F2" s="0" t="n">
        <f aca="false">4kb!f42</f>
        <v>0.98719506251647</v>
      </c>
    </row>
    <row r="3" customFormat="false" ht="12.75" hidden="false" customHeight="false" outlineLevel="0" collapsed="false">
      <c r="A3" s="6"/>
      <c r="B3" s="3" t="s">
        <v>10</v>
      </c>
      <c r="C3" s="0" t="n">
        <f aca="false">4kb!f4</f>
        <v>0.986395331574377</v>
      </c>
      <c r="D3" s="0" t="n">
        <f aca="false">4kb!f30</f>
        <v>0.986393110200289</v>
      </c>
      <c r="E3" s="0" t="n">
        <f aca="false">4kb!f17</f>
        <v>0.979365381743358</v>
      </c>
      <c r="F3" s="0" t="n">
        <f aca="false">4kb!f43</f>
        <v>0.979365381743358</v>
      </c>
    </row>
    <row r="4" customFormat="false" ht="12.75" hidden="false" customHeight="false" outlineLevel="0" collapsed="false">
      <c r="A4" s="6"/>
      <c r="B4" s="3" t="s">
        <v>11</v>
      </c>
      <c r="C4" s="0" t="n">
        <f aca="false">4kb!f5</f>
        <v>0.946709268688531</v>
      </c>
      <c r="D4" s="0" t="n">
        <f aca="false">4kb!f31</f>
        <v>0.946501677325839</v>
      </c>
      <c r="E4" s="0" t="n">
        <f aca="false">4kb!f18</f>
        <v>0.926234846294471</v>
      </c>
      <c r="F4" s="0" t="n">
        <f aca="false">4kb!f44</f>
        <v>0.926234846294471</v>
      </c>
    </row>
    <row r="5" customFormat="false" ht="12.75" hidden="false" customHeight="false" outlineLevel="0" collapsed="false">
      <c r="A5" s="6"/>
      <c r="B5" s="3" t="s">
        <v>12</v>
      </c>
      <c r="C5" s="0" t="n">
        <f aca="false">4kb!f6</f>
        <v>0.999948636071583</v>
      </c>
      <c r="D5" s="0" t="n">
        <f aca="false">4kb!f32</f>
        <v>0.999948636071583</v>
      </c>
      <c r="E5" s="0" t="n">
        <f aca="false">4kb!f19</f>
        <v>0.999735400127524</v>
      </c>
      <c r="F5" s="0" t="n">
        <f aca="false">4kb!f45</f>
        <v>0.999735400127524</v>
      </c>
    </row>
    <row r="6" customFormat="false" ht="12.75" hidden="false" customHeight="false" outlineLevel="0" collapsed="false">
      <c r="A6" s="6"/>
      <c r="B6" s="3" t="s">
        <v>13</v>
      </c>
      <c r="C6" s="0" t="n">
        <f aca="false">4kb!f7</f>
        <v>0.999591166016313</v>
      </c>
      <c r="D6" s="0" t="n">
        <f aca="false">4kb!f33</f>
        <v>0.999591166016313</v>
      </c>
      <c r="E6" s="0" t="n">
        <f aca="false">4kb!f20</f>
        <v>0.996812283542092</v>
      </c>
      <c r="F6" s="0" t="n">
        <f aca="false">4kb!f46</f>
        <v>0.996812283542092</v>
      </c>
    </row>
    <row r="7" customFormat="false" ht="12.75" hidden="false" customHeight="false" outlineLevel="0" collapsed="false">
      <c r="A7" s="6"/>
      <c r="B7" s="3" t="s">
        <v>14</v>
      </c>
      <c r="C7" s="0" t="n">
        <f aca="false">4kb!f8</f>
        <v>0.962534592321015</v>
      </c>
      <c r="D7" s="0" t="n">
        <f aca="false">4kb!f34</f>
        <v>0.954144334879873</v>
      </c>
      <c r="E7" s="0" t="n">
        <f aca="false">4kb!f21</f>
        <v>0.90404297416805</v>
      </c>
      <c r="F7" s="0" t="n">
        <f aca="false">4kb!f47</f>
        <v>0.90404297416805</v>
      </c>
    </row>
    <row r="8" customFormat="false" ht="12.75" hidden="false" customHeight="false" outlineLevel="0" collapsed="false">
      <c r="A8" s="6"/>
      <c r="B8" s="3" t="s">
        <v>15</v>
      </c>
      <c r="C8" s="0" t="n">
        <f aca="false">4kb!f9</f>
        <v>0.95004300316997</v>
      </c>
      <c r="D8" s="0" t="n">
        <f aca="false">4kb!f35</f>
        <v>0.950032848362171</v>
      </c>
      <c r="E8" s="0" t="n">
        <f aca="false">4kb!f22</f>
        <v>0.930597298080996</v>
      </c>
      <c r="F8" s="0" t="n">
        <f aca="false">4kb!f48</f>
        <v>0.930597298080996</v>
      </c>
    </row>
    <row r="9" customFormat="false" ht="12.75" hidden="false" customHeight="false" outlineLevel="0" collapsed="false">
      <c r="A9" s="6"/>
      <c r="B9" s="3" t="s">
        <v>16</v>
      </c>
      <c r="C9" s="0" t="n">
        <f aca="false">4kb!f10</f>
        <v>0.999998198087413</v>
      </c>
      <c r="D9" s="0" t="n">
        <f aca="false">4kb!f36</f>
        <v>0.999998198087413</v>
      </c>
      <c r="E9" s="0" t="n">
        <f aca="false">4kb!f23</f>
        <v>0.99997754018258</v>
      </c>
      <c r="F9" s="0" t="n">
        <f aca="false">4kb!f49</f>
        <v>0.99997754018258</v>
      </c>
    </row>
    <row r="10" customFormat="false" ht="12.75" hidden="false" customHeight="false" outlineLevel="0" collapsed="false">
      <c r="A10" s="6"/>
      <c r="B10" s="3" t="s">
        <v>17</v>
      </c>
      <c r="C10" s="0" t="n">
        <f aca="false">4kb!f11</f>
        <v>0.988406015372119</v>
      </c>
      <c r="D10" s="0" t="n">
        <f aca="false">4kb!f37</f>
        <v>0.988405696853162</v>
      </c>
      <c r="E10" s="0" t="n">
        <f aca="false">4kb!f24</f>
        <v>0.97922063901649</v>
      </c>
      <c r="F10" s="0" t="n">
        <f aca="false">4kb!f50</f>
        <v>0.97922063901649</v>
      </c>
    </row>
    <row r="11" customFormat="false" ht="12.75" hidden="false" customHeight="false" outlineLevel="0" collapsed="false">
      <c r="F11" s="4"/>
    </row>
    <row r="12" customFormat="false" ht="12.75" hidden="false" customHeight="false" outlineLevel="0" collapsed="false">
      <c r="F12" s="4"/>
    </row>
    <row r="13" customFormat="false" ht="12.75" hidden="false" customHeight="false" outlineLevel="0" collapsed="false">
      <c r="F13" s="4"/>
    </row>
    <row r="14" customFormat="false" ht="12.75" hidden="false" customHeight="false" outlineLevel="0" collapsed="false">
      <c r="F14" s="4"/>
    </row>
    <row r="15" customFormat="false" ht="12.75" hidden="false" customHeight="false" outlineLevel="0" collapsed="false">
      <c r="F15" s="4"/>
    </row>
    <row r="16" customFormat="false" ht="12.75" hidden="false" customHeight="false" outlineLevel="0" collapsed="false">
      <c r="F16" s="4"/>
    </row>
    <row r="17" customFormat="false" ht="12.75" hidden="false" customHeight="false" outlineLevel="0" collapsed="false">
      <c r="F17" s="4"/>
    </row>
    <row r="18" customFormat="false" ht="12.75" hidden="false" customHeight="false" outlineLevel="0" collapsed="false">
      <c r="F18" s="4"/>
    </row>
    <row r="19" customFormat="false" ht="12.75" hidden="false" customHeight="false" outlineLevel="0" collapsed="false">
      <c r="F19" s="4"/>
    </row>
    <row r="23" customFormat="false" ht="12.75" hidden="false" customHeight="false" outlineLevel="0" collapsed="false">
      <c r="A23" s="6" t="s">
        <v>5</v>
      </c>
      <c r="C23" s="0" t="s">
        <v>26</v>
      </c>
      <c r="D23" s="0" t="s">
        <v>27</v>
      </c>
      <c r="E23" s="0" t="s">
        <v>28</v>
      </c>
      <c r="F23" s="0" t="s">
        <v>29</v>
      </c>
    </row>
    <row r="24" customFormat="false" ht="12.75" hidden="false" customHeight="false" outlineLevel="0" collapsed="false">
      <c r="A24" s="6"/>
      <c r="B24" s="3" t="s">
        <v>9</v>
      </c>
      <c r="C24" s="0" t="n">
        <f aca="false">4kb!e3</f>
        <v>0.4341</v>
      </c>
      <c r="D24" s="0" t="n">
        <f aca="false">4kb!e29</f>
        <v>0.4411</v>
      </c>
      <c r="E24" s="0" t="n">
        <f aca="false">4kb!e16</f>
        <v>0.5836</v>
      </c>
      <c r="F24" s="0" t="n">
        <f aca="false">4kb!e42</f>
        <v>0.5836</v>
      </c>
    </row>
    <row r="25" customFormat="false" ht="12.75" hidden="false" customHeight="false" outlineLevel="0" collapsed="false">
      <c r="A25" s="6"/>
      <c r="B25" s="3" t="s">
        <v>10</v>
      </c>
      <c r="C25" s="0" t="n">
        <f aca="false">4kb!e4</f>
        <v>1.2089</v>
      </c>
      <c r="D25" s="0" t="n">
        <f aca="false">4kb!e30</f>
        <v>1.2091</v>
      </c>
      <c r="E25" s="0" t="n">
        <f aca="false">4kb!e17</f>
        <v>1.8336</v>
      </c>
      <c r="F25" s="0" t="n">
        <f aca="false">4kb!e43</f>
        <v>1.8336</v>
      </c>
    </row>
    <row r="26" customFormat="false" ht="12.75" hidden="false" customHeight="false" outlineLevel="0" collapsed="false">
      <c r="A26" s="6"/>
      <c r="B26" s="3" t="s">
        <v>11</v>
      </c>
      <c r="C26" s="0" t="n">
        <f aca="false">4kb!e5</f>
        <v>6.777</v>
      </c>
      <c r="D26" s="0" t="n">
        <f aca="false">4kb!e31</f>
        <v>6.8034</v>
      </c>
      <c r="E26" s="0" t="n">
        <f aca="false">4kb!e18</f>
        <v>9.3807</v>
      </c>
      <c r="F26" s="0" t="n">
        <f aca="false">4kb!e44</f>
        <v>9.3807</v>
      </c>
    </row>
    <row r="27" customFormat="false" ht="12.75" hidden="false" customHeight="false" outlineLevel="0" collapsed="false">
      <c r="A27" s="6"/>
      <c r="B27" s="3" t="s">
        <v>12</v>
      </c>
      <c r="C27" s="0" t="n">
        <f aca="false">4kb!e6</f>
        <v>0.0007</v>
      </c>
      <c r="D27" s="0" t="n">
        <f aca="false">4kb!e32</f>
        <v>0.0007</v>
      </c>
      <c r="E27" s="0" t="n">
        <f aca="false">4kb!e19</f>
        <v>0.0037</v>
      </c>
      <c r="F27" s="0" t="n">
        <f aca="false">4kb!e45</f>
        <v>0.0037</v>
      </c>
    </row>
    <row r="28" customFormat="false" ht="12.75" hidden="false" customHeight="false" outlineLevel="0" collapsed="false">
      <c r="A28" s="6"/>
      <c r="B28" s="3" t="s">
        <v>13</v>
      </c>
      <c r="C28" s="0" t="n">
        <f aca="false">4kb!e7</f>
        <v>0.0017</v>
      </c>
      <c r="D28" s="0" t="n">
        <f aca="false">4kb!e33</f>
        <v>0.0017</v>
      </c>
      <c r="E28" s="0" t="n">
        <f aca="false">4kb!e20</f>
        <v>0.0129</v>
      </c>
      <c r="F28" s="0" t="n">
        <f aca="false">4kb!e46</f>
        <v>0.0129</v>
      </c>
    </row>
    <row r="29" customFormat="false" ht="12.75" hidden="false" customHeight="false" outlineLevel="0" collapsed="false">
      <c r="A29" s="6"/>
      <c r="B29" s="3" t="s">
        <v>14</v>
      </c>
      <c r="C29" s="0" t="n">
        <f aca="false">4kb!e8</f>
        <v>5.2282</v>
      </c>
      <c r="D29" s="0" t="n">
        <f aca="false">4kb!e34</f>
        <v>6.399</v>
      </c>
      <c r="E29" s="0" t="n">
        <f aca="false">4kb!e21</f>
        <v>13.3905</v>
      </c>
      <c r="F29" s="0" t="n">
        <f aca="false">4kb!e47</f>
        <v>13.3905</v>
      </c>
    </row>
    <row r="30" customFormat="false" ht="12.75" hidden="false" customHeight="false" outlineLevel="0" collapsed="false">
      <c r="A30" s="6"/>
      <c r="B30" s="3" t="s">
        <v>15</v>
      </c>
      <c r="C30" s="0" t="n">
        <f aca="false">4kb!e9</f>
        <v>8.5306</v>
      </c>
      <c r="D30" s="0" t="n">
        <f aca="false">4kb!e35</f>
        <v>8.5324</v>
      </c>
      <c r="E30" s="0" t="n">
        <f aca="false">4kb!e22</f>
        <v>11.8512</v>
      </c>
      <c r="F30" s="0" t="n">
        <f aca="false">4kb!e48</f>
        <v>11.8512</v>
      </c>
    </row>
    <row r="31" customFormat="false" ht="12.75" hidden="false" customHeight="false" outlineLevel="0" collapsed="false">
      <c r="A31" s="6"/>
      <c r="B31" s="3" t="s">
        <v>16</v>
      </c>
      <c r="C31" s="0" t="n">
        <f aca="false">4kb!e10</f>
        <v>0.0003</v>
      </c>
      <c r="D31" s="0" t="n">
        <f aca="false">4kb!e36</f>
        <v>0.0003</v>
      </c>
      <c r="E31" s="0" t="n">
        <f aca="false">4kb!e23</f>
        <v>0.0031</v>
      </c>
      <c r="F31" s="0" t="n">
        <f aca="false">4kb!e49</f>
        <v>0.0031</v>
      </c>
    </row>
    <row r="32" customFormat="false" ht="12.75" hidden="false" customHeight="false" outlineLevel="0" collapsed="false">
      <c r="A32" s="6"/>
      <c r="B32" s="3" t="s">
        <v>17</v>
      </c>
      <c r="C32" s="0" t="n">
        <f aca="false">4kb!e11</f>
        <v>2.996</v>
      </c>
      <c r="D32" s="0" t="n">
        <f aca="false">4kb!e37</f>
        <v>2.9961</v>
      </c>
      <c r="E32" s="0" t="n">
        <f aca="false">4kb!e24</f>
        <v>5.3695</v>
      </c>
      <c r="F32" s="0" t="n">
        <f aca="false">4kb!e50</f>
        <v>5.3695</v>
      </c>
    </row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</sheetData>
  <mergeCells count="2">
    <mergeCell ref="A1:A10"/>
    <mergeCell ref="A23:A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R16" activeCellId="0" sqref="R16"/>
    </sheetView>
  </sheetViews>
  <sheetFormatPr defaultRowHeight="12.75"/>
  <cols>
    <col collapsed="false" hidden="false" max="4" min="1" style="0" width="8.72959183673469"/>
    <col collapsed="false" hidden="false" max="6" min="5" style="0" width="13.8571428571429"/>
    <col collapsed="false" hidden="false" max="1025" min="7" style="0" width="8.72959183673469"/>
  </cols>
  <sheetData>
    <row r="1" customFormat="false" ht="12.75" hidden="false" customHeight="false" outlineLevel="0" collapsed="false">
      <c r="A1" s="6" t="s">
        <v>25</v>
      </c>
      <c r="C1" s="0" t="s">
        <v>26</v>
      </c>
      <c r="D1" s="0" t="s">
        <v>27</v>
      </c>
      <c r="E1" s="0" t="s">
        <v>28</v>
      </c>
      <c r="F1" s="0" t="s">
        <v>29</v>
      </c>
    </row>
    <row r="2" customFormat="false" ht="12.75" hidden="false" customHeight="false" outlineLevel="0" collapsed="false">
      <c r="A2" s="6"/>
      <c r="B2" s="3" t="s">
        <v>9</v>
      </c>
      <c r="C2" s="0" t="n">
        <f aca="false">32kb!f3</f>
        <v>0.999467742128902</v>
      </c>
      <c r="D2" s="0" t="n">
        <f aca="false">32kb!f29</f>
        <v>0.999425924063929</v>
      </c>
      <c r="E2" s="0" t="n">
        <f aca="false">32kb!f16</f>
        <v>0.987292467175979</v>
      </c>
      <c r="F2" s="0" t="n">
        <f aca="false">32kb!f42</f>
        <v>0.987292467175979</v>
      </c>
    </row>
    <row r="3" customFormat="false" ht="12.75" hidden="false" customHeight="false" outlineLevel="0" collapsed="false">
      <c r="A3" s="6"/>
      <c r="B3" s="3" t="s">
        <v>10</v>
      </c>
      <c r="C3" s="0" t="n">
        <f aca="false">32kb!f4</f>
        <v>0.998725143675777</v>
      </c>
      <c r="D3" s="0" t="n">
        <f aca="false">32kb!f30</f>
        <v>0.998725152525873</v>
      </c>
      <c r="E3" s="0" t="n">
        <f aca="false">32kb!f17</f>
        <v>0.97938102871303</v>
      </c>
      <c r="F3" s="0" t="n">
        <f aca="false">32kb!f43</f>
        <v>0.97938102871303</v>
      </c>
    </row>
    <row r="4" customFormat="false" ht="12.75" hidden="false" customHeight="false" outlineLevel="0" collapsed="false">
      <c r="A4" s="6"/>
      <c r="B4" s="3" t="s">
        <v>11</v>
      </c>
      <c r="C4" s="0" t="n">
        <f aca="false">32kb!f5</f>
        <v>0.948067254530242</v>
      </c>
      <c r="D4" s="0" t="n">
        <f aca="false">32kb!f31</f>
        <v>0.9480089716658</v>
      </c>
      <c r="E4" s="0" t="n">
        <f aca="false">32kb!f18</f>
        <v>0.925654406292041</v>
      </c>
      <c r="F4" s="0" t="n">
        <f aca="false">32kb!f44</f>
        <v>0.925654406292041</v>
      </c>
    </row>
    <row r="5" customFormat="false" ht="12.75" hidden="false" customHeight="false" outlineLevel="0" collapsed="false">
      <c r="A5" s="6"/>
      <c r="B5" s="3" t="s">
        <v>12</v>
      </c>
      <c r="C5" s="0" t="n">
        <f aca="false">32kb!f6</f>
        <v>0.999957208732848</v>
      </c>
      <c r="D5" s="0" t="n">
        <f aca="false">32kb!f32</f>
        <v>0.999957208732848</v>
      </c>
      <c r="E5" s="0" t="n">
        <f aca="false">32kb!f19</f>
        <v>0.999746422120578</v>
      </c>
      <c r="F5" s="0" t="n">
        <f aca="false">32kb!f45</f>
        <v>0.999746422120578</v>
      </c>
    </row>
    <row r="6" customFormat="false" ht="12.75" hidden="false" customHeight="false" outlineLevel="0" collapsed="false">
      <c r="A6" s="6"/>
      <c r="B6" s="3" t="s">
        <v>13</v>
      </c>
      <c r="C6" s="0" t="n">
        <f aca="false">32kb!f7</f>
        <v>0.999677588221223</v>
      </c>
      <c r="D6" s="0" t="n">
        <f aca="false">32kb!f33</f>
        <v>0.999663968676037</v>
      </c>
      <c r="E6" s="0" t="n">
        <f aca="false">32kb!f20</f>
        <v>0.996877904987081</v>
      </c>
      <c r="F6" s="0" t="n">
        <f aca="false">32kb!f46</f>
        <v>0.996877904987081</v>
      </c>
    </row>
    <row r="7" customFormat="false" ht="12.75" hidden="false" customHeight="false" outlineLevel="0" collapsed="false">
      <c r="A7" s="6"/>
      <c r="B7" s="3" t="s">
        <v>14</v>
      </c>
      <c r="C7" s="0" t="n">
        <f aca="false">32kb!f8</f>
        <v>0.966033655493665</v>
      </c>
      <c r="D7" s="0" t="n">
        <f aca="false">32kb!f34</f>
        <v>0.958064238626952</v>
      </c>
      <c r="E7" s="0" t="n">
        <f aca="false">32kb!f21</f>
        <v>0.904042918469996</v>
      </c>
      <c r="F7" s="0" t="n">
        <f aca="false">32kb!f47</f>
        <v>0.904042918469996</v>
      </c>
    </row>
    <row r="8" customFormat="false" ht="12.75" hidden="false" customHeight="false" outlineLevel="0" collapsed="false">
      <c r="A8" s="6"/>
      <c r="B8" s="3" t="s">
        <v>15</v>
      </c>
      <c r="C8" s="0" t="n">
        <f aca="false">32kb!f9</f>
        <v>0.952815441455419</v>
      </c>
      <c r="D8" s="0" t="n">
        <f aca="false">32kb!f35</f>
        <v>0.952815158292509</v>
      </c>
      <c r="E8" s="0" t="n">
        <f aca="false">32kb!f22</f>
        <v>0.930641578901543</v>
      </c>
      <c r="F8" s="0" t="n">
        <f aca="false">32kb!f48</f>
        <v>0.930641578901543</v>
      </c>
    </row>
    <row r="9" customFormat="false" ht="12.75" hidden="false" customHeight="false" outlineLevel="0" collapsed="false">
      <c r="A9" s="6"/>
      <c r="B9" s="3" t="s">
        <v>16</v>
      </c>
      <c r="C9" s="0" t="n">
        <f aca="false">32kb!f10</f>
        <v>0.99999857399941</v>
      </c>
      <c r="D9" s="0" t="n">
        <f aca="false">32kb!f36</f>
        <v>0.99999857399941</v>
      </c>
      <c r="E9" s="0" t="n">
        <f aca="false">32kb!f23</f>
        <v>0.999978003601959</v>
      </c>
      <c r="F9" s="0" t="n">
        <f aca="false">32kb!f49</f>
        <v>0.999978003601959</v>
      </c>
    </row>
    <row r="10" customFormat="false" ht="12.75" hidden="false" customHeight="false" outlineLevel="0" collapsed="false">
      <c r="A10" s="6"/>
      <c r="B10" s="3" t="s">
        <v>17</v>
      </c>
      <c r="C10" s="0" t="n">
        <f aca="false">32kb!f11</f>
        <v>0.980481199558341</v>
      </c>
      <c r="D10" s="0" t="n">
        <f aca="false">32kb!f37</f>
        <v>0.980479989644605</v>
      </c>
      <c r="E10" s="0" t="n">
        <f aca="false">32kb!f24</f>
        <v>0.97955326217629</v>
      </c>
      <c r="F10" s="0" t="n">
        <f aca="false">32kb!f50</f>
        <v>0.97955326217629</v>
      </c>
    </row>
    <row r="11" customFormat="false" ht="12.75" hidden="false" customHeight="false" outlineLevel="0" collapsed="false">
      <c r="F11" s="4"/>
    </row>
    <row r="12" customFormat="false" ht="12.75" hidden="false" customHeight="false" outlineLevel="0" collapsed="false">
      <c r="F12" s="4"/>
    </row>
    <row r="13" customFormat="false" ht="12.75" hidden="false" customHeight="false" outlineLevel="0" collapsed="false">
      <c r="F13" s="4"/>
    </row>
    <row r="14" customFormat="false" ht="12.75" hidden="false" customHeight="false" outlineLevel="0" collapsed="false">
      <c r="F14" s="4"/>
    </row>
    <row r="15" customFormat="false" ht="12.75" hidden="false" customHeight="false" outlineLevel="0" collapsed="false">
      <c r="F15" s="4"/>
    </row>
    <row r="16" customFormat="false" ht="12.75" hidden="false" customHeight="false" outlineLevel="0" collapsed="false">
      <c r="F16" s="4"/>
    </row>
    <row r="17" customFormat="false" ht="12.75" hidden="false" customHeight="false" outlineLevel="0" collapsed="false">
      <c r="F17" s="4"/>
    </row>
    <row r="18" customFormat="false" ht="12.75" hidden="false" customHeight="false" outlineLevel="0" collapsed="false">
      <c r="F18" s="4"/>
    </row>
    <row r="19" customFormat="false" ht="12.75" hidden="false" customHeight="false" outlineLevel="0" collapsed="false">
      <c r="F19" s="4"/>
    </row>
    <row r="23" customFormat="false" ht="12.75" hidden="false" customHeight="false" outlineLevel="0" collapsed="false">
      <c r="A23" s="6" t="s">
        <v>5</v>
      </c>
      <c r="C23" s="0" t="s">
        <v>26</v>
      </c>
      <c r="D23" s="0" t="s">
        <v>27</v>
      </c>
      <c r="E23" s="0" t="s">
        <v>28</v>
      </c>
      <c r="F23" s="0" t="s">
        <v>29</v>
      </c>
    </row>
    <row r="24" customFormat="false" ht="12.75" hidden="false" customHeight="false" outlineLevel="0" collapsed="false">
      <c r="A24" s="6"/>
      <c r="B24" s="3" t="s">
        <v>9</v>
      </c>
      <c r="C24" s="0" t="n">
        <f aca="false">32kb!e3</f>
        <v>0.0243</v>
      </c>
      <c r="D24" s="0" t="n">
        <f aca="false">32kb!e29</f>
        <v>0.0262</v>
      </c>
      <c r="E24" s="0" t="n">
        <f aca="false">32kb!e16</f>
        <v>0.5792</v>
      </c>
      <c r="F24" s="0" t="n">
        <f aca="false">32kb!e42</f>
        <v>0.5792</v>
      </c>
    </row>
    <row r="25" customFormat="false" ht="12.75" hidden="false" customHeight="false" outlineLevel="0" collapsed="false">
      <c r="A25" s="6"/>
      <c r="B25" s="3" t="s">
        <v>10</v>
      </c>
      <c r="C25" s="0" t="n">
        <f aca="false">32kb!e4</f>
        <v>0.1133</v>
      </c>
      <c r="D25" s="0" t="n">
        <f aca="false">32kb!e30</f>
        <v>0.1133</v>
      </c>
      <c r="E25" s="0" t="n">
        <f aca="false">32kb!e17</f>
        <v>1.8322</v>
      </c>
      <c r="F25" s="0" t="n">
        <f aca="false">32kb!e43</f>
        <v>1.8322</v>
      </c>
    </row>
    <row r="26" customFormat="false" ht="12.75" hidden="false" customHeight="false" outlineLevel="0" collapsed="false">
      <c r="A26" s="6"/>
      <c r="B26" s="3" t="s">
        <v>11</v>
      </c>
      <c r="C26" s="0" t="n">
        <f aca="false">32kb!e5</f>
        <v>6.6043</v>
      </c>
      <c r="D26" s="0" t="n">
        <f aca="false">32kb!e31</f>
        <v>6.6117</v>
      </c>
      <c r="E26" s="0" t="n">
        <f aca="false">32kb!e18</f>
        <v>9.4545</v>
      </c>
      <c r="F26" s="0" t="n">
        <f aca="false">32kb!e44</f>
        <v>9.4545</v>
      </c>
    </row>
    <row r="27" customFormat="false" ht="12.75" hidden="false" customHeight="false" outlineLevel="0" collapsed="false">
      <c r="A27" s="6"/>
      <c r="B27" s="3" t="s">
        <v>12</v>
      </c>
      <c r="C27" s="0" t="n">
        <f aca="false">32kb!e6</f>
        <v>0.0006</v>
      </c>
      <c r="D27" s="0" t="n">
        <f aca="false">32kb!e32</f>
        <v>0.0006</v>
      </c>
      <c r="E27" s="0" t="n">
        <f aca="false">32kb!e19</f>
        <v>0.0035</v>
      </c>
      <c r="F27" s="0" t="n">
        <f aca="false">32kb!e45</f>
        <v>0.0035</v>
      </c>
    </row>
    <row r="28" customFormat="false" ht="12.75" hidden="false" customHeight="false" outlineLevel="0" collapsed="false">
      <c r="A28" s="6"/>
      <c r="B28" s="3" t="s">
        <v>13</v>
      </c>
      <c r="C28" s="0" t="n">
        <f aca="false">32kb!e7</f>
        <v>0.0013</v>
      </c>
      <c r="D28" s="0" t="n">
        <f aca="false">32kb!e33</f>
        <v>0.0014</v>
      </c>
      <c r="E28" s="0" t="n">
        <f aca="false">32kb!e20</f>
        <v>0.0126</v>
      </c>
      <c r="F28" s="0" t="n">
        <f aca="false">32kb!e46</f>
        <v>0.0126</v>
      </c>
    </row>
    <row r="29" customFormat="false" ht="12.75" hidden="false" customHeight="false" outlineLevel="0" collapsed="false">
      <c r="A29" s="6"/>
      <c r="B29" s="3" t="s">
        <v>14</v>
      </c>
      <c r="C29" s="0" t="n">
        <f aca="false">32kb!e8</f>
        <v>4.7399</v>
      </c>
      <c r="D29" s="0" t="n">
        <f aca="false">32kb!e34</f>
        <v>5.852</v>
      </c>
      <c r="E29" s="0" t="n">
        <f aca="false">32kb!e21</f>
        <v>13.3905</v>
      </c>
      <c r="F29" s="0" t="n">
        <f aca="false">32kb!e47</f>
        <v>13.3905</v>
      </c>
    </row>
    <row r="30" customFormat="false" ht="12.75" hidden="false" customHeight="false" outlineLevel="0" collapsed="false">
      <c r="A30" s="6"/>
      <c r="B30" s="3" t="s">
        <v>15</v>
      </c>
      <c r="C30" s="0" t="n">
        <f aca="false">32kb!e9</f>
        <v>8.0572</v>
      </c>
      <c r="D30" s="0" t="n">
        <f aca="false">32kb!e35</f>
        <v>8.0573</v>
      </c>
      <c r="E30" s="0" t="n">
        <f aca="false">32kb!e22</f>
        <v>11.8436</v>
      </c>
      <c r="F30" s="0" t="n">
        <f aca="false">32kb!e48</f>
        <v>11.8436</v>
      </c>
    </row>
    <row r="31" customFormat="false" ht="12.75" hidden="false" customHeight="false" outlineLevel="0" collapsed="false">
      <c r="A31" s="6"/>
      <c r="B31" s="3" t="s">
        <v>16</v>
      </c>
      <c r="C31" s="0" t="n">
        <f aca="false">32kb!e10</f>
        <v>0.0002</v>
      </c>
      <c r="D31" s="0" t="n">
        <f aca="false">32kb!e36</f>
        <v>0.0002</v>
      </c>
      <c r="E31" s="0" t="n">
        <f aca="false">32kb!e23</f>
        <v>0.0031</v>
      </c>
      <c r="F31" s="0" t="n">
        <f aca="false">32kb!e49</f>
        <v>0.0031</v>
      </c>
    </row>
    <row r="32" customFormat="false" ht="12.75" hidden="false" customHeight="false" outlineLevel="0" collapsed="false">
      <c r="A32" s="6"/>
      <c r="B32" s="3" t="s">
        <v>17</v>
      </c>
      <c r="C32" s="0" t="n">
        <f aca="false">32kb!e11</f>
        <v>5.0438</v>
      </c>
      <c r="D32" s="0" t="n">
        <f aca="false">32kb!e37</f>
        <v>5.0441</v>
      </c>
      <c r="E32" s="0" t="n">
        <f aca="false">32kb!e24</f>
        <v>5.2836</v>
      </c>
      <c r="F32" s="0" t="n">
        <f aca="false">32kb!e50</f>
        <v>5.2836</v>
      </c>
    </row>
  </sheetData>
  <mergeCells count="2">
    <mergeCell ref="A1:A10"/>
    <mergeCell ref="A23:A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 customFormat="false" ht="12.8" hidden="false" customHeight="false" outlineLevel="0" collapsed="false">
      <c r="A2" s="6"/>
      <c r="B2" s="3" t="s">
        <v>9</v>
      </c>
      <c r="C2" s="7" t="n">
        <f aca="false">(MPKI_Reduction!G2-MPKI_Reduction!H2)/MPKI_Reduction!G2</f>
        <v>0.0158694173656767</v>
      </c>
      <c r="D2" s="7" t="n">
        <f aca="false">(E2-F2)/E2</f>
        <v>0.0725190839694657</v>
      </c>
      <c r="E2" s="0" t="n">
        <f aca="false">32kb_graficos!d24</f>
        <v>0.0262</v>
      </c>
      <c r="F2" s="0" t="n">
        <f aca="false">32kb_graficos!c24</f>
        <v>0.0243</v>
      </c>
      <c r="G2" s="0" t="n">
        <f aca="false">4kb_graficos!d24</f>
        <v>0.4411</v>
      </c>
      <c r="H2" s="0" t="n">
        <f aca="false">4kb_graficos!c24</f>
        <v>0.4341</v>
      </c>
    </row>
    <row r="3" customFormat="false" ht="12.8" hidden="false" customHeight="false" outlineLevel="0" collapsed="false">
      <c r="A3" s="6"/>
      <c r="B3" s="3" t="s">
        <v>10</v>
      </c>
      <c r="C3" s="7" t="n">
        <f aca="false">(MPKI_Reduction!G3-MPKI_Reduction!H3)/MPKI_Reduction!G3</f>
        <v>0.000165412290133139</v>
      </c>
      <c r="D3" s="7" t="n">
        <f aca="false">(E3-F3)/E3</f>
        <v>0</v>
      </c>
      <c r="E3" s="0" t="n">
        <f aca="false">32kb_graficos!d25</f>
        <v>0.1133</v>
      </c>
      <c r="F3" s="0" t="n">
        <f aca="false">32kb_graficos!c25</f>
        <v>0.1133</v>
      </c>
      <c r="G3" s="0" t="n">
        <f aca="false">4kb_graficos!d25</f>
        <v>1.2091</v>
      </c>
      <c r="H3" s="0" t="n">
        <f aca="false">4kb_graficos!c25</f>
        <v>1.2089</v>
      </c>
    </row>
    <row r="4" customFormat="false" ht="12.8" hidden="false" customHeight="false" outlineLevel="0" collapsed="false">
      <c r="A4" s="6"/>
      <c r="B4" s="3" t="s">
        <v>11</v>
      </c>
      <c r="C4" s="7" t="n">
        <f aca="false">(MPKI_Reduction!G4-MPKI_Reduction!H4)/MPKI_Reduction!G4</f>
        <v>0.00388041273480903</v>
      </c>
      <c r="D4" s="7" t="n">
        <f aca="false">(E4-F4)/E4</f>
        <v>0.00111922803514975</v>
      </c>
      <c r="E4" s="0" t="n">
        <f aca="false">32kb_graficos!d26</f>
        <v>6.6117</v>
      </c>
      <c r="F4" s="0" t="n">
        <f aca="false">32kb_graficos!c26</f>
        <v>6.6043</v>
      </c>
      <c r="G4" s="0" t="n">
        <f aca="false">4kb_graficos!d26</f>
        <v>6.8034</v>
      </c>
      <c r="H4" s="0" t="n">
        <f aca="false">4kb_graficos!c26</f>
        <v>6.777</v>
      </c>
    </row>
    <row r="5" customFormat="false" ht="12.8" hidden="false" customHeight="false" outlineLevel="0" collapsed="false">
      <c r="A5" s="6"/>
      <c r="B5" s="3" t="s">
        <v>12</v>
      </c>
      <c r="C5" s="7" t="n">
        <f aca="false">(MPKI_Reduction!G5-MPKI_Reduction!H5)/MPKI_Reduction!G5</f>
        <v>0</v>
      </c>
      <c r="D5" s="7" t="n">
        <f aca="false">(E5-F5)/E5</f>
        <v>0</v>
      </c>
      <c r="E5" s="0" t="n">
        <f aca="false">32kb_graficos!d27</f>
        <v>0.0006</v>
      </c>
      <c r="F5" s="0" t="n">
        <f aca="false">32kb_graficos!c27</f>
        <v>0.0006</v>
      </c>
      <c r="G5" s="0" t="n">
        <f aca="false">4kb_graficos!d27</f>
        <v>0.0007</v>
      </c>
      <c r="H5" s="0" t="n">
        <f aca="false">4kb_graficos!c27</f>
        <v>0.0007</v>
      </c>
    </row>
    <row r="6" customFormat="false" ht="12.8" hidden="false" customHeight="false" outlineLevel="0" collapsed="false">
      <c r="A6" s="6"/>
      <c r="B6" s="3" t="s">
        <v>13</v>
      </c>
      <c r="C6" s="7" t="n">
        <f aca="false">(MPKI_Reduction!G6-MPKI_Reduction!H6)/MPKI_Reduction!G6</f>
        <v>0</v>
      </c>
      <c r="D6" s="7" t="n">
        <f aca="false">(E6-F6)/E6</f>
        <v>0.0714285714285715</v>
      </c>
      <c r="E6" s="0" t="n">
        <f aca="false">32kb_graficos!d28</f>
        <v>0.0014</v>
      </c>
      <c r="F6" s="0" t="n">
        <f aca="false">32kb_graficos!c28</f>
        <v>0.0013</v>
      </c>
      <c r="G6" s="0" t="n">
        <f aca="false">4kb_graficos!d28</f>
        <v>0.0017</v>
      </c>
      <c r="H6" s="0" t="n">
        <f aca="false">4kb_graficos!c28</f>
        <v>0.0017</v>
      </c>
    </row>
    <row r="7" customFormat="false" ht="12.8" hidden="false" customHeight="false" outlineLevel="0" collapsed="false">
      <c r="A7" s="6"/>
      <c r="B7" s="3" t="s">
        <v>14</v>
      </c>
      <c r="C7" s="7" t="n">
        <f aca="false">(MPKI_Reduction!G7-MPKI_Reduction!H7)/MPKI_Reduction!G7</f>
        <v>0.18296608845132</v>
      </c>
      <c r="D7" s="7" t="n">
        <f aca="false">(E7-F7)/E7</f>
        <v>0.190037593984963</v>
      </c>
      <c r="E7" s="0" t="n">
        <f aca="false">32kb_graficos!d29</f>
        <v>5.852</v>
      </c>
      <c r="F7" s="0" t="n">
        <f aca="false">32kb_graficos!c29</f>
        <v>4.7399</v>
      </c>
      <c r="G7" s="0" t="n">
        <f aca="false">4kb_graficos!d29</f>
        <v>6.399</v>
      </c>
      <c r="H7" s="0" t="n">
        <f aca="false">4kb_graficos!c29</f>
        <v>5.2282</v>
      </c>
    </row>
    <row r="8" customFormat="false" ht="12.8" hidden="false" customHeight="false" outlineLevel="0" collapsed="false">
      <c r="A8" s="6"/>
      <c r="B8" s="3" t="s">
        <v>15</v>
      </c>
      <c r="C8" s="7" t="n">
        <f aca="false">(MPKI_Reduction!G8-MPKI_Reduction!H8)/MPKI_Reduction!G8</f>
        <v>0.000210960573812894</v>
      </c>
      <c r="D8" s="7" t="n">
        <f aca="false">(E8-F8)/E8</f>
        <v>1.24111054571341E-005</v>
      </c>
      <c r="E8" s="0" t="n">
        <f aca="false">32kb_graficos!d30</f>
        <v>8.0573</v>
      </c>
      <c r="F8" s="0" t="n">
        <f aca="false">32kb_graficos!c30</f>
        <v>8.0572</v>
      </c>
      <c r="G8" s="0" t="n">
        <f aca="false">4kb_graficos!d30</f>
        <v>8.5324</v>
      </c>
      <c r="H8" s="0" t="n">
        <f aca="false">4kb_graficos!c30</f>
        <v>8.5306</v>
      </c>
    </row>
    <row r="9" customFormat="false" ht="12.8" hidden="false" customHeight="false" outlineLevel="0" collapsed="false">
      <c r="A9" s="6"/>
      <c r="B9" s="3" t="s">
        <v>16</v>
      </c>
      <c r="C9" s="7" t="n">
        <f aca="false">(MPKI_Reduction!G9-MPKI_Reduction!H9)/MPKI_Reduction!G9</f>
        <v>0</v>
      </c>
      <c r="D9" s="7" t="n">
        <f aca="false">(E9-F9)/E9</f>
        <v>0</v>
      </c>
      <c r="E9" s="0" t="n">
        <f aca="false">32kb_graficos!d31</f>
        <v>0.0002</v>
      </c>
      <c r="F9" s="0" t="n">
        <f aca="false">32kb_graficos!c31</f>
        <v>0.0002</v>
      </c>
      <c r="G9" s="0" t="n">
        <f aca="false">4kb_graficos!d31</f>
        <v>0.0003</v>
      </c>
      <c r="H9" s="0" t="n">
        <f aca="false">4kb_graficos!c31</f>
        <v>0.0003</v>
      </c>
    </row>
    <row r="10" customFormat="false" ht="12.8" hidden="false" customHeight="false" outlineLevel="0" collapsed="false">
      <c r="A10" s="6"/>
      <c r="B10" s="3" t="s">
        <v>17</v>
      </c>
      <c r="C10" s="7" t="n">
        <f aca="false">(MPKI_Reduction!G10-MPKI_Reduction!H10)/MPKI_Reduction!G10</f>
        <v>3.33767230733991E-005</v>
      </c>
      <c r="D10" s="7" t="n">
        <f aca="false">(E10-F10)/E10</f>
        <v>5.94754267362243E-005</v>
      </c>
      <c r="E10" s="0" t="n">
        <f aca="false">32kb_graficos!d32</f>
        <v>5.0441</v>
      </c>
      <c r="F10" s="0" t="n">
        <f aca="false">32kb_graficos!c32</f>
        <v>5.0438</v>
      </c>
      <c r="G10" s="0" t="n">
        <f aca="false">4kb_graficos!d32</f>
        <v>2.9961</v>
      </c>
      <c r="H10" s="0" t="n">
        <f aca="false">4kb_graficos!c32</f>
        <v>2.996</v>
      </c>
    </row>
  </sheetData>
  <mergeCells count="1">
    <mergeCell ref="A1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2016-11-16T20:03:02Z</dcterms:created>
  <dc:language>en-US</dc:language>
  <cp:lastModifiedBy>Uglaybe Piell</cp:lastModifiedBy>
  <dcterms:modified xsi:type="dcterms:W3CDTF">2016-12-07T17:01:57Z</dcterms:modified>
  <cp:revision>3</cp:revision>
</cp:coreProperties>
</file>