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oneleven.sharepoint.com/engagements/Naxicap/6_Work/4_BP analyses/"/>
    </mc:Choice>
  </mc:AlternateContent>
  <xr:revisionPtr revIDLastSave="79" documentId="8_{0612E769-83E8-4C65-AC7C-5BC6AFA8444B}" xr6:coauthVersionLast="45" xr6:coauthVersionMax="45" xr10:uidLastSave="{ECC2D18B-47AB-405C-9D98-EC89C7CE172F}"/>
  <bookViews>
    <workbookView xWindow="-98" yWindow="-98" windowWidth="20715" windowHeight="13276" tabRatio="647" xr2:uid="{00000000-000D-0000-FFFF-FFFF00000000}"/>
  </bookViews>
  <sheets>
    <sheet name="Synthèse marchés selon Eleven" sheetId="9" r:id="rId1"/>
    <sheet name="BP France" sheetId="3" r:id="rId2"/>
    <sheet name="BP Benelux" sheetId="4" r:id="rId3"/>
    <sheet name="BP Maghreb" sheetId="5" r:id="rId4"/>
    <sheet name="BP CONSO " sheetId="10" r:id="rId5"/>
    <sheet name="Synthèse Altarès" sheetId="44" r:id="rId6"/>
    <sheet name="Analyse" sheetId="45" r:id="rId7"/>
    <sheet name="Sources Doc Altares" sheetId="4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9" l="1"/>
  <c r="N22" i="9"/>
  <c r="R22" i="9"/>
  <c r="Q22" i="9"/>
  <c r="P22" i="9"/>
  <c r="O22" i="9"/>
  <c r="J23" i="44" l="1"/>
  <c r="T22" i="9"/>
  <c r="M21" i="9"/>
  <c r="J14" i="10" l="1"/>
  <c r="L35" i="9" l="1"/>
  <c r="L36" i="9"/>
  <c r="O36" i="9" s="1"/>
  <c r="Q36" i="9" s="1"/>
  <c r="S36" i="9" s="1"/>
  <c r="U36" i="9" s="1"/>
  <c r="O30" i="9"/>
  <c r="Q30" i="9" s="1"/>
  <c r="S30" i="9" s="1"/>
  <c r="U30" i="9" s="1"/>
  <c r="W13" i="10" l="1"/>
  <c r="W12" i="10"/>
  <c r="U15" i="9" l="1"/>
  <c r="U14" i="9"/>
  <c r="O14" i="9"/>
  <c r="Q14" i="9" s="1"/>
  <c r="S14" i="9" s="1"/>
  <c r="D40" i="45"/>
  <c r="E40" i="45"/>
  <c r="C40" i="45"/>
  <c r="J36" i="9"/>
  <c r="J14" i="9"/>
  <c r="C15" i="45"/>
  <c r="J30" i="9" l="1"/>
  <c r="L30" i="9" s="1"/>
  <c r="L14" i="9"/>
  <c r="S13" i="9"/>
  <c r="Q13" i="9"/>
  <c r="O13" i="9"/>
  <c r="R13" i="44"/>
  <c r="C8" i="3" l="1"/>
  <c r="Z55" i="44"/>
  <c r="I35" i="9" l="1"/>
  <c r="I29" i="9"/>
  <c r="H9" i="9" l="1"/>
  <c r="P14" i="44" l="1"/>
  <c r="L71" i="10" l="1"/>
  <c r="N71" i="10"/>
  <c r="P71" i="10"/>
  <c r="R71" i="10"/>
  <c r="P66" i="10"/>
  <c r="R66" i="10"/>
  <c r="R75" i="10" s="1"/>
  <c r="S50" i="10"/>
  <c r="S51" i="10"/>
  <c r="Q50" i="10"/>
  <c r="Q51" i="10"/>
  <c r="Q49" i="10"/>
  <c r="S49" i="10"/>
  <c r="T28" i="5"/>
  <c r="T25" i="5"/>
  <c r="T22" i="5"/>
  <c r="Q25" i="5"/>
  <c r="S25" i="5"/>
  <c r="S23" i="5"/>
  <c r="S24" i="5"/>
  <c r="O23" i="5"/>
  <c r="Q23" i="5"/>
  <c r="Q24" i="5"/>
  <c r="Q22" i="5"/>
  <c r="S22" i="5"/>
  <c r="O22" i="5"/>
  <c r="Q3" i="5"/>
  <c r="S3" i="5"/>
  <c r="T3" i="4"/>
  <c r="U41" i="9"/>
  <c r="U40" i="9"/>
  <c r="S40" i="9"/>
  <c r="Q53" i="10" l="1"/>
  <c r="Q56" i="10" s="1"/>
  <c r="S53" i="10"/>
  <c r="P7" i="44"/>
  <c r="X7" i="44" s="1"/>
  <c r="S56" i="10" l="1"/>
  <c r="F57" i="44"/>
  <c r="F58" i="44"/>
  <c r="F59" i="44"/>
  <c r="F60" i="44"/>
  <c r="F56" i="44"/>
  <c r="F55" i="44"/>
  <c r="G61" i="44"/>
  <c r="O24" i="5" l="1"/>
  <c r="M23" i="5"/>
  <c r="M24" i="5"/>
  <c r="K23" i="5"/>
  <c r="K24" i="5"/>
  <c r="I23" i="5"/>
  <c r="G23" i="5"/>
  <c r="C24" i="5"/>
  <c r="Y69" i="44"/>
  <c r="E24" i="5" s="1"/>
  <c r="Z69" i="44"/>
  <c r="G24" i="5" s="1"/>
  <c r="AA69" i="44"/>
  <c r="I24" i="5" s="1"/>
  <c r="Y68" i="44"/>
  <c r="E23" i="5" s="1"/>
  <c r="Z68" i="44"/>
  <c r="AA68" i="44"/>
  <c r="X68" i="44"/>
  <c r="C23" i="5" s="1"/>
  <c r="X69" i="44"/>
  <c r="F61" i="44" l="1"/>
  <c r="D14" i="10"/>
  <c r="F14" i="10"/>
  <c r="H14" i="10"/>
  <c r="L14" i="10"/>
  <c r="N14" i="10"/>
  <c r="N20" i="10" l="1"/>
  <c r="N18" i="10"/>
  <c r="L20" i="10"/>
  <c r="L18" i="10"/>
  <c r="I22" i="5"/>
  <c r="G22" i="5"/>
  <c r="E22" i="5"/>
  <c r="X72" i="44"/>
  <c r="Y72" i="44"/>
  <c r="Z72" i="44"/>
  <c r="AA72" i="44"/>
  <c r="I12" i="10" s="1"/>
  <c r="Y67" i="44"/>
  <c r="Y70" i="44" s="1"/>
  <c r="Z67" i="44"/>
  <c r="Z70" i="44" s="1"/>
  <c r="AA67" i="44"/>
  <c r="AA70" i="44" s="1"/>
  <c r="X67" i="44"/>
  <c r="X70" i="44" s="1"/>
  <c r="D43" i="44"/>
  <c r="E43" i="44"/>
  <c r="F43" i="44"/>
  <c r="C43" i="44"/>
  <c r="C22" i="5" l="1"/>
  <c r="C49" i="10" s="1"/>
  <c r="G12" i="10"/>
  <c r="E12" i="10"/>
  <c r="C12" i="10"/>
  <c r="D36" i="44"/>
  <c r="E36" i="44"/>
  <c r="C36" i="44"/>
  <c r="F10" i="44" l="1"/>
  <c r="G16" i="44"/>
  <c r="F9" i="44"/>
  <c r="F35" i="44" l="1"/>
  <c r="F36" i="44" s="1"/>
  <c r="N19" i="3" l="1"/>
  <c r="N19" i="4" l="1"/>
  <c r="L19" i="4"/>
  <c r="J41" i="9"/>
  <c r="L41" i="9" s="1"/>
  <c r="O41" i="9" s="1"/>
  <c r="Q41" i="9" s="1"/>
  <c r="S41" i="9" s="1"/>
  <c r="J42" i="9"/>
  <c r="L42" i="9" s="1"/>
  <c r="O42" i="9" s="1"/>
  <c r="J40" i="9"/>
  <c r="L40" i="9" s="1"/>
  <c r="O40" i="9" s="1"/>
  <c r="Q40" i="9" s="1"/>
  <c r="J35" i="9"/>
  <c r="O35" i="9" s="1"/>
  <c r="Q35" i="9" s="1"/>
  <c r="S35" i="9" s="1"/>
  <c r="U35" i="9" s="1"/>
  <c r="J34" i="9"/>
  <c r="L34" i="9" s="1"/>
  <c r="O34" i="9" s="1"/>
  <c r="Q34" i="9" s="1"/>
  <c r="S34" i="9" s="1"/>
  <c r="U34" i="9" s="1"/>
  <c r="J29" i="9"/>
  <c r="L29" i="9" s="1"/>
  <c r="O29" i="9" s="1"/>
  <c r="Q29" i="9" s="1"/>
  <c r="S29" i="9" s="1"/>
  <c r="U29" i="9" s="1"/>
  <c r="J28" i="9"/>
  <c r="L28" i="9" s="1"/>
  <c r="J13" i="9"/>
  <c r="L13" i="9" s="1"/>
  <c r="J12" i="9"/>
  <c r="L12" i="9" s="1"/>
  <c r="Q10" i="3" l="1"/>
  <c r="J6" i="45" s="1"/>
  <c r="S10" i="3"/>
  <c r="K6" i="45" s="1"/>
  <c r="U21" i="9"/>
  <c r="S9" i="4" s="1"/>
  <c r="K20" i="45" s="1"/>
  <c r="O12" i="9"/>
  <c r="Q9" i="3"/>
  <c r="J5" i="45" s="1"/>
  <c r="U13" i="9"/>
  <c r="S9" i="3" s="1"/>
  <c r="K5" i="45" s="1"/>
  <c r="O28" i="9"/>
  <c r="Q28" i="9" s="1"/>
  <c r="S28" i="9" s="1"/>
  <c r="U28" i="9" s="1"/>
  <c r="Q42" i="9"/>
  <c r="S42" i="9" s="1"/>
  <c r="U42" i="9" s="1"/>
  <c r="U43" i="9" s="1"/>
  <c r="J20" i="9"/>
  <c r="J9" i="9" s="1"/>
  <c r="L19" i="3"/>
  <c r="U37" i="9" l="1"/>
  <c r="U22" i="9"/>
  <c r="S10" i="4" s="1"/>
  <c r="K21" i="45" s="1"/>
  <c r="S63" i="10"/>
  <c r="Q12" i="9"/>
  <c r="U20" i="9"/>
  <c r="S8" i="4" s="1"/>
  <c r="U31" i="9"/>
  <c r="S8" i="44"/>
  <c r="AA8" i="44" s="1"/>
  <c r="Q14" i="44"/>
  <c r="R14" i="44"/>
  <c r="S14" i="44"/>
  <c r="Q13" i="44"/>
  <c r="S13" i="44"/>
  <c r="P13" i="44"/>
  <c r="Q12" i="44"/>
  <c r="R12" i="44"/>
  <c r="S12" i="44"/>
  <c r="P12" i="44"/>
  <c r="Q11" i="44"/>
  <c r="R11" i="44"/>
  <c r="S11" i="44"/>
  <c r="AA12" i="44" s="1"/>
  <c r="P11" i="44"/>
  <c r="Q10" i="44"/>
  <c r="R10" i="44"/>
  <c r="S10" i="44"/>
  <c r="P10" i="44"/>
  <c r="S7" i="44"/>
  <c r="AA7" i="44" s="1"/>
  <c r="M24" i="44"/>
  <c r="M23" i="44"/>
  <c r="M22" i="44"/>
  <c r="S64" i="10" l="1"/>
  <c r="O8" i="3"/>
  <c r="I4" i="45" s="1"/>
  <c r="S12" i="9"/>
  <c r="U23" i="9"/>
  <c r="K19" i="45"/>
  <c r="S11" i="4"/>
  <c r="H20" i="10"/>
  <c r="J20" i="10"/>
  <c r="U12" i="9" l="1"/>
  <c r="U9" i="9" s="1"/>
  <c r="Q8" i="3"/>
  <c r="J4" i="45" s="1"/>
  <c r="U7" i="9"/>
  <c r="M71" i="44"/>
  <c r="M72" i="44"/>
  <c r="M70" i="44"/>
  <c r="L71" i="44"/>
  <c r="L72" i="44"/>
  <c r="L70" i="44"/>
  <c r="K71" i="44"/>
  <c r="K72" i="44"/>
  <c r="K70" i="44"/>
  <c r="J72" i="44"/>
  <c r="J71" i="44"/>
  <c r="J70" i="44"/>
  <c r="S8" i="3" l="1"/>
  <c r="K4" i="45" s="1"/>
  <c r="Q11" i="3"/>
  <c r="E50" i="10"/>
  <c r="E51" i="10"/>
  <c r="C50" i="10"/>
  <c r="C51" i="10"/>
  <c r="E49" i="10"/>
  <c r="H42" i="10"/>
  <c r="S11" i="3" l="1"/>
  <c r="S62" i="10"/>
  <c r="S66" i="10" s="1"/>
  <c r="E53" i="10"/>
  <c r="E56" i="10" s="1"/>
  <c r="C53" i="10"/>
  <c r="C56" i="10" s="1"/>
  <c r="Q59" i="44"/>
  <c r="Y59" i="44" s="1"/>
  <c r="E42" i="10" s="1"/>
  <c r="R59" i="44"/>
  <c r="Z59" i="44" s="1"/>
  <c r="G42" i="10" s="1"/>
  <c r="S59" i="44"/>
  <c r="AA59" i="44" s="1"/>
  <c r="P59" i="44"/>
  <c r="X59" i="44" s="1"/>
  <c r="C42" i="10" s="1"/>
  <c r="Q58" i="44"/>
  <c r="R58" i="44"/>
  <c r="S58" i="44"/>
  <c r="P58" i="44"/>
  <c r="S56" i="44"/>
  <c r="AA56" i="44" s="1"/>
  <c r="S55" i="44"/>
  <c r="AA55" i="44" s="1"/>
  <c r="P55" i="44"/>
  <c r="K63" i="44"/>
  <c r="K57" i="44" s="1"/>
  <c r="Q57" i="44" s="1"/>
  <c r="Y57" i="44" s="1"/>
  <c r="K62" i="44"/>
  <c r="K56" i="44" s="1"/>
  <c r="Q56" i="44" s="1"/>
  <c r="Y56" i="44" s="1"/>
  <c r="M62" i="44"/>
  <c r="M56" i="44" s="1"/>
  <c r="L62" i="44"/>
  <c r="L56" i="44" s="1"/>
  <c r="R56" i="44" s="1"/>
  <c r="Z56" i="44" s="1"/>
  <c r="J63" i="44"/>
  <c r="J57" i="44" s="1"/>
  <c r="P57" i="44" s="1"/>
  <c r="X57" i="44" s="1"/>
  <c r="J62" i="44"/>
  <c r="J56" i="44" s="1"/>
  <c r="P56" i="44" s="1"/>
  <c r="X56" i="44" s="1"/>
  <c r="M63" i="44"/>
  <c r="M57" i="44" s="1"/>
  <c r="S57" i="44" s="1"/>
  <c r="AA57" i="44" s="1"/>
  <c r="M61" i="44"/>
  <c r="M55" i="44" s="1"/>
  <c r="L63" i="44"/>
  <c r="L57" i="44" s="1"/>
  <c r="R57" i="44" s="1"/>
  <c r="Z57" i="44" s="1"/>
  <c r="L61" i="44"/>
  <c r="L55" i="44" s="1"/>
  <c r="R55" i="44" s="1"/>
  <c r="Z61" i="44" s="1"/>
  <c r="K61" i="44"/>
  <c r="K55" i="44" s="1"/>
  <c r="Q55" i="44" s="1"/>
  <c r="Y55" i="44" s="1"/>
  <c r="J61" i="44"/>
  <c r="J55" i="44" s="1"/>
  <c r="J22" i="44"/>
  <c r="S9" i="44"/>
  <c r="L24" i="44"/>
  <c r="R9" i="44" s="1"/>
  <c r="K24" i="44"/>
  <c r="Q9" i="44" s="1"/>
  <c r="J24" i="44"/>
  <c r="P9" i="44" s="1"/>
  <c r="L23" i="44"/>
  <c r="R8" i="44" s="1"/>
  <c r="K23" i="44"/>
  <c r="Q8" i="44" s="1"/>
  <c r="P8" i="44"/>
  <c r="X8" i="44" s="1"/>
  <c r="L22" i="44"/>
  <c r="R7" i="44" s="1"/>
  <c r="K22" i="44"/>
  <c r="Q7" i="44" s="1"/>
  <c r="K31" i="44"/>
  <c r="L31" i="44"/>
  <c r="M31" i="44"/>
  <c r="J31" i="44"/>
  <c r="AA16" i="44" l="1"/>
  <c r="AA9" i="44"/>
  <c r="AA61" i="44"/>
  <c r="AA76" i="44" s="1"/>
  <c r="I42" i="10"/>
  <c r="X55" i="44"/>
  <c r="J64" i="44"/>
  <c r="M64" i="44"/>
  <c r="L64" i="44"/>
  <c r="K64" i="44"/>
  <c r="D22" i="9" l="1"/>
  <c r="C10" i="4" s="1"/>
  <c r="C21" i="45" s="1"/>
  <c r="F22" i="9"/>
  <c r="E10" i="4" s="1"/>
  <c r="D21" i="45" s="1"/>
  <c r="D21" i="9"/>
  <c r="C9" i="4" s="1"/>
  <c r="C20" i="45" s="1"/>
  <c r="F21" i="9"/>
  <c r="E9" i="4" s="1"/>
  <c r="D20" i="9"/>
  <c r="F20" i="9"/>
  <c r="E8" i="4" s="1"/>
  <c r="D19" i="45" s="1"/>
  <c r="C10" i="3"/>
  <c r="E10" i="3"/>
  <c r="C9" i="3"/>
  <c r="E9" i="3"/>
  <c r="E8" i="3"/>
  <c r="C8" i="4" l="1"/>
  <c r="C19" i="45" s="1"/>
  <c r="D9" i="9"/>
  <c r="C11" i="3"/>
  <c r="D20" i="45"/>
  <c r="E18" i="4"/>
  <c r="E26" i="4" s="1"/>
  <c r="D5" i="45"/>
  <c r="E63" i="10"/>
  <c r="C5" i="45"/>
  <c r="C63" i="10"/>
  <c r="E11" i="3"/>
  <c r="D4" i="45"/>
  <c r="E62" i="10"/>
  <c r="D6" i="45"/>
  <c r="E64" i="10"/>
  <c r="C4" i="45"/>
  <c r="C6" i="45"/>
  <c r="C64" i="10"/>
  <c r="C19" i="4"/>
  <c r="D23" i="9"/>
  <c r="C18" i="4"/>
  <c r="E17" i="4"/>
  <c r="E25" i="4" s="1"/>
  <c r="E11" i="4"/>
  <c r="E19" i="4"/>
  <c r="E27" i="4" s="1"/>
  <c r="F23" i="9"/>
  <c r="D15" i="9"/>
  <c r="F15" i="9"/>
  <c r="J8" i="9"/>
  <c r="I8" i="3"/>
  <c r="T8" i="3" s="1"/>
  <c r="I9" i="3"/>
  <c r="I10" i="3"/>
  <c r="C11" i="4" l="1"/>
  <c r="C62" i="10"/>
  <c r="C66" i="10" s="1"/>
  <c r="C17" i="4"/>
  <c r="C25" i="4" s="1"/>
  <c r="F6" i="45"/>
  <c r="I19" i="3"/>
  <c r="F5" i="45"/>
  <c r="I18" i="3"/>
  <c r="F4" i="45"/>
  <c r="I17" i="3"/>
  <c r="I25" i="3" s="1"/>
  <c r="J43" i="9"/>
  <c r="E66" i="10"/>
  <c r="E36" i="10"/>
  <c r="D23" i="45"/>
  <c r="D27" i="45" s="1"/>
  <c r="E38" i="10"/>
  <c r="D25" i="45"/>
  <c r="D29" i="45" s="1"/>
  <c r="C26" i="4"/>
  <c r="D18" i="4"/>
  <c r="C27" i="4"/>
  <c r="D19" i="4"/>
  <c r="E37" i="10"/>
  <c r="D24" i="45"/>
  <c r="D28" i="45" s="1"/>
  <c r="E28" i="4"/>
  <c r="E30" i="4" s="1"/>
  <c r="J22" i="9"/>
  <c r="I10" i="4" s="1"/>
  <c r="T10" i="4" s="1"/>
  <c r="J15" i="9"/>
  <c r="J31" i="9"/>
  <c r="J37" i="9"/>
  <c r="I8" i="4"/>
  <c r="T8" i="4" s="1"/>
  <c r="J21" i="9"/>
  <c r="I9" i="4" s="1"/>
  <c r="T9" i="4" s="1"/>
  <c r="E61" i="44"/>
  <c r="M13" i="44"/>
  <c r="L15" i="44"/>
  <c r="D17" i="4" l="1"/>
  <c r="M5" i="45"/>
  <c r="N5" i="45"/>
  <c r="M4" i="45"/>
  <c r="N4" i="45"/>
  <c r="M6" i="45"/>
  <c r="N6" i="45"/>
  <c r="F19" i="45"/>
  <c r="I17" i="4"/>
  <c r="F21" i="45"/>
  <c r="I19" i="4"/>
  <c r="F20" i="45"/>
  <c r="I18" i="4"/>
  <c r="K18" i="4" s="1"/>
  <c r="I26" i="3"/>
  <c r="E40" i="10"/>
  <c r="E43" i="10" s="1"/>
  <c r="C28" i="4"/>
  <c r="C30" i="4" s="1"/>
  <c r="C38" i="10"/>
  <c r="C25" i="45"/>
  <c r="C29" i="45" s="1"/>
  <c r="C36" i="10"/>
  <c r="C23" i="45"/>
  <c r="C37" i="10"/>
  <c r="C24" i="45"/>
  <c r="J23" i="9"/>
  <c r="J7" i="9" s="1"/>
  <c r="L13" i="44"/>
  <c r="L14" i="44"/>
  <c r="M14" i="44"/>
  <c r="M15" i="44"/>
  <c r="Y12" i="44"/>
  <c r="E29" i="10" s="1"/>
  <c r="E13" i="10" s="1"/>
  <c r="Z12" i="44"/>
  <c r="G29" i="10" s="1"/>
  <c r="G13" i="10" s="1"/>
  <c r="I29" i="10"/>
  <c r="X12" i="44"/>
  <c r="C29" i="10" s="1"/>
  <c r="C13" i="10" s="1"/>
  <c r="M20" i="45" l="1"/>
  <c r="N20" i="45"/>
  <c r="M19" i="45"/>
  <c r="N19" i="45"/>
  <c r="M21" i="45"/>
  <c r="N21" i="45"/>
  <c r="I13" i="10"/>
  <c r="C28" i="45"/>
  <c r="C27" i="45"/>
  <c r="C40" i="10"/>
  <c r="C43" i="10" s="1"/>
  <c r="M8" i="44"/>
  <c r="M9" i="44"/>
  <c r="M7" i="44"/>
  <c r="L9" i="44"/>
  <c r="L7" i="44"/>
  <c r="Z7" i="44" s="1"/>
  <c r="Z9" i="44" l="1"/>
  <c r="L16" i="44"/>
  <c r="M16" i="44"/>
  <c r="L8" i="44"/>
  <c r="Z8" i="44" s="1"/>
  <c r="E16" i="44"/>
  <c r="E65" i="44" s="1"/>
  <c r="F16" i="44"/>
  <c r="F65" i="44" s="1"/>
  <c r="S15" i="44" l="1"/>
  <c r="R15" i="44"/>
  <c r="W61" i="44"/>
  <c r="D61" i="44"/>
  <c r="C61" i="44"/>
  <c r="D16" i="44"/>
  <c r="C16" i="44"/>
  <c r="C65" i="44" l="1"/>
  <c r="D65" i="44"/>
  <c r="K13" i="44"/>
  <c r="K15" i="44"/>
  <c r="K9" i="44" s="1"/>
  <c r="Y9" i="44" s="1"/>
  <c r="E19" i="3" s="1"/>
  <c r="K14" i="44"/>
  <c r="K8" i="44" s="1"/>
  <c r="J14" i="44"/>
  <c r="J8" i="44" s="1"/>
  <c r="C18" i="3" s="1"/>
  <c r="C26" i="3" s="1"/>
  <c r="J13" i="44"/>
  <c r="J15" i="44"/>
  <c r="J9" i="44" s="1"/>
  <c r="X9" i="44" s="1"/>
  <c r="C19" i="3" s="1"/>
  <c r="C27" i="3" s="1"/>
  <c r="C10" i="45" s="1"/>
  <c r="X61" i="44"/>
  <c r="Z16" i="44"/>
  <c r="Z76" i="44" s="1"/>
  <c r="Y61" i="44"/>
  <c r="C14" i="45" l="1"/>
  <c r="D19" i="3"/>
  <c r="C24" i="10"/>
  <c r="C8" i="10" s="1"/>
  <c r="C9" i="45"/>
  <c r="C13" i="45" s="1"/>
  <c r="C25" i="10"/>
  <c r="C9" i="10" s="1"/>
  <c r="C73" i="10" s="1"/>
  <c r="E27" i="3"/>
  <c r="D10" i="45" s="1"/>
  <c r="Y8" i="44"/>
  <c r="E18" i="3" s="1"/>
  <c r="D18" i="3" s="1"/>
  <c r="J7" i="44"/>
  <c r="J16" i="44"/>
  <c r="K7" i="44"/>
  <c r="K16" i="44"/>
  <c r="C72" i="10" l="1"/>
  <c r="W8" i="10"/>
  <c r="E25" i="10"/>
  <c r="E9" i="10" s="1"/>
  <c r="E73" i="10" s="1"/>
  <c r="D14" i="45"/>
  <c r="E26" i="3"/>
  <c r="P15" i="44"/>
  <c r="Q15" i="44"/>
  <c r="O8" i="9"/>
  <c r="L8" i="9"/>
  <c r="H8" i="9"/>
  <c r="G3" i="10"/>
  <c r="I3" i="10" s="1"/>
  <c r="K3" i="10" s="1"/>
  <c r="M3" i="10" s="1"/>
  <c r="I3" i="5"/>
  <c r="K3" i="5" s="1"/>
  <c r="M3" i="5" s="1"/>
  <c r="O3" i="5" s="1"/>
  <c r="G3" i="4"/>
  <c r="G9" i="3"/>
  <c r="G10" i="3"/>
  <c r="G8" i="3"/>
  <c r="E4" i="45" l="1"/>
  <c r="G17" i="3"/>
  <c r="H17" i="3" s="1"/>
  <c r="G19" i="3"/>
  <c r="E6" i="45"/>
  <c r="G18" i="3"/>
  <c r="E5" i="45"/>
  <c r="E24" i="10"/>
  <c r="E8" i="10" s="1"/>
  <c r="E72" i="10" s="1"/>
  <c r="D9" i="45"/>
  <c r="D13" i="45" s="1"/>
  <c r="X16" i="44"/>
  <c r="X76" i="44" s="1"/>
  <c r="C17" i="3"/>
  <c r="C25" i="3" s="1"/>
  <c r="C8" i="45" s="1"/>
  <c r="C12" i="45" s="1"/>
  <c r="Y7" i="44"/>
  <c r="F18" i="3" l="1"/>
  <c r="H18" i="3"/>
  <c r="F19" i="3"/>
  <c r="H19" i="3"/>
  <c r="C28" i="3"/>
  <c r="C30" i="3" s="1"/>
  <c r="C23" i="10"/>
  <c r="Y16" i="44"/>
  <c r="Y76" i="44" s="1"/>
  <c r="E17" i="3"/>
  <c r="D17" i="3" s="1"/>
  <c r="G25" i="3"/>
  <c r="F17" i="3" l="1"/>
  <c r="G23" i="10"/>
  <c r="E8" i="45"/>
  <c r="E12" i="45" s="1"/>
  <c r="C27" i="10"/>
  <c r="C30" i="10" s="1"/>
  <c r="C7" i="10"/>
  <c r="W7" i="10" s="1"/>
  <c r="E25" i="3"/>
  <c r="D8" i="45" s="1"/>
  <c r="D12" i="45" s="1"/>
  <c r="C71" i="10" l="1"/>
  <c r="C11" i="10"/>
  <c r="C14" i="10" s="1"/>
  <c r="E28" i="3"/>
  <c r="E30" i="3" s="1"/>
  <c r="E23" i="10"/>
  <c r="C75" i="10" l="1"/>
  <c r="E27" i="10"/>
  <c r="E30" i="10" s="1"/>
  <c r="E7" i="10"/>
  <c r="E71" i="10" l="1"/>
  <c r="E11" i="10"/>
  <c r="E14" i="10" s="1"/>
  <c r="E75" i="10" l="1"/>
  <c r="M22" i="5" l="1"/>
  <c r="K22" i="5"/>
  <c r="I49" i="10" l="1"/>
  <c r="G49" i="10"/>
  <c r="K49" i="10"/>
  <c r="O49" i="10"/>
  <c r="M49" i="10"/>
  <c r="O3" i="10" l="1"/>
  <c r="Q3" i="10" s="1"/>
  <c r="S3" i="10" s="1"/>
  <c r="T49" i="10" s="1"/>
  <c r="H15" i="9" l="1"/>
  <c r="L5" i="9" l="1"/>
  <c r="O5" i="9" s="1"/>
  <c r="Q5" i="9" s="1"/>
  <c r="S5" i="9" s="1"/>
  <c r="H22" i="9" l="1"/>
  <c r="G10" i="4" s="1"/>
  <c r="H20" i="9"/>
  <c r="G8" i="4" s="1"/>
  <c r="H37" i="9"/>
  <c r="H43" i="9"/>
  <c r="H21" i="9"/>
  <c r="G9" i="4" s="1"/>
  <c r="H31" i="9"/>
  <c r="E19" i="45" l="1"/>
  <c r="G18" i="4"/>
  <c r="E20" i="45"/>
  <c r="G19" i="4"/>
  <c r="E21" i="45"/>
  <c r="G17" i="4"/>
  <c r="H17" i="4" s="1"/>
  <c r="H23" i="9"/>
  <c r="H7" i="9" s="1"/>
  <c r="I7" i="9" s="1"/>
  <c r="G25" i="4" l="1"/>
  <c r="F19" i="4"/>
  <c r="H19" i="4"/>
  <c r="F18" i="4"/>
  <c r="H18" i="4"/>
  <c r="E23" i="45"/>
  <c r="E27" i="45" s="1"/>
  <c r="F17" i="4"/>
  <c r="K9" i="3"/>
  <c r="G5" i="45" s="1"/>
  <c r="M9" i="3" l="1"/>
  <c r="H5" i="45" s="1"/>
  <c r="G63" i="10" l="1"/>
  <c r="O9" i="3" l="1"/>
  <c r="I5" i="45" s="1"/>
  <c r="L21" i="9"/>
  <c r="I63" i="10" l="1"/>
  <c r="T63" i="10" s="1"/>
  <c r="K9" i="4"/>
  <c r="G20" i="45" s="1"/>
  <c r="O21" i="9"/>
  <c r="I17" i="5"/>
  <c r="I51" i="10" s="1"/>
  <c r="I16" i="5"/>
  <c r="K16" i="5" s="1"/>
  <c r="M16" i="5" s="1"/>
  <c r="G50" i="10"/>
  <c r="I3" i="3"/>
  <c r="I3" i="4" s="1"/>
  <c r="K63" i="10" l="1"/>
  <c r="M9" i="4"/>
  <c r="H20" i="45" s="1"/>
  <c r="Q21" i="9"/>
  <c r="K3" i="3"/>
  <c r="K3" i="4" s="1"/>
  <c r="T8" i="5"/>
  <c r="T9" i="5"/>
  <c r="T7" i="5"/>
  <c r="I10" i="5"/>
  <c r="K10" i="5"/>
  <c r="O16" i="5"/>
  <c r="O50" i="10" s="1"/>
  <c r="M50" i="10"/>
  <c r="I25" i="5"/>
  <c r="K50" i="10"/>
  <c r="G10" i="5"/>
  <c r="O10" i="5"/>
  <c r="K17" i="5"/>
  <c r="M17" i="5" s="1"/>
  <c r="O17" i="5" s="1"/>
  <c r="O51" i="10" s="1"/>
  <c r="M10" i="5"/>
  <c r="M63" i="10" l="1"/>
  <c r="O9" i="4"/>
  <c r="I20" i="45" s="1"/>
  <c r="I50" i="10"/>
  <c r="I53" i="10" s="1"/>
  <c r="G25" i="5"/>
  <c r="G51" i="10"/>
  <c r="G53" i="10" s="1"/>
  <c r="G56" i="10" s="1"/>
  <c r="O25" i="5"/>
  <c r="O53" i="10"/>
  <c r="S21" i="9"/>
  <c r="Q9" i="4" s="1"/>
  <c r="T10" i="5"/>
  <c r="M3" i="3"/>
  <c r="M3" i="4" s="1"/>
  <c r="I56" i="10" l="1"/>
  <c r="T56" i="10" s="1"/>
  <c r="T53" i="10"/>
  <c r="J20" i="45"/>
  <c r="Q63" i="10"/>
  <c r="K51" i="10"/>
  <c r="K53" i="10" s="1"/>
  <c r="K56" i="10" s="1"/>
  <c r="M51" i="10"/>
  <c r="M53" i="10" s="1"/>
  <c r="M56" i="10" s="1"/>
  <c r="M25" i="5"/>
  <c r="K25" i="5"/>
  <c r="O56" i="10"/>
  <c r="O3" i="3"/>
  <c r="Q3" i="3" s="1"/>
  <c r="Q3" i="4" l="1"/>
  <c r="S3" i="3"/>
  <c r="O63" i="10"/>
  <c r="O3" i="4"/>
  <c r="K10" i="3"/>
  <c r="G6" i="45" s="1"/>
  <c r="G11" i="3"/>
  <c r="K8" i="3"/>
  <c r="G4" i="45" s="1"/>
  <c r="S3" i="4" l="1"/>
  <c r="T9" i="3"/>
  <c r="T10" i="3"/>
  <c r="M10" i="3" l="1"/>
  <c r="H6" i="45" s="1"/>
  <c r="G64" i="10"/>
  <c r="G27" i="4"/>
  <c r="L31" i="9"/>
  <c r="L20" i="9"/>
  <c r="L9" i="9" s="1"/>
  <c r="K17" i="4"/>
  <c r="L37" i="9"/>
  <c r="L22" i="9"/>
  <c r="L43" i="9"/>
  <c r="I11" i="3"/>
  <c r="T11" i="3" s="1"/>
  <c r="G26" i="4"/>
  <c r="G26" i="3"/>
  <c r="G27" i="3"/>
  <c r="E10" i="45" s="1"/>
  <c r="K17" i="3"/>
  <c r="K25" i="3" s="1"/>
  <c r="O10" i="3" l="1"/>
  <c r="I6" i="45" s="1"/>
  <c r="I62" i="10"/>
  <c r="T62" i="10" s="1"/>
  <c r="K8" i="4"/>
  <c r="G19" i="45" s="1"/>
  <c r="I64" i="10"/>
  <c r="T64" i="10" s="1"/>
  <c r="K10" i="4"/>
  <c r="G21" i="45" s="1"/>
  <c r="G38" i="10"/>
  <c r="E25" i="45"/>
  <c r="E29" i="45" s="1"/>
  <c r="G37" i="10"/>
  <c r="E24" i="45"/>
  <c r="E28" i="45" s="1"/>
  <c r="G24" i="10"/>
  <c r="E9" i="45"/>
  <c r="E13" i="45" s="1"/>
  <c r="G25" i="10"/>
  <c r="E14" i="45"/>
  <c r="I23" i="10"/>
  <c r="F8" i="45"/>
  <c r="K19" i="4"/>
  <c r="G11" i="4"/>
  <c r="G62" i="10"/>
  <c r="G66" i="10" s="1"/>
  <c r="G36" i="10"/>
  <c r="G7" i="10" s="1"/>
  <c r="O43" i="9"/>
  <c r="I25" i="4"/>
  <c r="O37" i="9"/>
  <c r="I11" i="4"/>
  <c r="T11" i="4" s="1"/>
  <c r="M17" i="4"/>
  <c r="K18" i="3"/>
  <c r="G28" i="3"/>
  <c r="G30" i="3" s="1"/>
  <c r="M17" i="3"/>
  <c r="O17" i="3" s="1"/>
  <c r="K19" i="3"/>
  <c r="I27" i="3"/>
  <c r="F10" i="45" s="1"/>
  <c r="M10" i="45" s="1"/>
  <c r="I26" i="4"/>
  <c r="Q17" i="3" l="1"/>
  <c r="O25" i="3"/>
  <c r="O23" i="10" s="1"/>
  <c r="I66" i="10"/>
  <c r="T66" i="10" s="1"/>
  <c r="K64" i="10"/>
  <c r="M10" i="4"/>
  <c r="H21" i="45" s="1"/>
  <c r="G9" i="10"/>
  <c r="G73" i="10" s="1"/>
  <c r="I36" i="10"/>
  <c r="I7" i="10" s="1"/>
  <c r="I71" i="10" s="1"/>
  <c r="F23" i="45"/>
  <c r="I37" i="10"/>
  <c r="F24" i="45"/>
  <c r="G8" i="10"/>
  <c r="G72" i="10" s="1"/>
  <c r="G27" i="10"/>
  <c r="G30" i="10" s="1"/>
  <c r="I25" i="10"/>
  <c r="I24" i="10"/>
  <c r="F9" i="45"/>
  <c r="F12" i="45"/>
  <c r="M8" i="45"/>
  <c r="I27" i="4"/>
  <c r="G71" i="10"/>
  <c r="G40" i="10"/>
  <c r="G43" i="10" s="1"/>
  <c r="Q37" i="9"/>
  <c r="Q43" i="9"/>
  <c r="G28" i="4"/>
  <c r="G30" i="4" s="1"/>
  <c r="I28" i="3"/>
  <c r="K11" i="4"/>
  <c r="K25" i="4"/>
  <c r="M19" i="3"/>
  <c r="K27" i="3"/>
  <c r="G10" i="45" s="1"/>
  <c r="M18" i="3"/>
  <c r="K26" i="3"/>
  <c r="M19" i="4"/>
  <c r="K27" i="4"/>
  <c r="M18" i="4"/>
  <c r="K26" i="4"/>
  <c r="O17" i="4"/>
  <c r="Q17" i="4" s="1"/>
  <c r="S17" i="4" l="1"/>
  <c r="S25" i="4" s="1"/>
  <c r="S17" i="3"/>
  <c r="S25" i="3" s="1"/>
  <c r="Q25" i="3"/>
  <c r="I8" i="10"/>
  <c r="I72" i="10" s="1"/>
  <c r="M64" i="10"/>
  <c r="O10" i="4"/>
  <c r="I21" i="45" s="1"/>
  <c r="G11" i="10"/>
  <c r="G14" i="10" s="1"/>
  <c r="F28" i="45"/>
  <c r="M24" i="45"/>
  <c r="K37" i="10"/>
  <c r="G24" i="45"/>
  <c r="G28" i="45" s="1"/>
  <c r="K36" i="10"/>
  <c r="G23" i="45"/>
  <c r="G27" i="45" s="1"/>
  <c r="F27" i="45"/>
  <c r="M23" i="45"/>
  <c r="K38" i="10"/>
  <c r="G25" i="45"/>
  <c r="G29" i="45" s="1"/>
  <c r="I38" i="10"/>
  <c r="F25" i="45"/>
  <c r="I27" i="10"/>
  <c r="I30" i="10" s="1"/>
  <c r="K29" i="10" s="1"/>
  <c r="M29" i="10" s="1"/>
  <c r="O29" i="10" s="1"/>
  <c r="F13" i="45"/>
  <c r="M9" i="45"/>
  <c r="K24" i="10"/>
  <c r="G9" i="45"/>
  <c r="G13" i="45" s="1"/>
  <c r="F14" i="45"/>
  <c r="K25" i="10"/>
  <c r="G14" i="45"/>
  <c r="I28" i="4"/>
  <c r="I30" i="4" s="1"/>
  <c r="S22" i="9"/>
  <c r="Q10" i="4" s="1"/>
  <c r="S43" i="9"/>
  <c r="S37" i="9"/>
  <c r="I30" i="3"/>
  <c r="K28" i="4"/>
  <c r="O19" i="4"/>
  <c r="Q19" i="4" s="1"/>
  <c r="S19" i="4" s="1"/>
  <c r="S27" i="4" s="1"/>
  <c r="M27" i="4"/>
  <c r="O18" i="4"/>
  <c r="M26" i="4"/>
  <c r="M26" i="3"/>
  <c r="O18" i="3"/>
  <c r="O19" i="3"/>
  <c r="M27" i="3"/>
  <c r="H10" i="45" s="1"/>
  <c r="K25" i="45" l="1"/>
  <c r="N25" i="45" s="1"/>
  <c r="T27" i="4"/>
  <c r="S38" i="10"/>
  <c r="O26" i="4"/>
  <c r="O37" i="10" s="1"/>
  <c r="Q18" i="4"/>
  <c r="Q29" i="10"/>
  <c r="I9" i="10"/>
  <c r="Q27" i="4"/>
  <c r="J21" i="45"/>
  <c r="Q64" i="10"/>
  <c r="K23" i="45"/>
  <c r="S36" i="10"/>
  <c r="T25" i="4"/>
  <c r="J8" i="45"/>
  <c r="J12" i="45" s="1"/>
  <c r="Q23" i="10"/>
  <c r="K8" i="45"/>
  <c r="S23" i="10"/>
  <c r="O27" i="3"/>
  <c r="Q19" i="3"/>
  <c r="O26" i="3"/>
  <c r="O24" i="10" s="1"/>
  <c r="Q18" i="3"/>
  <c r="T25" i="3"/>
  <c r="G20" i="10"/>
  <c r="I40" i="10"/>
  <c r="I43" i="10" s="1"/>
  <c r="K42" i="10" s="1"/>
  <c r="M42" i="10" s="1"/>
  <c r="O42" i="10" s="1"/>
  <c r="Q42" i="10" s="1"/>
  <c r="S42" i="10" s="1"/>
  <c r="T42" i="10" s="1"/>
  <c r="K9" i="10"/>
  <c r="K73" i="10" s="1"/>
  <c r="G75" i="10"/>
  <c r="K8" i="10"/>
  <c r="K72" i="10" s="1"/>
  <c r="K40" i="10"/>
  <c r="M37" i="10"/>
  <c r="H24" i="45"/>
  <c r="H28" i="45" s="1"/>
  <c r="F29" i="45"/>
  <c r="M25" i="45"/>
  <c r="M38" i="10"/>
  <c r="H25" i="45"/>
  <c r="H29" i="45" s="1"/>
  <c r="M24" i="10"/>
  <c r="H9" i="45"/>
  <c r="H13" i="45" s="1"/>
  <c r="M25" i="10"/>
  <c r="H14" i="45"/>
  <c r="K30" i="4"/>
  <c r="I11" i="10" l="1"/>
  <c r="W9" i="10"/>
  <c r="I9" i="45"/>
  <c r="I13" i="45" s="1"/>
  <c r="O25" i="10"/>
  <c r="I10" i="45"/>
  <c r="I14" i="45" s="1"/>
  <c r="I24" i="45"/>
  <c r="I28" i="45" s="1"/>
  <c r="T38" i="10"/>
  <c r="K29" i="45"/>
  <c r="S18" i="4"/>
  <c r="S26" i="4" s="1"/>
  <c r="Q26" i="4"/>
  <c r="I73" i="10"/>
  <c r="S29" i="10"/>
  <c r="Q13" i="10"/>
  <c r="O13" i="10"/>
  <c r="X13" i="10" s="1"/>
  <c r="Q38" i="10"/>
  <c r="J25" i="45"/>
  <c r="J29" i="45" s="1"/>
  <c r="T36" i="10"/>
  <c r="K27" i="45"/>
  <c r="N23" i="45"/>
  <c r="N8" i="45"/>
  <c r="K12" i="45"/>
  <c r="T23" i="10"/>
  <c r="S7" i="10"/>
  <c r="Y7" i="10" s="1"/>
  <c r="S18" i="3"/>
  <c r="S26" i="3" s="1"/>
  <c r="Q26" i="3"/>
  <c r="Q27" i="3"/>
  <c r="J10" i="45" s="1"/>
  <c r="S19" i="3"/>
  <c r="S27" i="3" s="1"/>
  <c r="K10" i="45" s="1"/>
  <c r="N10" i="45" s="1"/>
  <c r="K43" i="10"/>
  <c r="K13" i="10"/>
  <c r="M9" i="10"/>
  <c r="M73" i="10" s="1"/>
  <c r="M8" i="10"/>
  <c r="M72" i="10" s="1"/>
  <c r="M13" i="10"/>
  <c r="O64" i="10"/>
  <c r="O27" i="4"/>
  <c r="I75" i="10"/>
  <c r="O8" i="10"/>
  <c r="O72" i="10" l="1"/>
  <c r="X8" i="10"/>
  <c r="I14" i="10"/>
  <c r="W11" i="10"/>
  <c r="J14" i="45"/>
  <c r="Q25" i="10"/>
  <c r="Q9" i="10" s="1"/>
  <c r="Q73" i="10" s="1"/>
  <c r="T27" i="3"/>
  <c r="S25" i="10"/>
  <c r="J24" i="45"/>
  <c r="J28" i="45" s="1"/>
  <c r="Q37" i="10"/>
  <c r="S37" i="10"/>
  <c r="K24" i="45"/>
  <c r="T26" i="4"/>
  <c r="S28" i="4"/>
  <c r="T29" i="10"/>
  <c r="S13" i="10"/>
  <c r="J9" i="45"/>
  <c r="J13" i="45" s="1"/>
  <c r="Q24" i="10"/>
  <c r="K9" i="45"/>
  <c r="S24" i="10"/>
  <c r="T7" i="10"/>
  <c r="S71" i="10"/>
  <c r="Q28" i="3"/>
  <c r="Q30" i="3" s="1"/>
  <c r="T26" i="3"/>
  <c r="S28" i="3"/>
  <c r="I25" i="45"/>
  <c r="O38" i="10"/>
  <c r="T13" i="10" l="1"/>
  <c r="Y13" i="10"/>
  <c r="I15" i="10"/>
  <c r="W14" i="10"/>
  <c r="I20" i="10"/>
  <c r="K14" i="45"/>
  <c r="T25" i="10"/>
  <c r="S9" i="10"/>
  <c r="Y9" i="10" s="1"/>
  <c r="T28" i="4"/>
  <c r="S30" i="4"/>
  <c r="N24" i="45"/>
  <c r="K28" i="45"/>
  <c r="T37" i="10"/>
  <c r="S40" i="10"/>
  <c r="N9" i="45"/>
  <c r="K13" i="45"/>
  <c r="T24" i="10"/>
  <c r="S8" i="10"/>
  <c r="Y8" i="10" s="1"/>
  <c r="S27" i="10"/>
  <c r="Q8" i="10"/>
  <c r="Q72" i="10" s="1"/>
  <c r="Q27" i="10"/>
  <c r="Q30" i="10" s="1"/>
  <c r="S30" i="3"/>
  <c r="T28" i="3"/>
  <c r="I29" i="45"/>
  <c r="O9" i="10"/>
  <c r="L23" i="9"/>
  <c r="O73" i="10" l="1"/>
  <c r="X9" i="10"/>
  <c r="S73" i="10"/>
  <c r="T9" i="10"/>
  <c r="S43" i="10"/>
  <c r="T43" i="10" s="1"/>
  <c r="T40" i="10"/>
  <c r="S72" i="10"/>
  <c r="T8" i="10"/>
  <c r="S11" i="10"/>
  <c r="Y11" i="10" s="1"/>
  <c r="T27" i="10"/>
  <c r="S30" i="10"/>
  <c r="T30" i="10" s="1"/>
  <c r="L15" i="9"/>
  <c r="L7" i="9" s="1"/>
  <c r="K7" i="9" s="1"/>
  <c r="M8" i="3"/>
  <c r="H4" i="45" s="1"/>
  <c r="S75" i="10" l="1"/>
  <c r="T11" i="10"/>
  <c r="K62" i="10"/>
  <c r="K66" i="10" s="1"/>
  <c r="K11" i="3"/>
  <c r="G8" i="45"/>
  <c r="G12" i="45" s="1"/>
  <c r="O15" i="9"/>
  <c r="K23" i="10" l="1"/>
  <c r="K28" i="3"/>
  <c r="Q15" i="9"/>
  <c r="O11" i="3" l="1"/>
  <c r="S15" i="9"/>
  <c r="M11" i="3"/>
  <c r="M25" i="3"/>
  <c r="K30" i="3"/>
  <c r="K7" i="10"/>
  <c r="K27" i="10"/>
  <c r="K30" i="10" s="1"/>
  <c r="H8" i="45" l="1"/>
  <c r="H12" i="45" s="1"/>
  <c r="M23" i="10"/>
  <c r="I8" i="45"/>
  <c r="K11" i="10"/>
  <c r="K71" i="10"/>
  <c r="M28" i="3"/>
  <c r="O28" i="3"/>
  <c r="K12" i="10" l="1"/>
  <c r="K14" i="10" s="1"/>
  <c r="K15" i="10" s="1"/>
  <c r="I12" i="45"/>
  <c r="K75" i="10"/>
  <c r="O30" i="3"/>
  <c r="O27" i="10"/>
  <c r="M30" i="3"/>
  <c r="M27" i="10"/>
  <c r="M30" i="10" s="1"/>
  <c r="K18" i="10" l="1"/>
  <c r="K20" i="10"/>
  <c r="O30" i="10"/>
  <c r="S63" i="44" l="1"/>
  <c r="R63" i="44"/>
  <c r="Q63" i="44"/>
  <c r="P63" i="44"/>
  <c r="O20" i="9"/>
  <c r="O9" i="9" s="1"/>
  <c r="Q31" i="9"/>
  <c r="O31" i="9"/>
  <c r="O23" i="9" l="1"/>
  <c r="O7" i="9" s="1"/>
  <c r="M7" i="9" s="1"/>
  <c r="M8" i="4"/>
  <c r="Q20" i="9"/>
  <c r="Q9" i="9" s="1"/>
  <c r="O8" i="4" l="1"/>
  <c r="Q23" i="9"/>
  <c r="Q7" i="9" s="1"/>
  <c r="M62" i="10"/>
  <c r="M66" i="10" s="1"/>
  <c r="H19" i="45"/>
  <c r="M25" i="4"/>
  <c r="M11" i="4"/>
  <c r="S20" i="9"/>
  <c r="S9" i="9" s="1"/>
  <c r="S31" i="9"/>
  <c r="S23" i="9" l="1"/>
  <c r="S7" i="9" s="1"/>
  <c r="Q8" i="4"/>
  <c r="M28" i="4"/>
  <c r="M30" i="4" s="1"/>
  <c r="M36" i="10"/>
  <c r="H23" i="45"/>
  <c r="H27" i="45" s="1"/>
  <c r="I19" i="45"/>
  <c r="O62" i="10"/>
  <c r="O25" i="4"/>
  <c r="O11" i="4"/>
  <c r="Q11" i="4" l="1"/>
  <c r="J19" i="45"/>
  <c r="Q62" i="10"/>
  <c r="Q66" i="10" s="1"/>
  <c r="Q25" i="4"/>
  <c r="O36" i="10"/>
  <c r="O7" i="10" s="1"/>
  <c r="O28" i="4"/>
  <c r="I23" i="45"/>
  <c r="O66" i="10"/>
  <c r="M7" i="10"/>
  <c r="M40" i="10"/>
  <c r="M43" i="10" s="1"/>
  <c r="O71" i="10" l="1"/>
  <c r="X7" i="10"/>
  <c r="Q28" i="4"/>
  <c r="Q30" i="4" s="1"/>
  <c r="J23" i="45"/>
  <c r="J27" i="45" s="1"/>
  <c r="Q36" i="10"/>
  <c r="M11" i="10"/>
  <c r="M12" i="10" s="1"/>
  <c r="M71" i="10"/>
  <c r="I27" i="45"/>
  <c r="O30" i="4"/>
  <c r="O40" i="10"/>
  <c r="Q40" i="10" l="1"/>
  <c r="Q43" i="10" s="1"/>
  <c r="Q7" i="10"/>
  <c r="M75" i="10"/>
  <c r="M14" i="10"/>
  <c r="M15" i="10" s="1"/>
  <c r="O11" i="10"/>
  <c r="O43" i="10"/>
  <c r="O12" i="10" l="1"/>
  <c r="X12" i="10" s="1"/>
  <c r="X11" i="10"/>
  <c r="Q11" i="10"/>
  <c r="Q71" i="10"/>
  <c r="M20" i="10"/>
  <c r="M18" i="10"/>
  <c r="O75" i="10"/>
  <c r="Q75" i="10" l="1"/>
  <c r="O14" i="10"/>
  <c r="X14" i="10" s="1"/>
  <c r="Q12" i="10"/>
  <c r="Q14" i="10" s="1"/>
  <c r="O20" i="10" l="1"/>
  <c r="Q15" i="10"/>
  <c r="O15" i="10"/>
  <c r="O18" i="10"/>
  <c r="S12" i="10"/>
  <c r="S14" i="10" l="1"/>
  <c r="Y14" i="10" s="1"/>
  <c r="Y12" i="10"/>
  <c r="S15" i="10" l="1"/>
  <c r="T1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Ugo MANTEL</author>
  </authors>
  <commentList>
    <comment ref="K1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Ugo MANTEL:</t>
        </r>
        <r>
          <rPr>
            <sz val="9"/>
            <color indexed="81"/>
            <rFont val="Tahoma"/>
            <family val="2"/>
          </rPr>
          <t xml:space="preserve">
Hypotèse: montant des interco proportionnel à l'operating revenue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Ugo MANTEL</author>
    <author>Thierry Fournier</author>
  </authors>
  <commentList>
    <comment ref="F9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Ugo MANTEL:</t>
        </r>
        <r>
          <rPr>
            <sz val="9"/>
            <color indexed="81"/>
            <rFont val="Tahoma"/>
            <family val="2"/>
          </rPr>
          <t xml:space="preserve">
contient 50 de rec
</t>
        </r>
      </text>
    </comment>
    <comment ref="F10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Ugo MANTEL:</t>
        </r>
        <r>
          <rPr>
            <sz val="9"/>
            <color indexed="81"/>
            <rFont val="Tahoma"/>
            <family val="2"/>
          </rPr>
          <t xml:space="preserve">
Contient 300 de rec
</t>
        </r>
      </text>
    </comment>
    <comment ref="F55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Ugo MANTEL:</t>
        </r>
        <r>
          <rPr>
            <sz val="9"/>
            <color indexed="81"/>
            <rFont val="Tahoma"/>
            <family val="2"/>
          </rPr>
          <t xml:space="preserve">
Contient 1900 de rec
</t>
        </r>
      </text>
    </comment>
    <comment ref="W76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 xml:space="preserve">ThF: </t>
        </r>
        <r>
          <rPr>
            <sz val="9"/>
            <color indexed="81"/>
            <rFont val="Tahoma"/>
            <family val="2"/>
          </rPr>
          <t>valider si ce revenu conso est bien cohérent avec le reporting groupe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Théodora Dupont</author>
  </authors>
  <commentList>
    <comment ref="C14" authorId="0" shapeId="0" xr:uid="{3AFA2495-3434-4898-8252-8AA3B44404D0}">
      <text>
        <r>
          <rPr>
            <b/>
            <sz val="9"/>
            <color indexed="81"/>
            <rFont val="Tahoma"/>
            <family val="2"/>
          </rPr>
          <t>Théodora Dupont:</t>
        </r>
        <r>
          <rPr>
            <sz val="9"/>
            <color indexed="81"/>
            <rFont val="Tahoma"/>
            <family val="2"/>
          </rPr>
          <t xml:space="preserve">
Retraitement du contrat CDC dans le calcul de la PDM Altares sur le marché de la compliance</t>
        </r>
      </text>
    </comment>
    <comment ref="C29" authorId="0" shapeId="0" xr:uid="{EFC3E918-0D86-4D15-B948-FD7CE2D27609}">
      <text>
        <r>
          <rPr>
            <b/>
            <sz val="9"/>
            <color indexed="81"/>
            <rFont val="Tahoma"/>
            <family val="2"/>
          </rPr>
          <t>Théodora Dupont:</t>
        </r>
        <r>
          <rPr>
            <sz val="9"/>
            <color indexed="81"/>
            <rFont val="Tahoma"/>
            <family val="2"/>
          </rPr>
          <t xml:space="preserve">
Retraitement du BPO dans les principaux contrats compliance
</t>
        </r>
      </text>
    </comment>
    <comment ref="B35" authorId="0" shapeId="0" xr:uid="{7382CA99-EB78-421A-9C5A-0C48ABB31F94}">
      <text>
        <r>
          <rPr>
            <b/>
            <sz val="9"/>
            <color indexed="81"/>
            <rFont val="Tahoma"/>
            <family val="2"/>
          </rPr>
          <t>Théodora Dupont:</t>
        </r>
        <r>
          <rPr>
            <sz val="9"/>
            <color indexed="81"/>
            <rFont val="Tahoma"/>
            <family val="2"/>
          </rPr>
          <t xml:space="preserve">
Part du BPO dans les contrats compliance au Benelux 
(source: Boris Michaux)</t>
        </r>
      </text>
    </comment>
  </commentList>
</comments>
</file>

<file path=xl/sharedStrings.xml><?xml version="1.0" encoding="utf-8"?>
<sst xmlns="http://schemas.openxmlformats.org/spreadsheetml/2006/main" count="319" uniqueCount="112">
  <si>
    <t>Risque</t>
  </si>
  <si>
    <t>Sales &amp; marketing</t>
  </si>
  <si>
    <t>Compliance</t>
  </si>
  <si>
    <t>Total France</t>
  </si>
  <si>
    <t>Total NDL</t>
  </si>
  <si>
    <t>Total Belgique</t>
  </si>
  <si>
    <t>Total Lux</t>
  </si>
  <si>
    <t>Total Benelux</t>
  </si>
  <si>
    <t>1. France</t>
  </si>
  <si>
    <t>2. Benelux</t>
  </si>
  <si>
    <t>2.1. NDL</t>
  </si>
  <si>
    <t>2.2. Belgique</t>
  </si>
  <si>
    <t>2.3. Luxembourg</t>
  </si>
  <si>
    <t>Marché du Maghreb</t>
  </si>
  <si>
    <t>Total Maghreb</t>
  </si>
  <si>
    <t>Total IAA</t>
  </si>
  <si>
    <t>Parts de marché au Maghreb évolution anticipées</t>
  </si>
  <si>
    <t>Other</t>
  </si>
  <si>
    <t>Altares France</t>
  </si>
  <si>
    <t>CA France</t>
  </si>
  <si>
    <t>CA Benelux</t>
  </si>
  <si>
    <t>CA Maghreb</t>
  </si>
  <si>
    <t>Others (incl DBI vte réseau)</t>
  </si>
  <si>
    <t>Altares BV</t>
  </si>
  <si>
    <t>Parts de marché en FR+BNL anticipées</t>
  </si>
  <si>
    <t>Marchés adressés en conso FR+Bnl</t>
  </si>
  <si>
    <t>Total FR+BNL</t>
  </si>
  <si>
    <t>Operating revenue</t>
  </si>
  <si>
    <t xml:space="preserve">Risk </t>
  </si>
  <si>
    <t xml:space="preserve">Sub-total </t>
  </si>
  <si>
    <t>Total Group</t>
  </si>
  <si>
    <t>in M€</t>
  </si>
  <si>
    <t>Consolidated BP (market share basis projected)</t>
  </si>
  <si>
    <t>French market</t>
  </si>
  <si>
    <t>Mkt Share G/L</t>
  </si>
  <si>
    <t>French revenue</t>
  </si>
  <si>
    <t xml:space="preserve">Total </t>
  </si>
  <si>
    <t>Weighted average Mkt share</t>
  </si>
  <si>
    <t>Benelux Market</t>
  </si>
  <si>
    <t>French Mkt shares and var.</t>
  </si>
  <si>
    <t>Benelux Mkt share and var.</t>
  </si>
  <si>
    <t>Benelux revenue</t>
  </si>
  <si>
    <t>Revenue IAA ( M€)</t>
  </si>
  <si>
    <t>French Scope BP (market share basis projected)</t>
  </si>
  <si>
    <t>Benelux Scope BP (market share basis projected)</t>
  </si>
  <si>
    <t>DBI/WWN partners &amp; Others</t>
  </si>
  <si>
    <t>Extrapolations on BP</t>
  </si>
  <si>
    <t>Total marché Fr + BNL</t>
  </si>
  <si>
    <t>CAGR 20-23</t>
  </si>
  <si>
    <t>Eleven data</t>
  </si>
  <si>
    <t>pm BP initial</t>
  </si>
  <si>
    <t>Revenus Altares France et Benelux par LOB</t>
  </si>
  <si>
    <t xml:space="preserve"> ==&gt; data pour intégration dans modèle BP</t>
  </si>
  <si>
    <t>la ligne "others" traitée séparément</t>
  </si>
  <si>
    <t>Risk</t>
  </si>
  <si>
    <t>S&amp;MS</t>
  </si>
  <si>
    <t>MDM</t>
  </si>
  <si>
    <t>Analytics</t>
  </si>
  <si>
    <t>Risk réseau</t>
  </si>
  <si>
    <t>Others (incl. DBI et vte réseau)</t>
  </si>
  <si>
    <t>Fichiers réseau</t>
  </si>
  <si>
    <t>DBI</t>
  </si>
  <si>
    <t>Total Altares France</t>
  </si>
  <si>
    <t>Managéo</t>
  </si>
  <si>
    <t>Total Managéo</t>
  </si>
  <si>
    <t>Benelux</t>
  </si>
  <si>
    <t>Datascience scoring</t>
  </si>
  <si>
    <t>Sales &amp; Marketing</t>
  </si>
  <si>
    <t>Total Altares BNL</t>
  </si>
  <si>
    <t>TOTAL CONSO</t>
  </si>
  <si>
    <t>A valider par ThL</t>
  </si>
  <si>
    <t>2019A</t>
  </si>
  <si>
    <t>2020B</t>
  </si>
  <si>
    <t>Share</t>
  </si>
  <si>
    <t>source fichier ThL ==&gt; revenus alr fr, bnl V2.xls, France_productfile 2015to2020YTD.xls &amp; Benelux_productfile 2015to2020YTD.xls</t>
  </si>
  <si>
    <t>Données reventilées</t>
  </si>
  <si>
    <t>Clef de ventilation - Option 1: Ratio CALOB/ CATotal</t>
  </si>
  <si>
    <t>Clef de ventilation - Option 2: Réparation des produits MDM par LOB</t>
  </si>
  <si>
    <t>Option à choisir (1 ou 2):</t>
  </si>
  <si>
    <t>Market</t>
  </si>
  <si>
    <t>France</t>
  </si>
  <si>
    <t>Altarès</t>
  </si>
  <si>
    <t>Market share</t>
  </si>
  <si>
    <t>CAGR17-20</t>
  </si>
  <si>
    <t>Market size</t>
  </si>
  <si>
    <t>BP Maghreb (management assumptions)</t>
  </si>
  <si>
    <t>2020 F5+7</t>
  </si>
  <si>
    <t xml:space="preserve"> </t>
  </si>
  <si>
    <t>2020 F5+7 (Hors Rec)</t>
  </si>
  <si>
    <t>Interco elimination</t>
  </si>
  <si>
    <t>Maghreb IAA</t>
  </si>
  <si>
    <t>IAA</t>
  </si>
  <si>
    <t>Interco Elimination</t>
  </si>
  <si>
    <t>TOTAL IAA</t>
  </si>
  <si>
    <t>BP management Nico-G</t>
  </si>
  <si>
    <t>Total Groupe</t>
  </si>
  <si>
    <t>BP avril19 décalé d'un an</t>
  </si>
  <si>
    <t>CAGR 2021/2025</t>
  </si>
  <si>
    <t>CAGR 20-25</t>
  </si>
  <si>
    <t>BP V12</t>
  </si>
  <si>
    <t>dont total risque</t>
  </si>
  <si>
    <t>Contract</t>
  </si>
  <si>
    <t>Worldline</t>
  </si>
  <si>
    <t>Wish</t>
  </si>
  <si>
    <t>Aegon</t>
  </si>
  <si>
    <t>CCV</t>
  </si>
  <si>
    <t>part du BPO</t>
  </si>
  <si>
    <t>Retraitement du BPO dans les grands contrats compliance au Benelux</t>
  </si>
  <si>
    <t>Contrat Compliance CDC 2017</t>
  </si>
  <si>
    <t>Total du BPO compliance (en m)</t>
  </si>
  <si>
    <t>CAGR20-25</t>
  </si>
  <si>
    <t>cagr20-23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</si>
</sst>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0.0"/>
    <numFmt numFmtId="167" formatCode="#,##0_);\(#,##0\);\-\-_)"/>
    <numFmt numFmtId="168" formatCode="#,##0.0"/>
    <numFmt numFmtId="169" formatCode="_-* #,##0.000_-;\-* #,##0.000_-;_-* &quot;-&quot;??_-;_-@_-"/>
    <numFmt numFmtId="170" formatCode="_-* #,##0_-;\-* #,##0_-;_-* &quot;-&quot;??_-;_-@_-"/>
    <numFmt numFmtId="171" formatCode="0.0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theme="1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sz val="12"/>
      <name val="Calibri"/>
      <family val="2"/>
      <scheme val="minor"/>
    </font>
    <font>
      <b/>
      <i/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</font>
    <font>
      <i/>
      <sz val="11"/>
      <color rgb="FFFF0000"/>
      <name val="Calibri"/>
      <family val="2"/>
      <scheme val="minor"/>
    </font>
    <font>
      <b/>
      <sz val="11"/>
      <color rgb="FFFF33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9" fontId="1" fillId="0" borderId="0" applyFont="0" applyFill="0" applyBorder="0" applyAlignment="0" applyProtection="0"/>
    <xf numFmtId="0" fontId="9" fillId="0" borderId="0"/>
    <xf numFmtId="164" fontId="1" fillId="0" borderId="0" applyFont="0" applyFill="0" applyBorder="0" applyAlignment="0" applyProtection="0"/>
    <xf numFmtId="167" fontId="24" fillId="0" borderId="0" applyFill="0">
      <alignment vertical="center"/>
    </xf>
    <xf numFmtId="167" fontId="25" fillId="9" borderId="0" applyNumberFormat="0" applyFont="0" applyBorder="0" applyAlignment="0" applyProtection="0">
      <alignment horizontal="right"/>
    </xf>
    <xf numFmtId="9" fontId="9" fillId="0" borderId="0" applyFont="0" applyFill="0" applyBorder="0" applyAlignment="0" applyProtection="0"/>
    <xf numFmtId="0" fontId="26" fillId="0" borderId="0"/>
    <xf numFmtId="9" fontId="1" fillId="0" borderId="0" applyFont="0" applyFill="0" applyBorder="0" applyAlignment="0" applyProtection="0"/>
    <xf numFmtId="0" fontId="1" fillId="0" borderId="0"/>
    <xf numFmtId="0" fontId="29" fillId="0" borderId="0">
      <alignment vertical="top"/>
    </xf>
    <xf numFmtId="0" fontId="1" fillId="0" borderId="0"/>
    <xf numFmtId="0" fontId="1" fillId="0" borderId="0"/>
    <xf numFmtId="0" fontId="30" fillId="0" borderId="0"/>
    <xf numFmtId="0" fontId="1" fillId="0" borderId="0"/>
    <xf numFmtId="0" fontId="9" fillId="0" borderId="0"/>
    <xf numFmtId="43" fontId="1" fillId="0" borderId="0" applyFont="0" applyFill="0" applyBorder="0" applyAlignment="0" applyProtection="0"/>
    <xf numFmtId="0" fontId="1" fillId="0" borderId="0"/>
    <xf numFmtId="0" fontId="29" fillId="0" borderId="0">
      <alignment vertical="top"/>
    </xf>
    <xf numFmtId="0" fontId="9" fillId="0" borderId="0"/>
    <xf numFmtId="43" fontId="1" fillId="0" borderId="0" applyFont="0" applyFill="0" applyBorder="0" applyAlignment="0" applyProtection="0"/>
  </cellStyleXfs>
  <cellXfs count="32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" fontId="0" fillId="0" borderId="4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6" xfId="0" applyBorder="1"/>
    <xf numFmtId="165" fontId="0" fillId="0" borderId="0" xfId="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165" fontId="2" fillId="0" borderId="0" xfId="1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0" xfId="0" applyFont="1" applyAlignment="1"/>
    <xf numFmtId="0" fontId="6" fillId="0" borderId="0" xfId="0" applyFont="1"/>
    <xf numFmtId="0" fontId="2" fillId="0" borderId="0" xfId="0" applyFont="1" applyBorder="1" applyAlignment="1">
      <alignment horizontal="left"/>
    </xf>
    <xf numFmtId="166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vertical="center"/>
    </xf>
    <xf numFmtId="166" fontId="2" fillId="0" borderId="0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vertical="center"/>
    </xf>
    <xf numFmtId="1" fontId="0" fillId="0" borderId="0" xfId="0" applyNumberFormat="1" applyBorder="1" applyAlignment="1">
      <alignment vertical="center"/>
    </xf>
    <xf numFmtId="1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9" xfId="0" applyBorder="1"/>
    <xf numFmtId="1" fontId="0" fillId="0" borderId="4" xfId="0" applyNumberFormat="1" applyBorder="1"/>
    <xf numFmtId="0" fontId="0" fillId="0" borderId="11" xfId="0" applyBorder="1"/>
    <xf numFmtId="0" fontId="2" fillId="0" borderId="4" xfId="0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/>
    <xf numFmtId="165" fontId="6" fillId="0" borderId="0" xfId="1" applyNumberFormat="1" applyFont="1" applyFill="1" applyBorder="1" applyAlignment="1">
      <alignment horizontal="center" vertical="center"/>
    </xf>
    <xf numFmtId="165" fontId="5" fillId="0" borderId="0" xfId="1" applyNumberFormat="1" applyFont="1" applyFill="1" applyBorder="1" applyAlignment="1">
      <alignment horizontal="center" vertical="center"/>
    </xf>
    <xf numFmtId="0" fontId="12" fillId="0" borderId="8" xfId="0" applyFont="1" applyBorder="1"/>
    <xf numFmtId="0" fontId="13" fillId="0" borderId="0" xfId="0" applyFont="1" applyBorder="1" applyAlignment="1">
      <alignment horizontal="left" vertical="center"/>
    </xf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9" xfId="0" applyFont="1" applyBorder="1"/>
    <xf numFmtId="0" fontId="12" fillId="0" borderId="0" xfId="0" applyFont="1"/>
    <xf numFmtId="0" fontId="4" fillId="0" borderId="0" xfId="0" applyFont="1" applyAlignment="1">
      <alignment vertical="center"/>
    </xf>
    <xf numFmtId="0" fontId="14" fillId="0" borderId="0" xfId="0" applyFont="1"/>
    <xf numFmtId="166" fontId="0" fillId="0" borderId="9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/>
    </xf>
    <xf numFmtId="1" fontId="0" fillId="0" borderId="0" xfId="0" applyNumberFormat="1" applyBorder="1"/>
    <xf numFmtId="0" fontId="0" fillId="0" borderId="16" xfId="0" applyBorder="1"/>
    <xf numFmtId="0" fontId="0" fillId="0" borderId="17" xfId="0" applyBorder="1"/>
    <xf numFmtId="1" fontId="0" fillId="0" borderId="17" xfId="0" applyNumberForma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2" xfId="0" applyBorder="1"/>
    <xf numFmtId="1" fontId="0" fillId="0" borderId="12" xfId="0" applyNumberFormat="1" applyBorder="1"/>
    <xf numFmtId="0" fontId="0" fillId="0" borderId="22" xfId="0" applyBorder="1"/>
    <xf numFmtId="0" fontId="2" fillId="6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vertical="center"/>
    </xf>
    <xf numFmtId="1" fontId="2" fillId="6" borderId="0" xfId="0" applyNumberFormat="1" applyFont="1" applyFill="1" applyBorder="1" applyAlignment="1">
      <alignment horizontal="center" vertical="center"/>
    </xf>
    <xf numFmtId="165" fontId="5" fillId="6" borderId="0" xfId="1" applyNumberFormat="1" applyFont="1" applyFill="1" applyBorder="1" applyAlignment="1">
      <alignment horizontal="center" vertical="center"/>
    </xf>
    <xf numFmtId="165" fontId="2" fillId="6" borderId="0" xfId="1" applyNumberFormat="1" applyFont="1" applyFill="1" applyBorder="1" applyAlignment="1">
      <alignment horizontal="center" vertical="center"/>
    </xf>
    <xf numFmtId="166" fontId="2" fillId="6" borderId="0" xfId="0" applyNumberFormat="1" applyFont="1" applyFill="1" applyBorder="1" applyAlignment="1">
      <alignment vertical="center"/>
    </xf>
    <xf numFmtId="166" fontId="2" fillId="6" borderId="0" xfId="0" applyNumberFormat="1" applyFont="1" applyFill="1" applyBorder="1" applyAlignment="1">
      <alignment horizontal="center" vertical="center"/>
    </xf>
    <xf numFmtId="0" fontId="18" fillId="7" borderId="0" xfId="0" applyFont="1" applyFill="1" applyBorder="1" applyAlignment="1">
      <alignment horizontal="center" vertical="center"/>
    </xf>
    <xf numFmtId="0" fontId="18" fillId="7" borderId="0" xfId="0" applyFont="1" applyFill="1" applyBorder="1" applyAlignment="1">
      <alignment horizontal="center"/>
    </xf>
    <xf numFmtId="0" fontId="18" fillId="7" borderId="0" xfId="0" applyFont="1" applyFill="1" applyBorder="1" applyAlignment="1">
      <alignment vertical="center"/>
    </xf>
    <xf numFmtId="1" fontId="18" fillId="7" borderId="0" xfId="0" applyNumberFormat="1" applyFont="1" applyFill="1" applyBorder="1" applyAlignment="1">
      <alignment horizontal="center" vertical="center"/>
    </xf>
    <xf numFmtId="165" fontId="21" fillId="7" borderId="0" xfId="1" applyNumberFormat="1" applyFont="1" applyFill="1" applyBorder="1" applyAlignment="1">
      <alignment horizontal="center" vertical="center"/>
    </xf>
    <xf numFmtId="166" fontId="18" fillId="7" borderId="0" xfId="0" applyNumberFormat="1" applyFont="1" applyFill="1" applyBorder="1" applyAlignment="1">
      <alignment horizontal="center" vertical="center"/>
    </xf>
    <xf numFmtId="166" fontId="18" fillId="7" borderId="0" xfId="0" applyNumberFormat="1" applyFont="1" applyFill="1" applyBorder="1" applyAlignment="1">
      <alignment vertical="center"/>
    </xf>
    <xf numFmtId="165" fontId="18" fillId="7" borderId="0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8" fillId="7" borderId="0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left" vertical="center"/>
    </xf>
    <xf numFmtId="166" fontId="0" fillId="6" borderId="0" xfId="0" applyNumberFormat="1" applyFill="1" applyBorder="1" applyAlignment="1">
      <alignment horizontal="center" vertical="center"/>
    </xf>
    <xf numFmtId="166" fontId="19" fillId="7" borderId="0" xfId="0" applyNumberFormat="1" applyFont="1" applyFill="1" applyBorder="1" applyAlignment="1">
      <alignment horizontal="center" vertical="center"/>
    </xf>
    <xf numFmtId="0" fontId="23" fillId="8" borderId="0" xfId="0" applyFont="1" applyFill="1" applyBorder="1" applyAlignment="1">
      <alignment horizontal="center"/>
    </xf>
    <xf numFmtId="0" fontId="23" fillId="8" borderId="0" xfId="0" applyFont="1" applyFill="1" applyBorder="1" applyAlignment="1">
      <alignment horizontal="center" vertical="center"/>
    </xf>
    <xf numFmtId="166" fontId="23" fillId="8" borderId="0" xfId="0" applyNumberFormat="1" applyFont="1" applyFill="1" applyBorder="1" applyAlignment="1">
      <alignment horizontal="center" vertical="center"/>
    </xf>
    <xf numFmtId="166" fontId="23" fillId="8" borderId="0" xfId="0" applyNumberFormat="1" applyFont="1" applyFill="1" applyBorder="1" applyAlignment="1">
      <alignment vertical="center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166" fontId="2" fillId="4" borderId="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Border="1" applyAlignment="1">
      <alignment vertical="center"/>
    </xf>
    <xf numFmtId="165" fontId="5" fillId="4" borderId="0" xfId="1" applyNumberFormat="1" applyFont="1" applyFill="1" applyBorder="1" applyAlignment="1">
      <alignment horizontal="center" vertical="center"/>
    </xf>
    <xf numFmtId="166" fontId="0" fillId="4" borderId="0" xfId="0" applyNumberFormat="1" applyFill="1" applyBorder="1" applyAlignment="1">
      <alignment horizontal="center" vertical="center"/>
    </xf>
    <xf numFmtId="0" fontId="23" fillId="8" borderId="0" xfId="0" applyFont="1" applyFill="1" applyBorder="1" applyAlignment="1">
      <alignment vertical="center"/>
    </xf>
    <xf numFmtId="0" fontId="22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19" fillId="0" borderId="0" xfId="0" applyFont="1" applyFill="1" applyBorder="1"/>
    <xf numFmtId="166" fontId="19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66" fontId="27" fillId="0" borderId="0" xfId="0" applyNumberFormat="1" applyFont="1" applyFill="1" applyBorder="1" applyAlignment="1">
      <alignment horizontal="center" vertical="center"/>
    </xf>
    <xf numFmtId="166" fontId="27" fillId="0" borderId="0" xfId="0" applyNumberFormat="1" applyFont="1" applyFill="1" applyBorder="1" applyAlignment="1">
      <alignment vertical="center"/>
    </xf>
    <xf numFmtId="165" fontId="0" fillId="0" borderId="4" xfId="1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vertical="center"/>
    </xf>
    <xf numFmtId="0" fontId="0" fillId="0" borderId="0" xfId="0" applyFont="1" applyFill="1" applyBorder="1"/>
    <xf numFmtId="0" fontId="0" fillId="0" borderId="0" xfId="0" applyFont="1"/>
    <xf numFmtId="0" fontId="31" fillId="0" borderId="0" xfId="0" applyFont="1"/>
    <xf numFmtId="1" fontId="0" fillId="0" borderId="0" xfId="0" applyNumberFormat="1" applyFont="1" applyFill="1" applyBorder="1"/>
    <xf numFmtId="165" fontId="27" fillId="0" borderId="0" xfId="1" applyNumberFormat="1" applyFont="1" applyFill="1" applyBorder="1" applyAlignment="1">
      <alignment horizontal="center" vertical="center"/>
    </xf>
    <xf numFmtId="165" fontId="23" fillId="8" borderId="0" xfId="1" applyNumberFormat="1" applyFont="1" applyFill="1" applyBorder="1" applyAlignment="1">
      <alignment horizontal="center" vertical="center"/>
    </xf>
    <xf numFmtId="0" fontId="18" fillId="8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/>
    </xf>
    <xf numFmtId="0" fontId="31" fillId="0" borderId="0" xfId="0" applyFont="1" applyBorder="1"/>
    <xf numFmtId="1" fontId="31" fillId="0" borderId="0" xfId="0" applyNumberFormat="1" applyFont="1" applyBorder="1" applyAlignment="1">
      <alignment horizontal="center"/>
    </xf>
    <xf numFmtId="165" fontId="0" fillId="10" borderId="0" xfId="1" applyNumberFormat="1" applyFont="1" applyFill="1" applyBorder="1" applyAlignment="1">
      <alignment horizontal="center" vertical="center"/>
    </xf>
    <xf numFmtId="166" fontId="0" fillId="0" borderId="0" xfId="0" applyNumberFormat="1"/>
    <xf numFmtId="1" fontId="2" fillId="0" borderId="0" xfId="0" applyNumberFormat="1" applyFont="1" applyAlignment="1">
      <alignment horizontal="center" vertical="center"/>
    </xf>
    <xf numFmtId="1" fontId="3" fillId="0" borderId="0" xfId="0" applyNumberFormat="1" applyFont="1"/>
    <xf numFmtId="165" fontId="0" fillId="3" borderId="0" xfId="1" applyNumberFormat="1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vertical="center"/>
    </xf>
    <xf numFmtId="0" fontId="2" fillId="10" borderId="15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vertical="center"/>
    </xf>
    <xf numFmtId="0" fontId="18" fillId="7" borderId="2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31" fillId="0" borderId="4" xfId="0" applyFont="1" applyBorder="1" applyAlignment="1">
      <alignment horizontal="center"/>
    </xf>
    <xf numFmtId="0" fontId="15" fillId="0" borderId="0" xfId="2" applyFont="1" applyAlignment="1">
      <alignment horizontal="center"/>
    </xf>
    <xf numFmtId="0" fontId="15" fillId="0" borderId="6" xfId="2" applyFont="1" applyBorder="1" applyAlignment="1">
      <alignment horizontal="center"/>
    </xf>
    <xf numFmtId="3" fontId="10" fillId="0" borderId="0" xfId="2" applyNumberFormat="1" applyFont="1" applyAlignment="1">
      <alignment horizontal="center"/>
    </xf>
    <xf numFmtId="3" fontId="10" fillId="3" borderId="0" xfId="2" applyNumberFormat="1" applyFont="1" applyFill="1" applyAlignment="1">
      <alignment horizontal="center"/>
    </xf>
    <xf numFmtId="0" fontId="2" fillId="0" borderId="8" xfId="0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/>
    </xf>
    <xf numFmtId="3" fontId="10" fillId="0" borderId="8" xfId="2" applyNumberFormat="1" applyFont="1" applyBorder="1" applyAlignment="1">
      <alignment horizontal="center"/>
    </xf>
    <xf numFmtId="0" fontId="10" fillId="0" borderId="9" xfId="2" applyFont="1" applyBorder="1" applyAlignment="1">
      <alignment horizontal="center"/>
    </xf>
    <xf numFmtId="0" fontId="15" fillId="0" borderId="0" xfId="2" applyFont="1"/>
    <xf numFmtId="3" fontId="15" fillId="0" borderId="0" xfId="2" applyNumberFormat="1" applyFont="1" applyAlignment="1">
      <alignment horizontal="center"/>
    </xf>
    <xf numFmtId="3" fontId="15" fillId="0" borderId="10" xfId="2" applyNumberFormat="1" applyFont="1" applyBorder="1" applyAlignment="1">
      <alignment horizontal="center"/>
    </xf>
    <xf numFmtId="166" fontId="15" fillId="0" borderId="4" xfId="2" applyNumberFormat="1" applyFont="1" applyBorder="1" applyAlignment="1">
      <alignment horizontal="center"/>
    </xf>
    <xf numFmtId="166" fontId="15" fillId="0" borderId="11" xfId="2" applyNumberFormat="1" applyFont="1" applyBorder="1" applyAlignment="1">
      <alignment horizontal="center"/>
    </xf>
    <xf numFmtId="0" fontId="11" fillId="0" borderId="0" xfId="2" applyFont="1"/>
    <xf numFmtId="3" fontId="11" fillId="0" borderId="0" xfId="2" applyNumberFormat="1" applyFont="1" applyAlignment="1">
      <alignment horizontal="center"/>
    </xf>
    <xf numFmtId="166" fontId="11" fillId="0" borderId="0" xfId="2" applyNumberFormat="1" applyFont="1"/>
    <xf numFmtId="0" fontId="15" fillId="0" borderId="0" xfId="2" applyFont="1" applyAlignment="1">
      <alignment horizontal="center" vertical="center"/>
    </xf>
    <xf numFmtId="0" fontId="10" fillId="0" borderId="0" xfId="2" applyFont="1"/>
    <xf numFmtId="166" fontId="0" fillId="0" borderId="9" xfId="0" applyNumberForma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/>
    </xf>
    <xf numFmtId="0" fontId="14" fillId="0" borderId="0" xfId="0" applyFont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166" fontId="3" fillId="12" borderId="2" xfId="0" applyNumberFormat="1" applyFont="1" applyFill="1" applyBorder="1" applyAlignment="1">
      <alignment horizontal="center" vertical="center"/>
    </xf>
    <xf numFmtId="166" fontId="3" fillId="12" borderId="3" xfId="0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/>
    </xf>
    <xf numFmtId="3" fontId="10" fillId="0" borderId="0" xfId="2" applyNumberFormat="1" applyFont="1" applyFill="1" applyAlignment="1">
      <alignment horizontal="center"/>
    </xf>
    <xf numFmtId="166" fontId="10" fillId="0" borderId="0" xfId="2" applyNumberFormat="1" applyFont="1" applyBorder="1" applyAlignment="1">
      <alignment horizontal="center"/>
    </xf>
    <xf numFmtId="168" fontId="16" fillId="0" borderId="0" xfId="2" applyNumberFormat="1" applyFont="1" applyBorder="1" applyAlignment="1">
      <alignment horizontal="center"/>
    </xf>
    <xf numFmtId="0" fontId="10" fillId="0" borderId="0" xfId="2" applyFont="1" applyBorder="1" applyAlignment="1">
      <alignment horizontal="center"/>
    </xf>
    <xf numFmtId="168" fontId="16" fillId="0" borderId="9" xfId="2" applyNumberFormat="1" applyFont="1" applyBorder="1" applyAlignment="1">
      <alignment horizontal="center"/>
    </xf>
    <xf numFmtId="1" fontId="0" fillId="11" borderId="0" xfId="0" applyNumberFormat="1" applyFill="1" applyBorder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166" fontId="16" fillId="0" borderId="0" xfId="0" applyNumberFormat="1" applyFont="1" applyBorder="1" applyAlignment="1">
      <alignment horizontal="center"/>
    </xf>
    <xf numFmtId="166" fontId="0" fillId="0" borderId="0" xfId="0" applyNumberFormat="1" applyBorder="1"/>
    <xf numFmtId="166" fontId="2" fillId="0" borderId="0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vertical="center"/>
    </xf>
    <xf numFmtId="165" fontId="2" fillId="0" borderId="6" xfId="1" applyNumberFormat="1" applyFont="1" applyBorder="1" applyAlignment="1">
      <alignment horizontal="center" vertical="center"/>
    </xf>
    <xf numFmtId="3" fontId="10" fillId="13" borderId="1" xfId="2" applyNumberFormat="1" applyFont="1" applyFill="1" applyBorder="1" applyAlignment="1">
      <alignment horizontal="center"/>
    </xf>
    <xf numFmtId="0" fontId="0" fillId="0" borderId="3" xfId="0" applyBorder="1"/>
    <xf numFmtId="1" fontId="0" fillId="0" borderId="0" xfId="0" applyNumberFormat="1"/>
    <xf numFmtId="0" fontId="2" fillId="6" borderId="0" xfId="0" applyFont="1" applyFill="1" applyAlignment="1">
      <alignment horizontal="center"/>
    </xf>
    <xf numFmtId="0" fontId="18" fillId="7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165" fontId="0" fillId="0" borderId="0" xfId="0" applyNumberFormat="1"/>
    <xf numFmtId="10" fontId="0" fillId="0" borderId="25" xfId="1" applyNumberFormat="1" applyFont="1" applyBorder="1"/>
    <xf numFmtId="10" fontId="0" fillId="0" borderId="26" xfId="1" applyNumberFormat="1" applyFont="1" applyBorder="1"/>
    <xf numFmtId="10" fontId="0" fillId="0" borderId="27" xfId="1" applyNumberFormat="1" applyFont="1" applyBorder="1"/>
    <xf numFmtId="10" fontId="0" fillId="0" borderId="28" xfId="1" applyNumberFormat="1" applyFont="1" applyBorder="1"/>
    <xf numFmtId="0" fontId="2" fillId="14" borderId="23" xfId="0" applyFont="1" applyFill="1" applyBorder="1"/>
    <xf numFmtId="0" fontId="2" fillId="14" borderId="24" xfId="0" applyFont="1" applyFill="1" applyBorder="1"/>
    <xf numFmtId="0" fontId="0" fillId="0" borderId="25" xfId="0" applyBorder="1"/>
    <xf numFmtId="0" fontId="0" fillId="0" borderId="26" xfId="0" applyBorder="1"/>
    <xf numFmtId="166" fontId="2" fillId="0" borderId="0" xfId="0" applyNumberFormat="1" applyFont="1" applyFill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11" borderId="0" xfId="0" applyNumberFormat="1" applyFill="1" applyAlignment="1">
      <alignment horizontal="center" vertical="center"/>
    </xf>
    <xf numFmtId="0" fontId="17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5" fontId="0" fillId="10" borderId="0" xfId="1" applyNumberFormat="1" applyFont="1" applyFill="1" applyAlignment="1">
      <alignment horizontal="center" vertical="center"/>
    </xf>
    <xf numFmtId="165" fontId="36" fillId="10" borderId="0" xfId="1" applyNumberFormat="1" applyFont="1" applyFill="1" applyBorder="1" applyAlignment="1">
      <alignment horizontal="center" vertical="center"/>
    </xf>
    <xf numFmtId="9" fontId="0" fillId="11" borderId="0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6" fontId="5" fillId="0" borderId="0" xfId="0" applyNumberFormat="1" applyFont="1" applyBorder="1" applyAlignment="1">
      <alignment horizontal="center"/>
    </xf>
    <xf numFmtId="3" fontId="16" fillId="0" borderId="8" xfId="2" applyNumberFormat="1" applyFont="1" applyBorder="1" applyAlignment="1">
      <alignment horizontal="center" wrapText="1"/>
    </xf>
    <xf numFmtId="0" fontId="15" fillId="0" borderId="7" xfId="2" applyFont="1" applyBorder="1" applyAlignment="1">
      <alignment horizontal="center"/>
    </xf>
    <xf numFmtId="9" fontId="0" fillId="11" borderId="0" xfId="0" applyNumberFormat="1" applyFill="1" applyBorder="1" applyAlignment="1">
      <alignment horizontal="center" vertical="center"/>
    </xf>
    <xf numFmtId="165" fontId="0" fillId="15" borderId="0" xfId="1" applyNumberFormat="1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3" fontId="0" fillId="0" borderId="0" xfId="0" applyNumberFormat="1"/>
    <xf numFmtId="3" fontId="3" fillId="0" borderId="0" xfId="0" applyNumberFormat="1" applyFont="1" applyAlignment="1">
      <alignment horizontal="center"/>
    </xf>
    <xf numFmtId="0" fontId="4" fillId="16" borderId="0" xfId="0" applyFont="1" applyFill="1"/>
    <xf numFmtId="0" fontId="0" fillId="16" borderId="0" xfId="0" applyFill="1"/>
    <xf numFmtId="3" fontId="10" fillId="16" borderId="0" xfId="2" applyNumberFormat="1" applyFont="1" applyFill="1" applyAlignment="1">
      <alignment horizontal="center"/>
    </xf>
    <xf numFmtId="166" fontId="0" fillId="10" borderId="0" xfId="0" applyNumberFormat="1" applyFill="1"/>
    <xf numFmtId="0" fontId="0" fillId="10" borderId="0" xfId="0" applyFill="1"/>
    <xf numFmtId="0" fontId="0" fillId="3" borderId="0" xfId="0" applyFill="1"/>
    <xf numFmtId="0" fontId="0" fillId="10" borderId="0" xfId="0" applyFill="1" applyAlignment="1">
      <alignment horizontal="center"/>
    </xf>
    <xf numFmtId="166" fontId="0" fillId="10" borderId="0" xfId="0" applyNumberFormat="1" applyFill="1" applyAlignment="1">
      <alignment horizontal="center"/>
    </xf>
    <xf numFmtId="0" fontId="14" fillId="10" borderId="0" xfId="0" applyFont="1" applyFill="1"/>
    <xf numFmtId="0" fontId="37" fillId="10" borderId="0" xfId="0" applyFont="1" applyFill="1"/>
    <xf numFmtId="0" fontId="0" fillId="10" borderId="0" xfId="0" applyFont="1" applyFill="1"/>
    <xf numFmtId="166" fontId="23" fillId="8" borderId="0" xfId="0" applyNumberFormat="1" applyFont="1" applyFill="1" applyAlignment="1">
      <alignment horizontal="center" vertical="center"/>
    </xf>
    <xf numFmtId="165" fontId="23" fillId="8" borderId="0" xfId="1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2" fontId="0" fillId="3" borderId="0" xfId="0" applyNumberForma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66" fontId="10" fillId="0" borderId="0" xfId="0" applyNumberFormat="1" applyFont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0" fontId="15" fillId="0" borderId="0" xfId="2" applyFont="1" applyAlignment="1">
      <alignment horizontal="center" wrapText="1"/>
    </xf>
    <xf numFmtId="0" fontId="15" fillId="0" borderId="0" xfId="2" applyFont="1" applyAlignment="1">
      <alignment horizontal="center" vertical="center" wrapText="1"/>
    </xf>
    <xf numFmtId="0" fontId="15" fillId="0" borderId="17" xfId="2" applyFont="1" applyBorder="1" applyAlignment="1">
      <alignment horizontal="center"/>
    </xf>
    <xf numFmtId="0" fontId="15" fillId="0" borderId="19" xfId="2" applyFont="1" applyBorder="1" applyAlignment="1">
      <alignment horizontal="center"/>
    </xf>
    <xf numFmtId="3" fontId="15" fillId="0" borderId="0" xfId="2" applyNumberFormat="1" applyFont="1" applyBorder="1" applyAlignment="1">
      <alignment horizontal="center"/>
    </xf>
    <xf numFmtId="3" fontId="15" fillId="0" borderId="20" xfId="2" applyNumberFormat="1" applyFont="1" applyBorder="1" applyAlignment="1">
      <alignment horizontal="center"/>
    </xf>
    <xf numFmtId="3" fontId="0" fillId="0" borderId="12" xfId="0" applyNumberFormat="1" applyBorder="1"/>
    <xf numFmtId="0" fontId="4" fillId="5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5" fontId="18" fillId="7" borderId="0" xfId="0" applyNumberFormat="1" applyFont="1" applyFill="1" applyBorder="1" applyAlignment="1">
      <alignment horizontal="center" vertical="center"/>
    </xf>
    <xf numFmtId="166" fontId="2" fillId="0" borderId="0" xfId="0" applyNumberFormat="1" applyFont="1"/>
    <xf numFmtId="166" fontId="2" fillId="0" borderId="0" xfId="0" applyNumberFormat="1" applyFont="1" applyBorder="1"/>
    <xf numFmtId="0" fontId="38" fillId="0" borderId="0" xfId="0" applyFont="1"/>
    <xf numFmtId="165" fontId="0" fillId="17" borderId="0" xfId="1" applyNumberFormat="1" applyFont="1" applyFill="1" applyBorder="1" applyAlignment="1">
      <alignment horizontal="center" vertical="center"/>
    </xf>
    <xf numFmtId="0" fontId="39" fillId="0" borderId="0" xfId="0" applyFont="1"/>
    <xf numFmtId="166" fontId="40" fillId="0" borderId="0" xfId="0" applyNumberFormat="1" applyFont="1"/>
    <xf numFmtId="166" fontId="40" fillId="0" borderId="0" xfId="0" applyNumberFormat="1" applyFont="1" applyBorder="1"/>
    <xf numFmtId="166" fontId="40" fillId="0" borderId="0" xfId="0" applyNumberFormat="1" applyFont="1" applyBorder="1" applyAlignment="1">
      <alignment horizontal="center"/>
    </xf>
    <xf numFmtId="166" fontId="5" fillId="18" borderId="0" xfId="0" applyNumberFormat="1" applyFont="1" applyFill="1" applyBorder="1" applyAlignment="1">
      <alignment horizontal="center"/>
    </xf>
    <xf numFmtId="165" fontId="28" fillId="19" borderId="0" xfId="1" applyNumberFormat="1" applyFont="1" applyFill="1" applyBorder="1" applyAlignment="1">
      <alignment horizontal="center" vertical="center"/>
    </xf>
    <xf numFmtId="165" fontId="0" fillId="11" borderId="0" xfId="0" applyNumberFormat="1" applyFill="1" applyAlignment="1">
      <alignment horizontal="center" vertical="center"/>
    </xf>
    <xf numFmtId="10" fontId="6" fillId="0" borderId="0" xfId="1" applyNumberFormat="1" applyFont="1" applyBorder="1" applyAlignment="1">
      <alignment horizontal="center" vertical="center"/>
    </xf>
    <xf numFmtId="10" fontId="0" fillId="0" borderId="0" xfId="1" applyNumberFormat="1" applyFont="1"/>
    <xf numFmtId="0" fontId="41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165" fontId="0" fillId="11" borderId="0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6" fillId="0" borderId="0" xfId="0" applyNumberFormat="1" applyFont="1" applyAlignment="1">
      <alignment horizontal="center"/>
    </xf>
    <xf numFmtId="43" fontId="6" fillId="0" borderId="0" xfId="20" applyFont="1"/>
    <xf numFmtId="165" fontId="0" fillId="20" borderId="0" xfId="0" applyNumberFormat="1" applyFill="1"/>
    <xf numFmtId="0" fontId="44" fillId="0" borderId="0" xfId="0" applyFont="1" applyFill="1" applyBorder="1" applyAlignment="1">
      <alignment vertical="center"/>
    </xf>
    <xf numFmtId="0" fontId="43" fillId="0" borderId="29" xfId="0" applyFont="1" applyBorder="1" applyAlignment="1">
      <alignment vertical="center"/>
    </xf>
    <xf numFmtId="9" fontId="43" fillId="0" borderId="29" xfId="0" applyNumberFormat="1" applyFont="1" applyBorder="1" applyAlignment="1">
      <alignment horizontal="right" vertical="center"/>
    </xf>
    <xf numFmtId="170" fontId="0" fillId="0" borderId="29" xfId="20" applyNumberFormat="1" applyFont="1" applyBorder="1"/>
    <xf numFmtId="0" fontId="43" fillId="16" borderId="29" xfId="0" applyFont="1" applyFill="1" applyBorder="1" applyAlignment="1">
      <alignment vertical="center"/>
    </xf>
    <xf numFmtId="9" fontId="43" fillId="16" borderId="29" xfId="0" applyNumberFormat="1" applyFont="1" applyFill="1" applyBorder="1" applyAlignment="1">
      <alignment horizontal="right" vertical="center"/>
    </xf>
    <xf numFmtId="0" fontId="42" fillId="16" borderId="29" xfId="0" applyFont="1" applyFill="1" applyBorder="1" applyAlignment="1">
      <alignment vertical="center"/>
    </xf>
    <xf numFmtId="169" fontId="0" fillId="16" borderId="29" xfId="20" applyNumberFormat="1" applyFont="1" applyFill="1" applyBorder="1"/>
    <xf numFmtId="171" fontId="0" fillId="0" borderId="0" xfId="0" applyNumberFormat="1" applyAlignment="1">
      <alignment vertical="center"/>
    </xf>
    <xf numFmtId="166" fontId="0" fillId="11" borderId="0" xfId="0" applyNumberFormat="1" applyFill="1" applyBorder="1" applyAlignment="1">
      <alignment horizontal="center" vertical="center"/>
    </xf>
    <xf numFmtId="165" fontId="1" fillId="11" borderId="0" xfId="1" applyNumberFormat="1" applyFont="1" applyFill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165" fontId="0" fillId="11" borderId="0" xfId="1" applyNumberFormat="1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 applyAlignment="1">
      <alignment horizontal="center" vertical="center"/>
    </xf>
    <xf numFmtId="10" fontId="14" fillId="0" borderId="0" xfId="1" applyNumberFormat="1" applyFont="1"/>
    <xf numFmtId="10" fontId="14" fillId="10" borderId="0" xfId="1" applyNumberFormat="1" applyFont="1" applyFill="1"/>
    <xf numFmtId="166" fontId="0" fillId="10" borderId="0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0" fillId="8" borderId="0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3" fontId="16" fillId="0" borderId="8" xfId="2" applyNumberFormat="1" applyFont="1" applyBorder="1" applyAlignment="1">
      <alignment horizontal="center" wrapText="1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</cellXfs>
  <cellStyles count="21">
    <cellStyle name="Colonne / Ligne" xfId="5" xr:uid="{00000000-0005-0000-0000-000000000000}"/>
    <cellStyle name="Milliers" xfId="20" builtinId="3"/>
    <cellStyle name="Milliers 2" xfId="3" xr:uid="{00000000-0005-0000-0000-000002000000}"/>
    <cellStyle name="Milliers 21" xfId="16" xr:uid="{00000000-0005-0000-0000-000003000000}"/>
    <cellStyle name="Normal" xfId="0" builtinId="0"/>
    <cellStyle name="Normal 10 2" xfId="2" xr:uid="{00000000-0005-0000-0000-000005000000}"/>
    <cellStyle name="Normal 119" xfId="17" xr:uid="{00000000-0005-0000-0000-000006000000}"/>
    <cellStyle name="Normal 125 5" xfId="10" xr:uid="{00000000-0005-0000-0000-000007000000}"/>
    <cellStyle name="Normal 2 10" xfId="19" xr:uid="{00000000-0005-0000-0000-000008000000}"/>
    <cellStyle name="Normal 2 2 2 2 3" xfId="15" xr:uid="{00000000-0005-0000-0000-000009000000}"/>
    <cellStyle name="Normal 2 2 2 2 9" xfId="12" xr:uid="{00000000-0005-0000-0000-00000A000000}"/>
    <cellStyle name="Normal 2 29 5" xfId="14" xr:uid="{00000000-0005-0000-0000-00000B000000}"/>
    <cellStyle name="Normal 2 53" xfId="11" xr:uid="{00000000-0005-0000-0000-00000C000000}"/>
    <cellStyle name="Normal 2 9" xfId="13" xr:uid="{00000000-0005-0000-0000-00000D000000}"/>
    <cellStyle name="Normal 267" xfId="4" xr:uid="{00000000-0005-0000-0000-00000E000000}"/>
    <cellStyle name="Normal 3" xfId="7" xr:uid="{00000000-0005-0000-0000-00000F000000}"/>
    <cellStyle name="Normal 56 7" xfId="9" xr:uid="{00000000-0005-0000-0000-000010000000}"/>
    <cellStyle name="Normal 59 3" xfId="18" xr:uid="{00000000-0005-0000-0000-000011000000}"/>
    <cellStyle name="Pourcentage" xfId="1" builtinId="5"/>
    <cellStyle name="Pourcentage 10" xfId="6" xr:uid="{00000000-0005-0000-0000-000013000000}"/>
    <cellStyle name="Pourcentage 98" xfId="8" xr:uid="{00000000-0005-0000-0000-000014000000}"/>
  </cellStyles>
  <dxfs count="0"/>
  <tableStyles count="0" defaultTableStyle="TableStyleMedium2" defaultPivotStyle="PivotStyleLight16"/>
  <colors>
    <mruColors>
      <color rgb="FFFF3300"/>
      <color rgb="FF5D497A"/>
      <color rgb="FF5D487A"/>
      <color rgb="FF60497A"/>
      <color rgb="FFE1DAEA"/>
      <color rgb="FFCCC0DA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Altarès performance in Franc</a:t>
            </a:r>
            <a:r>
              <a:rPr lang="fr-FR" sz="1100" baseline="0"/>
              <a:t>e VS market in the risk vertical</a:t>
            </a:r>
            <a:endParaRPr lang="fr-F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Analyse!$A$4</c:f>
              <c:strCache>
                <c:ptCount val="1"/>
                <c:pt idx="0">
                  <c:v>Market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Analyse!$C$3:$K$3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Analyse!$C$4:$K$4</c:f>
              <c:numCache>
                <c:formatCode>0</c:formatCode>
                <c:ptCount val="9"/>
                <c:pt idx="0">
                  <c:v>191.39999999999998</c:v>
                </c:pt>
                <c:pt idx="1">
                  <c:v>187.95479999999998</c:v>
                </c:pt>
                <c:pt idx="2">
                  <c:v>185</c:v>
                </c:pt>
                <c:pt idx="3">
                  <c:v>181.29999999999998</c:v>
                </c:pt>
                <c:pt idx="4">
                  <c:v>180.39349999999999</c:v>
                </c:pt>
                <c:pt idx="5">
                  <c:v>178.22877799999998</c:v>
                </c:pt>
                <c:pt idx="6">
                  <c:v>176.09003266399998</c:v>
                </c:pt>
                <c:pt idx="7">
                  <c:v>173.97695227203198</c:v>
                </c:pt>
                <c:pt idx="8">
                  <c:v>171.88922884476759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E-4CA1-8361-0676D1175B5E}"/>
            </c:ext>
          </c:extLst>
        </c:ser>
        <c:ser>
          <c:idx val="2"/>
          <c:order val="1"/>
          <c:tx>
            <c:strRef>
              <c:f>Analyse!$A$8</c:f>
              <c:strCache>
                <c:ptCount val="1"/>
                <c:pt idx="0">
                  <c:v>Altarès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Analyse!$C$3:$K$3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Analyse!$C$8:$K$8</c:f>
              <c:numCache>
                <c:formatCode>0</c:formatCode>
                <c:ptCount val="9"/>
                <c:pt idx="0">
                  <c:v>34.925578940511635</c:v>
                </c:pt>
                <c:pt idx="1">
                  <c:v>33.778350305764924</c:v>
                </c:pt>
                <c:pt idx="2">
                  <c:v>32.21001521893799</c:v>
                </c:pt>
                <c:pt idx="3">
                  <c:v>30.638499759156783</c:v>
                </c:pt>
                <c:pt idx="4">
                  <c:v>31.026487760361</c:v>
                </c:pt>
                <c:pt idx="5">
                  <c:v>31.367085019236665</c:v>
                </c:pt>
                <c:pt idx="6">
                  <c:v>31.871130162325827</c:v>
                </c:pt>
                <c:pt idx="7">
                  <c:v>32.706515266282146</c:v>
                </c:pt>
                <c:pt idx="8">
                  <c:v>34.032929371534429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3E-4CA1-8361-0676D1175B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794643263"/>
        <c:axId val="1762426287"/>
      </c:barChart>
      <c:lineChart>
        <c:grouping val="standard"/>
        <c:varyColors val="0"/>
        <c:ser>
          <c:idx val="3"/>
          <c:order val="2"/>
          <c:tx>
            <c:strRef>
              <c:f>Analyse!$A$12</c:f>
              <c:strCache>
                <c:ptCount val="1"/>
                <c:pt idx="0">
                  <c:v>Market share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Analyse!$C$3:$K$3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Analyse!$C$12:$K$12</c:f>
              <c:numCache>
                <c:formatCode>0.0%</c:formatCode>
                <c:ptCount val="9"/>
                <c:pt idx="0">
                  <c:v>0.18247428913537952</c:v>
                </c:pt>
                <c:pt idx="1">
                  <c:v>0.17971528423730029</c:v>
                </c:pt>
                <c:pt idx="2">
                  <c:v>0.17410819037263778</c:v>
                </c:pt>
                <c:pt idx="3">
                  <c:v>0.16899337980781459</c:v>
                </c:pt>
                <c:pt idx="4">
                  <c:v>0.17199337980781459</c:v>
                </c:pt>
                <c:pt idx="5">
                  <c:v>0.1759933798078146</c:v>
                </c:pt>
                <c:pt idx="6">
                  <c:v>0.1809933798078146</c:v>
                </c:pt>
                <c:pt idx="7">
                  <c:v>0.18799337980781464</c:v>
                </c:pt>
                <c:pt idx="8">
                  <c:v>0.19799337980781459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3E-4CA1-8361-0676D1175B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3920159"/>
        <c:axId val="1473055823"/>
      </c:lineChart>
      <c:catAx>
        <c:axId val="1794643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2426287"/>
        <c:crosses val="autoZero"/>
        <c:auto val="1"/>
        <c:lblAlgn val="ctr"/>
        <c:lblOffset val="100"/>
        <c:noMultiLvlLbl val="0"/>
      </c:catAx>
      <c:valAx>
        <c:axId val="1762426287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m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4643263"/>
        <c:crosses val="autoZero"/>
        <c:crossBetween val="between"/>
      </c:valAx>
      <c:valAx>
        <c:axId val="1473055823"/>
        <c:scaling>
          <c:orientation val="minMax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3920159"/>
        <c:crosses val="max"/>
        <c:crossBetween val="between"/>
      </c:valAx>
      <c:catAx>
        <c:axId val="176392015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305582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Altarès performance in Benelux</a:t>
            </a:r>
            <a:r>
              <a:rPr lang="fr-FR" sz="1100" baseline="0"/>
              <a:t> VS market in the risk vertical</a:t>
            </a:r>
            <a:endParaRPr lang="fr-F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Analyse!$A$4</c:f>
              <c:strCache>
                <c:ptCount val="1"/>
                <c:pt idx="0">
                  <c:v>Market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Analyse!$C$3:$K$3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Analyse!$C$19:$K$19</c:f>
              <c:numCache>
                <c:formatCode>0</c:formatCode>
                <c:ptCount val="9"/>
                <c:pt idx="0">
                  <c:v>148.83921568627451</c:v>
                </c:pt>
                <c:pt idx="1">
                  <c:v>153.83859008712869</c:v>
                </c:pt>
                <c:pt idx="2">
                  <c:v>156.33697598800001</c:v>
                </c:pt>
                <c:pt idx="3">
                  <c:v>156.29697598800001</c:v>
                </c:pt>
                <c:pt idx="4">
                  <c:v>159.18594574787997</c:v>
                </c:pt>
                <c:pt idx="5">
                  <c:v>161.31837547661937</c:v>
                </c:pt>
                <c:pt idx="6">
                  <c:v>163.48588431800246</c:v>
                </c:pt>
                <c:pt idx="7">
                  <c:v>165.68908717294445</c:v>
                </c:pt>
                <c:pt idx="8">
                  <c:v>167.92860992796153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A-4C26-9360-346467FFE70E}"/>
            </c:ext>
          </c:extLst>
        </c:ser>
        <c:ser>
          <c:idx val="2"/>
          <c:order val="1"/>
          <c:tx>
            <c:strRef>
              <c:f>Analyse!$A$8</c:f>
              <c:strCache>
                <c:ptCount val="1"/>
                <c:pt idx="0">
                  <c:v>Altarès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Analyse!$C$3:$K$3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Analyse!$C$23:$K$23</c:f>
              <c:numCache>
                <c:formatCode>0.0</c:formatCode>
                <c:ptCount val="9"/>
                <c:pt idx="0">
                  <c:v>37.344589440983867</c:v>
                </c:pt>
                <c:pt idx="1">
                  <c:v>33.53180832796324</c:v>
                </c:pt>
                <c:pt idx="2">
                  <c:v>32.72298943184478</c:v>
                </c:pt>
                <c:pt idx="3">
                  <c:v>32.005029828895331</c:v>
                </c:pt>
                <c:pt idx="4">
                  <c:v>32.914977870570951</c:v>
                </c:pt>
                <c:pt idx="5">
                  <c:v>33.678538454355326</c:v>
                </c:pt>
                <c:pt idx="6">
                  <c:v>34.621508287952118</c:v>
                </c:pt>
                <c:pt idx="7">
                  <c:v>36.082216461801387</c:v>
                </c:pt>
                <c:pt idx="8">
                  <c:v>38.249204836447575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A-4C26-9360-346467FFE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4643263"/>
        <c:axId val="1762426287"/>
      </c:barChart>
      <c:lineChart>
        <c:grouping val="standard"/>
        <c:varyColors val="0"/>
        <c:ser>
          <c:idx val="3"/>
          <c:order val="2"/>
          <c:tx>
            <c:strRef>
              <c:f>Analyse!$A$12</c:f>
              <c:strCache>
                <c:ptCount val="1"/>
                <c:pt idx="0">
                  <c:v>Market share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Analyse!$C$3:$K$3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Analyse!$C$27:$K$27</c:f>
              <c:numCache>
                <c:formatCode>0.0%</c:formatCode>
                <c:ptCount val="9"/>
                <c:pt idx="0">
                  <c:v>0.25090557800102453</c:v>
                </c:pt>
                <c:pt idx="1">
                  <c:v>0.2179674703789993</c:v>
                </c:pt>
                <c:pt idx="2">
                  <c:v>0.20931062037656725</c:v>
                </c:pt>
                <c:pt idx="3">
                  <c:v>0.20477062736871235</c:v>
                </c:pt>
                <c:pt idx="4">
                  <c:v>0.20677062736871235</c:v>
                </c:pt>
                <c:pt idx="5">
                  <c:v>0.20877062736871235</c:v>
                </c:pt>
                <c:pt idx="6">
                  <c:v>0.21177062736871238</c:v>
                </c:pt>
                <c:pt idx="7">
                  <c:v>0.21777062736871236</c:v>
                </c:pt>
                <c:pt idx="8">
                  <c:v>0.22777062736871234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8A-4C26-9360-346467FFE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920159"/>
        <c:axId val="1473055823"/>
      </c:lineChart>
      <c:catAx>
        <c:axId val="1794643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2426287"/>
        <c:crosses val="autoZero"/>
        <c:auto val="1"/>
        <c:lblAlgn val="ctr"/>
        <c:lblOffset val="100"/>
        <c:noMultiLvlLbl val="0"/>
      </c:catAx>
      <c:valAx>
        <c:axId val="1762426287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m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4643263"/>
        <c:crosses val="autoZero"/>
        <c:crossBetween val="between"/>
      </c:valAx>
      <c:valAx>
        <c:axId val="1473055823"/>
        <c:scaling>
          <c:orientation val="minMax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3920159"/>
        <c:crosses val="max"/>
        <c:crossBetween val="between"/>
      </c:valAx>
      <c:catAx>
        <c:axId val="176392015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47305582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Altarès performance in Franc</a:t>
            </a:r>
            <a:r>
              <a:rPr lang="fr-FR" sz="1100" baseline="0"/>
              <a:t>e VS market in B2B marketing</a:t>
            </a:r>
            <a:endParaRPr lang="fr-F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Analyse!$A$4</c:f>
              <c:strCache>
                <c:ptCount val="1"/>
                <c:pt idx="0">
                  <c:v>Market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Analyse!$C$3:$K$3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Analyse!$C$5:$K$5</c:f>
              <c:numCache>
                <c:formatCode>0</c:formatCode>
                <c:ptCount val="9"/>
                <c:pt idx="0">
                  <c:v>69.3</c:v>
                </c:pt>
                <c:pt idx="1">
                  <c:v>76.923000000000002</c:v>
                </c:pt>
                <c:pt idx="2">
                  <c:v>85</c:v>
                </c:pt>
                <c:pt idx="3">
                  <c:v>76.5</c:v>
                </c:pt>
                <c:pt idx="4">
                  <c:v>81.855000000000004</c:v>
                </c:pt>
                <c:pt idx="5">
                  <c:v>86.766300000000015</c:v>
                </c:pt>
                <c:pt idx="6">
                  <c:v>91.972278000000017</c:v>
                </c:pt>
                <c:pt idx="7">
                  <c:v>97.490614680000022</c:v>
                </c:pt>
                <c:pt idx="8">
                  <c:v>103.34005156080003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E-4CA1-8361-0676D1175B5E}"/>
            </c:ext>
          </c:extLst>
        </c:ser>
        <c:ser>
          <c:idx val="2"/>
          <c:order val="1"/>
          <c:tx>
            <c:strRef>
              <c:f>Analyse!$A$8</c:f>
              <c:strCache>
                <c:ptCount val="1"/>
                <c:pt idx="0">
                  <c:v>Altarès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Analyse!$C$3:$K$3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Analyse!$C$9:$K$9</c:f>
              <c:numCache>
                <c:formatCode>0</c:formatCode>
                <c:ptCount val="9"/>
                <c:pt idx="0">
                  <c:v>12.980745384754849</c:v>
                </c:pt>
                <c:pt idx="1">
                  <c:v>13.904125617201236</c:v>
                </c:pt>
                <c:pt idx="2">
                  <c:v>14.438020163143564</c:v>
                </c:pt>
                <c:pt idx="3">
                  <c:v>13.146535753353062</c:v>
                </c:pt>
                <c:pt idx="4">
                  <c:v>14.148648256087776</c:v>
                </c:pt>
                <c:pt idx="5">
                  <c:v>15.257866051453046</c:v>
                </c:pt>
                <c:pt idx="6">
                  <c:v>16.541227126540228</c:v>
                </c:pt>
                <c:pt idx="7">
                  <c:v>18.313625671572645</c:v>
                </c:pt>
                <c:pt idx="8">
                  <c:v>20.445843727475008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3E-4CA1-8361-0676D1175B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794643263"/>
        <c:axId val="1762426287"/>
      </c:barChart>
      <c:lineChart>
        <c:grouping val="standard"/>
        <c:varyColors val="0"/>
        <c:ser>
          <c:idx val="3"/>
          <c:order val="2"/>
          <c:tx>
            <c:strRef>
              <c:f>Analyse!$A$12</c:f>
              <c:strCache>
                <c:ptCount val="1"/>
                <c:pt idx="0">
                  <c:v>Market share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Analyse!$C$3:$K$3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Analyse!$C$13:$K$13</c:f>
              <c:numCache>
                <c:formatCode>0.0%</c:formatCode>
                <c:ptCount val="9"/>
                <c:pt idx="0">
                  <c:v>0.18731234321435569</c:v>
                </c:pt>
                <c:pt idx="1">
                  <c:v>0.18075381377742986</c:v>
                </c:pt>
                <c:pt idx="2">
                  <c:v>0.16985906074286547</c:v>
                </c:pt>
                <c:pt idx="3">
                  <c:v>0.17185014056670669</c:v>
                </c:pt>
                <c:pt idx="4">
                  <c:v>0.17285014056670669</c:v>
                </c:pt>
                <c:pt idx="5">
                  <c:v>0.1758501405667067</c:v>
                </c:pt>
                <c:pt idx="6">
                  <c:v>0.1798501405667067</c:v>
                </c:pt>
                <c:pt idx="7">
                  <c:v>0.18785014056670671</c:v>
                </c:pt>
                <c:pt idx="8">
                  <c:v>0.19785014056670674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3E-4CA1-8361-0676D1175B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3920159"/>
        <c:axId val="1473055823"/>
      </c:lineChart>
      <c:catAx>
        <c:axId val="1794643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2426287"/>
        <c:crosses val="autoZero"/>
        <c:auto val="1"/>
        <c:lblAlgn val="ctr"/>
        <c:lblOffset val="100"/>
        <c:noMultiLvlLbl val="0"/>
      </c:catAx>
      <c:valAx>
        <c:axId val="1762426287"/>
        <c:scaling>
          <c:orientation val="minMax"/>
          <c:max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m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4643263"/>
        <c:crosses val="autoZero"/>
        <c:crossBetween val="between"/>
      </c:valAx>
      <c:valAx>
        <c:axId val="1473055823"/>
        <c:scaling>
          <c:orientation val="minMax"/>
          <c:max val="0.19000000000000003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3920159"/>
        <c:crosses val="max"/>
        <c:crossBetween val="between"/>
      </c:valAx>
      <c:catAx>
        <c:axId val="176392015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305582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Altarès performance in Franc</a:t>
            </a:r>
            <a:r>
              <a:rPr lang="fr-FR" sz="1100" baseline="0"/>
              <a:t>e VS market in compliance </a:t>
            </a:r>
          </a:p>
          <a:p>
            <a:pPr>
              <a:defRPr sz="1100"/>
            </a:pPr>
            <a:r>
              <a:rPr lang="fr-FR" sz="1100" i="1" baseline="0"/>
              <a:t>(Calcul de la PdM retraitée du contrat CDC 2017)</a:t>
            </a:r>
          </a:p>
        </c:rich>
      </c:tx>
      <c:layout>
        <c:manualLayout>
          <c:xMode val="edge"/>
          <c:yMode val="edge"/>
          <c:x val="0.16515729938799262"/>
          <c:y val="4.59676923132607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97738615439149"/>
          <c:y val="0.23470307404417967"/>
          <c:w val="0.81227214409621473"/>
          <c:h val="0.5888251454135463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Analyse!$A$4</c:f>
              <c:strCache>
                <c:ptCount val="1"/>
                <c:pt idx="0">
                  <c:v>Market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Analyse!$C$3:$K$3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Analyse!$C$6:$K$6</c:f>
              <c:numCache>
                <c:formatCode>0</c:formatCode>
                <c:ptCount val="9"/>
                <c:pt idx="0">
                  <c:v>8.8000000000000007</c:v>
                </c:pt>
                <c:pt idx="1">
                  <c:v>12.6</c:v>
                </c:pt>
                <c:pt idx="2">
                  <c:v>16.5</c:v>
                </c:pt>
                <c:pt idx="3">
                  <c:v>20.179500000000001</c:v>
                </c:pt>
                <c:pt idx="4">
                  <c:v>23.589835500000003</c:v>
                </c:pt>
                <c:pt idx="5">
                  <c:v>26.727283621500003</c:v>
                </c:pt>
                <c:pt idx="6">
                  <c:v>29.560375685379007</c:v>
                </c:pt>
                <c:pt idx="7">
                  <c:v>32.073007618636225</c:v>
                </c:pt>
                <c:pt idx="8">
                  <c:v>34.253972136703489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E-4CA1-8361-0676D1175B5E}"/>
            </c:ext>
          </c:extLst>
        </c:ser>
        <c:ser>
          <c:idx val="2"/>
          <c:order val="1"/>
          <c:tx>
            <c:strRef>
              <c:f>Analyse!$A$8</c:f>
              <c:strCache>
                <c:ptCount val="1"/>
                <c:pt idx="0">
                  <c:v>Altarès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Analyse!$C$3:$K$3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Analyse!$C$10:$K$10</c:f>
              <c:numCache>
                <c:formatCode>0.0</c:formatCode>
                <c:ptCount val="9"/>
                <c:pt idx="0">
                  <c:v>2.3074362147335146</c:v>
                </c:pt>
                <c:pt idx="1">
                  <c:v>1.7021529270338434</c:v>
                </c:pt>
                <c:pt idx="2">
                  <c:v>2.8405099779184404</c:v>
                </c:pt>
                <c:pt idx="3">
                  <c:v>4.2951769055423004</c:v>
                </c:pt>
                <c:pt idx="4">
                  <c:v>5.3277296640789498</c:v>
                </c:pt>
                <c:pt idx="5">
                  <c:v>6.3837723964809499</c:v>
                </c:pt>
                <c:pt idx="6">
                  <c:v>7.4447371544178589</c:v>
                </c:pt>
                <c:pt idx="7">
                  <c:v>8.558634926822922</c:v>
                </c:pt>
                <c:pt idx="8">
                  <c:v>9.7571936003075432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3E-4CA1-8361-0676D1175B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794643263"/>
        <c:axId val="1762426287"/>
      </c:barChart>
      <c:lineChart>
        <c:grouping val="standard"/>
        <c:varyColors val="0"/>
        <c:ser>
          <c:idx val="3"/>
          <c:order val="2"/>
          <c:tx>
            <c:strRef>
              <c:f>Analyse!$A$12</c:f>
              <c:strCache>
                <c:ptCount val="1"/>
                <c:pt idx="0">
                  <c:v>Market share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Analyse!$C$3:$K$3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Analyse!$C$14:$K$14</c:f>
              <c:numCache>
                <c:formatCode>0.0%</c:formatCode>
                <c:ptCount val="9"/>
                <c:pt idx="0">
                  <c:v>0.10982919144699027</c:v>
                </c:pt>
                <c:pt idx="1">
                  <c:v>0.13509150214554314</c:v>
                </c:pt>
                <c:pt idx="2">
                  <c:v>0.17215211987384488</c:v>
                </c:pt>
                <c:pt idx="3">
                  <c:v>0.2128485297228524</c:v>
                </c:pt>
                <c:pt idx="4">
                  <c:v>0.22584852972285241</c:v>
                </c:pt>
                <c:pt idx="5">
                  <c:v>0.23884852972285239</c:v>
                </c:pt>
                <c:pt idx="6">
                  <c:v>0.25184852972285243</c:v>
                </c:pt>
                <c:pt idx="7">
                  <c:v>0.26684852972285245</c:v>
                </c:pt>
                <c:pt idx="8">
                  <c:v>0.28484852972285246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3E-4CA1-8361-0676D1175B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3920159"/>
        <c:axId val="1473055823"/>
      </c:lineChart>
      <c:catAx>
        <c:axId val="1794643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2426287"/>
        <c:crosses val="autoZero"/>
        <c:auto val="1"/>
        <c:lblAlgn val="ctr"/>
        <c:lblOffset val="100"/>
        <c:noMultiLvlLbl val="0"/>
      </c:catAx>
      <c:valAx>
        <c:axId val="1762426287"/>
        <c:scaling>
          <c:orientation val="minMax"/>
          <c:max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m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4643263"/>
        <c:crosses val="autoZero"/>
        <c:crossBetween val="between"/>
      </c:valAx>
      <c:valAx>
        <c:axId val="1473055823"/>
        <c:scaling>
          <c:orientation val="minMax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3920159"/>
        <c:crosses val="max"/>
        <c:crossBetween val="between"/>
      </c:valAx>
      <c:catAx>
        <c:axId val="176392015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305582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Altarès performance in Benelux</a:t>
            </a:r>
            <a:r>
              <a:rPr lang="fr-FR" sz="1100" baseline="0"/>
              <a:t> VS market in B2B marketing</a:t>
            </a:r>
            <a:endParaRPr lang="fr-F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Analyse!$A$4</c:f>
              <c:strCache>
                <c:ptCount val="1"/>
                <c:pt idx="0">
                  <c:v>Market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Analyse!$C$3:$K$3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Analyse!$C$20:$K$20</c:f>
              <c:numCache>
                <c:formatCode>0</c:formatCode>
                <c:ptCount val="9"/>
                <c:pt idx="0">
                  <c:v>55.700263754784906</c:v>
                </c:pt>
                <c:pt idx="1">
                  <c:v>58.279647944832597</c:v>
                </c:pt>
                <c:pt idx="2">
                  <c:v>61</c:v>
                </c:pt>
                <c:pt idx="3">
                  <c:v>54.97</c:v>
                </c:pt>
                <c:pt idx="4">
                  <c:v>58.097900000000003</c:v>
                </c:pt>
                <c:pt idx="5">
                  <c:v>60.854352999999996</c:v>
                </c:pt>
                <c:pt idx="6">
                  <c:v>63.359532110000004</c:v>
                </c:pt>
                <c:pt idx="7">
                  <c:v>66.008490496900009</c:v>
                </c:pt>
                <c:pt idx="8">
                  <c:v>68.721721162309606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A-4C26-9360-346467FFE70E}"/>
            </c:ext>
          </c:extLst>
        </c:ser>
        <c:ser>
          <c:idx val="2"/>
          <c:order val="1"/>
          <c:tx>
            <c:strRef>
              <c:f>Analyse!$A$8</c:f>
              <c:strCache>
                <c:ptCount val="1"/>
                <c:pt idx="0">
                  <c:v>Altarès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Analyse!$C$3:$K$3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Analyse!$C$24:$K$24</c:f>
              <c:numCache>
                <c:formatCode>0.0</c:formatCode>
                <c:ptCount val="9"/>
                <c:pt idx="0">
                  <c:v>4.775482785605015</c:v>
                </c:pt>
                <c:pt idx="1">
                  <c:v>5.678756300534566</c:v>
                </c:pt>
                <c:pt idx="2">
                  <c:v>6.3538663968900622</c:v>
                </c:pt>
                <c:pt idx="3">
                  <c:v>5.9639701711046671</c:v>
                </c:pt>
                <c:pt idx="4">
                  <c:v>6.4195274828055648</c:v>
                </c:pt>
                <c:pt idx="5">
                  <c:v>6.9066648170988509</c:v>
                </c:pt>
                <c:pt idx="6">
                  <c:v>7.4444282495901168</c:v>
                </c:pt>
                <c:pt idx="7">
                  <c:v>8.2177270497542505</c:v>
                </c:pt>
                <c:pt idx="8">
                  <c:v>9.2427279141092065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A-4C26-9360-346467FFE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4643263"/>
        <c:axId val="1762426287"/>
      </c:barChart>
      <c:lineChart>
        <c:grouping val="standard"/>
        <c:varyColors val="0"/>
        <c:ser>
          <c:idx val="3"/>
          <c:order val="2"/>
          <c:tx>
            <c:strRef>
              <c:f>Analyse!$A$12</c:f>
              <c:strCache>
                <c:ptCount val="1"/>
                <c:pt idx="0">
                  <c:v>Market share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Analyse!$C$3:$K$3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Analyse!$C$28:$K$28</c:f>
              <c:numCache>
                <c:formatCode>0.0%</c:formatCode>
                <c:ptCount val="9"/>
                <c:pt idx="0">
                  <c:v>8.5735371139867886E-2</c:v>
                </c:pt>
                <c:pt idx="1">
                  <c:v>9.743978388321882E-2</c:v>
                </c:pt>
                <c:pt idx="2">
                  <c:v>0.1041617442113125</c:v>
                </c:pt>
                <c:pt idx="3">
                  <c:v>0.10849500038393065</c:v>
                </c:pt>
                <c:pt idx="4">
                  <c:v>0.11049500038393065</c:v>
                </c:pt>
                <c:pt idx="5">
                  <c:v>0.11349500038393065</c:v>
                </c:pt>
                <c:pt idx="6">
                  <c:v>0.11749500038393065</c:v>
                </c:pt>
                <c:pt idx="7">
                  <c:v>0.12449500038393067</c:v>
                </c:pt>
                <c:pt idx="8">
                  <c:v>0.13449500038393067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8A-4C26-9360-346467FFE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920159"/>
        <c:axId val="1473055823"/>
      </c:lineChart>
      <c:catAx>
        <c:axId val="1794643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2426287"/>
        <c:crosses val="autoZero"/>
        <c:auto val="1"/>
        <c:lblAlgn val="ctr"/>
        <c:lblOffset val="100"/>
        <c:noMultiLvlLbl val="0"/>
      </c:catAx>
      <c:valAx>
        <c:axId val="1762426287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m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4643263"/>
        <c:crosses val="autoZero"/>
        <c:crossBetween val="between"/>
      </c:valAx>
      <c:valAx>
        <c:axId val="1473055823"/>
        <c:scaling>
          <c:orientation val="minMax"/>
          <c:max val="0.12000000000000001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3920159"/>
        <c:crosses val="max"/>
        <c:crossBetween val="between"/>
      </c:valAx>
      <c:catAx>
        <c:axId val="176392015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47305582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Altarès performance in Benelux</a:t>
            </a:r>
            <a:r>
              <a:rPr lang="fr-FR" sz="1100" baseline="0"/>
              <a:t> VS market in compliance</a:t>
            </a:r>
          </a:p>
          <a:p>
            <a:pPr>
              <a:defRPr sz="1100"/>
            </a:pPr>
            <a:r>
              <a:rPr lang="fr-FR" sz="1100" i="1" baseline="0"/>
              <a:t>(</a:t>
            </a:r>
            <a:r>
              <a:rPr lang="fr-FR" sz="1100" b="0" i="1" u="none" strike="noStrike" baseline="0">
                <a:effectLst/>
              </a:rPr>
              <a:t>Calcul de la PdM retraité</a:t>
            </a:r>
            <a:r>
              <a:rPr lang="fr-FR" sz="1100" i="1" baseline="0"/>
              <a:t> du BPO des contrats clés 2017-2019)</a:t>
            </a:r>
            <a:endParaRPr lang="fr-FR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Analyse!$A$4</c:f>
              <c:strCache>
                <c:ptCount val="1"/>
                <c:pt idx="0">
                  <c:v>Market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Analyse!$C$3:$K$3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Analyse!$C$21:$K$21</c:f>
              <c:numCache>
                <c:formatCode>0</c:formatCode>
                <c:ptCount val="9"/>
                <c:pt idx="0">
                  <c:v>12.226446280991734</c:v>
                </c:pt>
                <c:pt idx="1">
                  <c:v>14.109090909090909</c:v>
                </c:pt>
                <c:pt idx="2">
                  <c:v>16.2</c:v>
                </c:pt>
                <c:pt idx="3">
                  <c:v>18.343800000000002</c:v>
                </c:pt>
                <c:pt idx="4">
                  <c:v>20.575689000000004</c:v>
                </c:pt>
                <c:pt idx="5">
                  <c:v>22.897205751000005</c:v>
                </c:pt>
                <c:pt idx="6">
                  <c:v>25.305410614294011</c:v>
                </c:pt>
                <c:pt idx="7">
                  <c:v>27.816983041872152</c:v>
                </c:pt>
                <c:pt idx="8">
                  <c:v>30.255766523008798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A-4C26-9360-346467FFE70E}"/>
            </c:ext>
          </c:extLst>
        </c:ser>
        <c:ser>
          <c:idx val="2"/>
          <c:order val="1"/>
          <c:tx>
            <c:strRef>
              <c:f>Analyse!$A$8</c:f>
              <c:strCache>
                <c:ptCount val="1"/>
                <c:pt idx="0">
                  <c:v>Altarès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Analyse!$C$3:$K$3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Analyse!$C$25:$K$25</c:f>
              <c:numCache>
                <c:formatCode>0.0</c:formatCode>
                <c:ptCount val="9"/>
                <c:pt idx="0">
                  <c:v>4.8596115996666667</c:v>
                </c:pt>
                <c:pt idx="1">
                  <c:v>5.909652204056278</c:v>
                </c:pt>
                <c:pt idx="2">
                  <c:v>7.1953892985187142</c:v>
                </c:pt>
                <c:pt idx="3">
                  <c:v>6.6740000000000004</c:v>
                </c:pt>
                <c:pt idx="4">
                  <c:v>7.8152361870523679</c:v>
                </c:pt>
                <c:pt idx="5">
                  <c:v>9.0633700538350972</c:v>
                </c:pt>
                <c:pt idx="6">
                  <c:v>10.421493104954786</c:v>
                </c:pt>
                <c:pt idx="7">
                  <c:v>11.928719300280308</c:v>
                </c:pt>
                <c:pt idx="8">
                  <c:v>13.549399093422373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A-4C26-9360-346467FFE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4643263"/>
        <c:axId val="1762426287"/>
      </c:barChart>
      <c:lineChart>
        <c:grouping val="standard"/>
        <c:varyColors val="0"/>
        <c:ser>
          <c:idx val="3"/>
          <c:order val="2"/>
          <c:tx>
            <c:strRef>
              <c:f>Analyse!$A$12</c:f>
              <c:strCache>
                <c:ptCount val="1"/>
                <c:pt idx="0">
                  <c:v>Market share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Analyse!$C$3:$K$3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Analyse!$C$29:$K$29</c:f>
              <c:numCache>
                <c:formatCode>0.0%</c:formatCode>
                <c:ptCount val="9"/>
                <c:pt idx="0">
                  <c:v>0.33858699286174582</c:v>
                </c:pt>
                <c:pt idx="1">
                  <c:v>0.3517778718725455</c:v>
                </c:pt>
                <c:pt idx="2">
                  <c:v>0.39902814064930336</c:v>
                </c:pt>
                <c:pt idx="3">
                  <c:v>0.36382865055223018</c:v>
                </c:pt>
                <c:pt idx="4">
                  <c:v>0.3798286505522302</c:v>
                </c:pt>
                <c:pt idx="5">
                  <c:v>0.39582865055223021</c:v>
                </c:pt>
                <c:pt idx="6">
                  <c:v>0.41182865055223022</c:v>
                </c:pt>
                <c:pt idx="7">
                  <c:v>0.42882865055223024</c:v>
                </c:pt>
                <c:pt idx="8">
                  <c:v>0.44782865055223026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8A-4C26-9360-346467FFE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920159"/>
        <c:axId val="1473055823"/>
      </c:lineChart>
      <c:catAx>
        <c:axId val="1794643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2426287"/>
        <c:crosses val="autoZero"/>
        <c:auto val="1"/>
        <c:lblAlgn val="ctr"/>
        <c:lblOffset val="100"/>
        <c:noMultiLvlLbl val="0"/>
      </c:catAx>
      <c:valAx>
        <c:axId val="1762426287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m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4643263"/>
        <c:crosses val="autoZero"/>
        <c:crossBetween val="between"/>
      </c:valAx>
      <c:valAx>
        <c:axId val="1473055823"/>
        <c:scaling>
          <c:orientation val="minMax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3920159"/>
        <c:crosses val="max"/>
        <c:crossBetween val="between"/>
      </c:valAx>
      <c:catAx>
        <c:axId val="176392015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47305582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568325</xdr:colOff>
      <xdr:row>0</xdr:row>
      <xdr:rowOff>144462</xdr:rowOff>
    </xdr:from>
    <xdr:to>
      <xdr:col>21</xdr:col>
      <xdr:colOff>352425</xdr:colOff>
      <xdr:row>14</xdr:row>
      <xdr:rowOff>173037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0EC7F2-D339-447B-8CA5-1C6289031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606425</xdr:colOff>
      <xdr:row>17</xdr:row>
      <xdr:rowOff>47625</xdr:rowOff>
    </xdr:from>
    <xdr:to>
      <xdr:col>21</xdr:col>
      <xdr:colOff>387350</xdr:colOff>
      <xdr:row>31</xdr:row>
      <xdr:rowOff>82550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F93DD9-B500-45B1-994D-E5D6E83E3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14143</xdr:colOff>
      <xdr:row>0</xdr:row>
      <xdr:rowOff>141287</xdr:rowOff>
    </xdr:from>
    <xdr:to>
      <xdr:col>29</xdr:col>
      <xdr:colOff>89478</xdr:colOff>
      <xdr:row>14</xdr:row>
      <xdr:rowOff>173037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D58078-CD7C-47FF-93CA-90E20365B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62922</xdr:colOff>
      <xdr:row>0</xdr:row>
      <xdr:rowOff>144462</xdr:rowOff>
    </xdr:from>
    <xdr:to>
      <xdr:col>37</xdr:col>
      <xdr:colOff>138257</xdr:colOff>
      <xdr:row>14</xdr:row>
      <xdr:rowOff>173037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AF4CFF-25DF-4D3C-AF6D-23B4F4D61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1195243</xdr:colOff>
      <xdr:row>17</xdr:row>
      <xdr:rowOff>44450</xdr:rowOff>
    </xdr:from>
    <xdr:to>
      <xdr:col>29</xdr:col>
      <xdr:colOff>61481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75CD47-1A29-4FAD-8FE4-4130B0B53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66387</xdr:colOff>
      <xdr:row>17</xdr:row>
      <xdr:rowOff>47625</xdr:rowOff>
    </xdr:from>
    <xdr:to>
      <xdr:col>37</xdr:col>
      <xdr:colOff>151247</xdr:colOff>
      <xdr:row>31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83AD92-A78F-47D0-89AA-449F9836C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</xdr:row>
      <xdr:rowOff>142875</xdr:rowOff>
    </xdr:from>
    <xdr:to>
      <xdr:col>10</xdr:col>
      <xdr:colOff>458007</xdr:colOff>
      <xdr:row>26</xdr:row>
      <xdr:rowOff>84925</xdr:rowOff>
    </xdr:to>
    <xdr:pic>
      <xdr:nvPicPr>
        <xdr:cNvPr id="6" name="Image 2">
          <a:extLst>
            <a:ext uri="{FF2B5EF4-FFF2-40B4-BE49-F238E27FC236}">
              <a16:creationId xmlns:a16="http://schemas.microsoft.com/office/drawing/2014/main" id="{608BBC3D-5802-418B-AF82-7F02D937C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333375"/>
          <a:ext cx="6258732" cy="4704550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1</xdr:row>
      <xdr:rowOff>114300</xdr:rowOff>
    </xdr:from>
    <xdr:to>
      <xdr:col>19</xdr:col>
      <xdr:colOff>199406</xdr:colOff>
      <xdr:row>16</xdr:row>
      <xdr:rowOff>85371</xdr:rowOff>
    </xdr:to>
    <xdr:pic>
      <xdr:nvPicPr>
        <xdr:cNvPr id="7" name="Image 3">
          <a:extLst>
            <a:ext uri="{FF2B5EF4-FFF2-40B4-BE49-F238E27FC236}">
              <a16:creationId xmlns:a16="http://schemas.microsoft.com/office/drawing/2014/main" id="{01F3931A-987E-4843-87CD-6FAE02797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9425" y="304800"/>
          <a:ext cx="4952381" cy="2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AH45"/>
  <sheetViews>
    <sheetView showGridLines="0" tabSelected="1" topLeftCell="A10" zoomScale="76" zoomScaleNormal="106" workbookViewId="0">
      <selection activeCell="H36" sqref="H36"/>
    </sheetView>
  </sheetViews>
  <sheetFormatPr baseColWidth="10" defaultColWidth="11.3984375" defaultRowHeight="14.25" x14ac:dyDescent="0.45"/>
  <cols>
    <col min="1" max="1" width="2.59765625" customWidth="1"/>
    <col min="2" max="2" width="20.3984375" customWidth="1"/>
    <col min="3" max="3" width="3.3984375" customWidth="1"/>
    <col min="4" max="4" width="9.59765625" customWidth="1"/>
    <col min="5" max="5" width="3.3984375" customWidth="1"/>
    <col min="6" max="6" width="9.59765625" customWidth="1"/>
    <col min="7" max="7" width="3.59765625" customWidth="1"/>
    <col min="8" max="8" width="9.59765625" customWidth="1"/>
    <col min="9" max="9" width="8" style="2" customWidth="1"/>
    <col min="10" max="21" width="9.59765625" customWidth="1"/>
    <col min="22" max="22" width="2.59765625" customWidth="1"/>
    <col min="23" max="23" width="17.73046875" customWidth="1"/>
  </cols>
  <sheetData>
    <row r="1" spans="1:34" s="63" customFormat="1" ht="29.65" customHeight="1" thickBot="1" x14ac:dyDescent="0.5">
      <c r="B1" s="300" t="s">
        <v>84</v>
      </c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2"/>
      <c r="T1" s="256"/>
      <c r="U1" s="25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4" x14ac:dyDescent="0.45">
      <c r="H2" s="271"/>
      <c r="J2" s="271"/>
      <c r="L2" s="271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4" s="215" customFormat="1" ht="22.5" customHeight="1" thickBot="1" x14ac:dyDescent="0.5">
      <c r="D3" s="304" t="s">
        <v>49</v>
      </c>
      <c r="E3" s="304"/>
      <c r="F3" s="304"/>
      <c r="G3" s="304"/>
      <c r="H3" s="304"/>
      <c r="I3" s="304"/>
      <c r="J3" s="303" t="s">
        <v>46</v>
      </c>
      <c r="K3" s="303"/>
      <c r="L3" s="303"/>
      <c r="M3" s="303"/>
      <c r="N3" s="303"/>
      <c r="O3" s="303"/>
      <c r="P3" s="303"/>
      <c r="Q3" s="303"/>
      <c r="R3" s="303"/>
      <c r="S3" s="303"/>
      <c r="T3" s="257"/>
      <c r="U3" s="257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4" ht="16.149999999999999" thickBot="1" x14ac:dyDescent="0.55000000000000004">
      <c r="B4" s="38"/>
      <c r="C4" s="38"/>
      <c r="D4" s="38"/>
      <c r="E4" s="38"/>
      <c r="F4" s="38"/>
      <c r="G4" s="38"/>
      <c r="W4" s="3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4" s="9" customFormat="1" ht="16.149999999999999" thickBot="1" x14ac:dyDescent="0.55000000000000004">
      <c r="B5" s="38" t="s">
        <v>31</v>
      </c>
      <c r="C5" s="38"/>
      <c r="D5" s="219">
        <v>2017</v>
      </c>
      <c r="E5" s="220"/>
      <c r="F5" s="220">
        <v>2018</v>
      </c>
      <c r="G5" s="220"/>
      <c r="H5" s="220">
        <v>2019</v>
      </c>
      <c r="I5" s="220"/>
      <c r="J5" s="220">
        <v>2020</v>
      </c>
      <c r="K5" s="220"/>
      <c r="L5" s="220">
        <f>J5+1</f>
        <v>2021</v>
      </c>
      <c r="M5" s="220"/>
      <c r="N5" s="220"/>
      <c r="O5" s="220">
        <f>L5+1</f>
        <v>2022</v>
      </c>
      <c r="P5" s="220"/>
      <c r="Q5" s="220">
        <f t="shared" ref="Q5" si="0">O5+1</f>
        <v>2023</v>
      </c>
      <c r="R5" s="220"/>
      <c r="S5" s="220">
        <f>Q5+1</f>
        <v>2024</v>
      </c>
      <c r="T5" s="220"/>
      <c r="U5" s="221">
        <v>2025</v>
      </c>
      <c r="V5" s="8"/>
      <c r="W5" s="3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4" s="9" customFormat="1" ht="15.75" x14ac:dyDescent="0.5">
      <c r="B6" s="38"/>
      <c r="C6" s="38"/>
      <c r="D6" s="38"/>
      <c r="E6" s="38"/>
      <c r="F6" s="38"/>
      <c r="G6" s="38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8"/>
      <c r="W6" s="3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4" s="9" customFormat="1" ht="15.75" x14ac:dyDescent="0.5">
      <c r="B7" s="38" t="s">
        <v>47</v>
      </c>
      <c r="C7" s="38"/>
      <c r="D7" s="38"/>
      <c r="E7" s="38"/>
      <c r="F7" s="38"/>
      <c r="G7" s="38"/>
      <c r="H7" s="36">
        <f>+H15+H23</f>
        <v>520.03697598799999</v>
      </c>
      <c r="I7" s="270">
        <f>J7/H7-1</f>
        <v>-2.3934259629044607E-2</v>
      </c>
      <c r="J7" s="36">
        <f>+J15+J23</f>
        <v>507.59027598799997</v>
      </c>
      <c r="K7" s="270">
        <f>L7/J7-1</f>
        <v>3.1733457124503373E-2</v>
      </c>
      <c r="L7" s="36">
        <f>+L15+L23</f>
        <v>523.69787024788002</v>
      </c>
      <c r="M7" s="270">
        <f>O7/L7-1</f>
        <v>2.5003778600515281E-2</v>
      </c>
      <c r="N7" s="270"/>
      <c r="O7" s="36">
        <f>+O15+O23</f>
        <v>536.79229584911934</v>
      </c>
      <c r="P7" s="36"/>
      <c r="Q7" s="36">
        <f>+Q15+Q23</f>
        <v>549.77351339167546</v>
      </c>
      <c r="R7" s="36"/>
      <c r="S7" s="36">
        <f>+S15+S23</f>
        <v>563.05513528238487</v>
      </c>
      <c r="T7" s="36"/>
      <c r="U7" s="36">
        <f>+U15+U23</f>
        <v>576.38935015555103</v>
      </c>
      <c r="V7" s="136"/>
      <c r="W7" s="137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4" x14ac:dyDescent="0.45">
      <c r="B8" s="214" t="s">
        <v>50</v>
      </c>
      <c r="C8" s="1"/>
      <c r="D8" s="1"/>
      <c r="E8" s="1"/>
      <c r="F8" s="1"/>
      <c r="G8" s="1"/>
      <c r="H8" s="214">
        <f>H16+H24</f>
        <v>625</v>
      </c>
      <c r="I8" s="1"/>
      <c r="J8" s="214">
        <f t="shared" ref="J8:O8" si="1">J16+J24</f>
        <v>656</v>
      </c>
      <c r="K8" s="214"/>
      <c r="L8" s="214">
        <f t="shared" si="1"/>
        <v>690</v>
      </c>
      <c r="M8" s="214"/>
      <c r="N8" s="214"/>
      <c r="O8" s="214">
        <f t="shared" si="1"/>
        <v>728</v>
      </c>
      <c r="P8" s="214"/>
      <c r="Q8" s="11"/>
      <c r="R8" s="11"/>
      <c r="S8" s="11"/>
      <c r="T8" s="11"/>
      <c r="U8" s="11"/>
      <c r="V8" s="11"/>
      <c r="W8" s="54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4" x14ac:dyDescent="0.45">
      <c r="B9" s="274" t="s">
        <v>100</v>
      </c>
      <c r="C9" s="274"/>
      <c r="D9" s="278">
        <f>SUM(D12,D20)</f>
        <v>340.23921568627452</v>
      </c>
      <c r="E9" s="278"/>
      <c r="F9" s="278"/>
      <c r="G9" s="278"/>
      <c r="H9" s="278">
        <f>SUM(H12,H20)</f>
        <v>341.33697598800001</v>
      </c>
      <c r="I9" s="278"/>
      <c r="J9" s="278">
        <f>SUM(J12,J20)</f>
        <v>337.596975988</v>
      </c>
      <c r="K9" s="278"/>
      <c r="L9" s="278">
        <f>SUM(L12,L20)</f>
        <v>339.57944574787996</v>
      </c>
      <c r="M9" s="278"/>
      <c r="N9" s="278"/>
      <c r="O9" s="278">
        <f>SUM(O12,O20)</f>
        <v>339.54715347661931</v>
      </c>
      <c r="P9" s="278"/>
      <c r="Q9" s="278">
        <f>SUM(Q12,Q20)</f>
        <v>339.57591698200247</v>
      </c>
      <c r="R9" s="278"/>
      <c r="S9" s="278">
        <f>SUM(S12,S20)</f>
        <v>339.66603944497643</v>
      </c>
      <c r="T9" s="278"/>
      <c r="U9" s="278">
        <f>SUM(U12,U20)</f>
        <v>339.81783877272915</v>
      </c>
      <c r="V9" s="275"/>
      <c r="W9" s="271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4" ht="15.75" x14ac:dyDescent="0.5">
      <c r="A10" s="12"/>
      <c r="B10" s="13"/>
      <c r="C10" s="13"/>
      <c r="D10" s="272"/>
      <c r="E10" s="272"/>
      <c r="F10" s="272"/>
      <c r="G10" s="272"/>
      <c r="H10" s="272"/>
      <c r="I10" s="272"/>
      <c r="J10" s="272"/>
      <c r="K10" s="272"/>
      <c r="L10" s="272"/>
      <c r="M10" s="273" t="s">
        <v>97</v>
      </c>
      <c r="N10" s="273"/>
      <c r="O10" s="14"/>
      <c r="P10" s="14"/>
      <c r="Q10" s="14"/>
      <c r="R10" s="14"/>
      <c r="S10" s="14"/>
      <c r="T10" s="14"/>
      <c r="U10" s="14"/>
      <c r="V10" s="15"/>
      <c r="W10" s="3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4" ht="15.75" x14ac:dyDescent="0.5">
      <c r="A11" s="21"/>
      <c r="B11" s="25" t="s">
        <v>8</v>
      </c>
      <c r="C11" s="25"/>
      <c r="D11" s="25"/>
      <c r="E11" s="25"/>
      <c r="F11" s="25"/>
      <c r="G11" s="25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4"/>
      <c r="W11" s="3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s="6" customFormat="1" ht="16.5" customHeight="1" x14ac:dyDescent="0.45">
      <c r="A12" s="16"/>
      <c r="B12" s="118" t="s">
        <v>28</v>
      </c>
      <c r="C12" s="17"/>
      <c r="D12" s="184">
        <v>191.39999999999998</v>
      </c>
      <c r="E12" s="45"/>
      <c r="F12" s="184">
        <v>187.95479999999998</v>
      </c>
      <c r="G12" s="17"/>
      <c r="H12" s="142">
        <v>185</v>
      </c>
      <c r="I12" s="269">
        <v>-0.02</v>
      </c>
      <c r="J12" s="32">
        <f>+H12*(1+I12)</f>
        <v>181.29999999999998</v>
      </c>
      <c r="K12" s="276">
        <v>-5.0000000000000001E-3</v>
      </c>
      <c r="L12" s="32">
        <f>J12*(1+K12)</f>
        <v>180.39349999999999</v>
      </c>
      <c r="M12" s="276">
        <v>-1.2E-2</v>
      </c>
      <c r="N12" s="23"/>
      <c r="O12" s="32">
        <f>L12*(1+M12)</f>
        <v>178.22877799999998</v>
      </c>
      <c r="P12" s="32"/>
      <c r="Q12" s="32">
        <f>O12*(1+M12)</f>
        <v>176.09003266399998</v>
      </c>
      <c r="R12" s="32"/>
      <c r="S12" s="32">
        <f>Q12*(1+M12)</f>
        <v>173.97695227203198</v>
      </c>
      <c r="T12" s="32"/>
      <c r="U12" s="32">
        <f>S12*(1+M12)</f>
        <v>171.88922884476759</v>
      </c>
      <c r="V12" s="33"/>
    </row>
    <row r="13" spans="1:34" s="6" customFormat="1" ht="16.5" customHeight="1" x14ac:dyDescent="0.45">
      <c r="A13" s="16"/>
      <c r="B13" s="118" t="s">
        <v>1</v>
      </c>
      <c r="C13" s="17"/>
      <c r="D13" s="184">
        <v>69.3</v>
      </c>
      <c r="E13" s="45"/>
      <c r="F13" s="184">
        <v>76.923000000000002</v>
      </c>
      <c r="G13" s="17"/>
      <c r="H13" s="142">
        <v>85</v>
      </c>
      <c r="I13" s="269">
        <v>-0.1</v>
      </c>
      <c r="J13" s="32">
        <f t="shared" ref="J13" si="2">+H13*(1+I13)</f>
        <v>76.5</v>
      </c>
      <c r="K13" s="276">
        <v>7.0000000000000007E-2</v>
      </c>
      <c r="L13" s="32">
        <f t="shared" ref="L13" si="3">J13*(1+K13)</f>
        <v>81.855000000000004</v>
      </c>
      <c r="M13" s="276">
        <v>0.06</v>
      </c>
      <c r="N13" s="23"/>
      <c r="O13" s="32">
        <f>L13*(1+M13)</f>
        <v>86.766300000000015</v>
      </c>
      <c r="P13" s="32"/>
      <c r="Q13" s="32">
        <f>O13*(1+M13)</f>
        <v>91.972278000000017</v>
      </c>
      <c r="R13" s="32"/>
      <c r="S13" s="32">
        <f>Q13*(1+M13)</f>
        <v>97.490614680000022</v>
      </c>
      <c r="T13" s="32"/>
      <c r="U13" s="32">
        <f t="shared" ref="U13" si="4">S13*(1+M13)</f>
        <v>103.34005156080003</v>
      </c>
      <c r="V13" s="33"/>
      <c r="X13" s="289"/>
    </row>
    <row r="14" spans="1:34" s="6" customFormat="1" ht="16.5" customHeight="1" x14ac:dyDescent="0.45">
      <c r="A14" s="16"/>
      <c r="B14" s="118" t="s">
        <v>2</v>
      </c>
      <c r="C14" s="17"/>
      <c r="D14" s="290">
        <v>8.8000000000000007</v>
      </c>
      <c r="E14" s="45"/>
      <c r="F14" s="290">
        <v>12.6</v>
      </c>
      <c r="G14" s="17"/>
      <c r="H14" s="290">
        <v>16.5</v>
      </c>
      <c r="I14" s="269">
        <v>0.223</v>
      </c>
      <c r="J14" s="41">
        <f>+H14*(1+I14)</f>
        <v>20.179500000000001</v>
      </c>
      <c r="K14" s="276">
        <v>0.16900000000000001</v>
      </c>
      <c r="L14" s="41">
        <f>J14*(1+K14)</f>
        <v>23.589835500000003</v>
      </c>
      <c r="M14" s="36"/>
      <c r="N14" s="291">
        <v>0.13300000000000001</v>
      </c>
      <c r="O14" s="299">
        <f>L14*(1+N14)</f>
        <v>26.727283621500003</v>
      </c>
      <c r="P14" s="293">
        <v>0.106</v>
      </c>
      <c r="Q14" s="299">
        <f>O14*(1+P14)</f>
        <v>29.560375685379007</v>
      </c>
      <c r="R14" s="293">
        <v>8.5000000000000006E-2</v>
      </c>
      <c r="S14" s="299">
        <f>Q14*(1+R14)</f>
        <v>32.073007618636225</v>
      </c>
      <c r="T14" s="293">
        <v>6.8000000000000005E-2</v>
      </c>
      <c r="U14" s="299">
        <f>S14*(1+T14)</f>
        <v>34.253972136703489</v>
      </c>
      <c r="V14" s="33"/>
    </row>
    <row r="15" spans="1:34" s="9" customFormat="1" ht="16.5" customHeight="1" x14ac:dyDescent="0.45">
      <c r="A15" s="34"/>
      <c r="B15" s="20" t="s">
        <v>3</v>
      </c>
      <c r="C15" s="20"/>
      <c r="D15" s="36">
        <f t="shared" ref="D15:F15" si="5">SUM(D12:D14)</f>
        <v>269.5</v>
      </c>
      <c r="E15" s="36"/>
      <c r="F15" s="36">
        <f t="shared" si="5"/>
        <v>277.4778</v>
      </c>
      <c r="G15" s="20"/>
      <c r="H15" s="20">
        <f>SUM(H12:H14)</f>
        <v>286.5</v>
      </c>
      <c r="I15" s="20"/>
      <c r="J15" s="36">
        <f>SUM(J12:J14)</f>
        <v>277.97949999999997</v>
      </c>
      <c r="K15" s="36"/>
      <c r="L15" s="36">
        <f>SUM(L12:L14)</f>
        <v>285.83833549999997</v>
      </c>
      <c r="M15" s="36"/>
      <c r="N15" s="36"/>
      <c r="O15" s="36">
        <f>SUM(O12:O14)</f>
        <v>291.7223616215</v>
      </c>
      <c r="P15" s="292"/>
      <c r="Q15" s="36">
        <f>SUM(Q12:Q14)</f>
        <v>297.62268634937902</v>
      </c>
      <c r="R15" s="36"/>
      <c r="S15" s="36">
        <f>SUM(S12:S14)</f>
        <v>303.54057457066824</v>
      </c>
      <c r="T15" s="36"/>
      <c r="U15" s="36">
        <f>SUM(U12:U14)</f>
        <v>309.48325254227115</v>
      </c>
      <c r="V15" s="37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x14ac:dyDescent="0.45">
      <c r="A16" s="26"/>
      <c r="B16" s="150" t="s">
        <v>50</v>
      </c>
      <c r="C16" s="5"/>
      <c r="D16" s="49"/>
      <c r="E16" s="49"/>
      <c r="F16" s="49"/>
      <c r="G16" s="5"/>
      <c r="H16" s="150">
        <v>423</v>
      </c>
      <c r="I16" s="27"/>
      <c r="J16" s="150">
        <v>447</v>
      </c>
      <c r="K16" s="150"/>
      <c r="L16" s="150">
        <v>473</v>
      </c>
      <c r="M16" s="150"/>
      <c r="N16" s="150"/>
      <c r="O16" s="150">
        <v>502</v>
      </c>
      <c r="P16" s="150"/>
      <c r="Q16" s="27"/>
      <c r="R16" s="27"/>
      <c r="S16" s="27"/>
      <c r="T16" s="27"/>
      <c r="U16" s="27"/>
      <c r="V16" s="28"/>
      <c r="X16" s="6"/>
      <c r="Y16" s="6"/>
      <c r="Z16" s="277"/>
      <c r="AA16" s="6"/>
      <c r="AB16" s="6"/>
      <c r="AC16" s="6"/>
      <c r="AD16" s="6"/>
      <c r="AE16" s="6"/>
      <c r="AF16" s="6"/>
      <c r="AG16" s="6"/>
      <c r="AH16" s="6"/>
    </row>
    <row r="17" spans="1:34" x14ac:dyDescent="0.45">
      <c r="A17" s="22"/>
      <c r="B17" s="22"/>
      <c r="C17" s="22"/>
      <c r="D17" s="69"/>
      <c r="E17" s="69"/>
      <c r="F17" s="69"/>
      <c r="G17" s="22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 x14ac:dyDescent="0.45">
      <c r="A18" s="12"/>
      <c r="B18" s="13"/>
      <c r="C18" s="13"/>
      <c r="D18" s="210"/>
      <c r="E18" s="210"/>
      <c r="F18" s="210"/>
      <c r="G18" s="13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x14ac:dyDescent="0.45">
      <c r="A19" s="21"/>
      <c r="B19" s="25" t="s">
        <v>9</v>
      </c>
      <c r="C19" s="25"/>
      <c r="D19" s="211"/>
      <c r="E19" s="211"/>
      <c r="F19" s="211"/>
      <c r="G19" s="25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4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 s="6" customFormat="1" ht="16.5" customHeight="1" x14ac:dyDescent="0.45">
      <c r="A20" s="16"/>
      <c r="B20" s="118" t="s">
        <v>28</v>
      </c>
      <c r="C20" s="17"/>
      <c r="D20" s="32">
        <f t="shared" ref="D20:F20" si="6">+D28+D34+D40</f>
        <v>148.83921568627451</v>
      </c>
      <c r="E20" s="32"/>
      <c r="F20" s="32">
        <f t="shared" si="6"/>
        <v>153.83859008712869</v>
      </c>
      <c r="G20" s="32"/>
      <c r="H20" s="32">
        <f>+H28+H34+H40</f>
        <v>156.33697598800001</v>
      </c>
      <c r="I20" s="18"/>
      <c r="J20" s="32">
        <f t="shared" ref="J20:U22" si="7">+J28+J34+J40</f>
        <v>156.29697598800001</v>
      </c>
      <c r="K20" s="32"/>
      <c r="L20" s="32">
        <f t="shared" si="7"/>
        <v>159.18594574787997</v>
      </c>
      <c r="M20" s="291">
        <f>O20/L20-1</f>
        <v>1.3395841691431487E-2</v>
      </c>
      <c r="N20" s="32"/>
      <c r="O20" s="32">
        <f t="shared" si="7"/>
        <v>161.31837547661937</v>
      </c>
      <c r="P20" s="31"/>
      <c r="Q20" s="32">
        <f t="shared" si="7"/>
        <v>163.48588431800246</v>
      </c>
      <c r="R20" s="32"/>
      <c r="S20" s="32">
        <f t="shared" si="7"/>
        <v>165.68908717294445</v>
      </c>
      <c r="T20" s="32"/>
      <c r="U20" s="32">
        <f t="shared" si="7"/>
        <v>167.92860992796153</v>
      </c>
      <c r="V20" s="65"/>
    </row>
    <row r="21" spans="1:34" s="6" customFormat="1" ht="16.5" customHeight="1" x14ac:dyDescent="0.45">
      <c r="A21" s="16"/>
      <c r="B21" s="118" t="s">
        <v>1</v>
      </c>
      <c r="C21" s="17"/>
      <c r="D21" s="32">
        <f t="shared" ref="D21:F21" si="8">+D29+D35+D41</f>
        <v>55.700263754784906</v>
      </c>
      <c r="E21" s="32"/>
      <c r="F21" s="32">
        <f t="shared" si="8"/>
        <v>58.279647944832597</v>
      </c>
      <c r="G21" s="32"/>
      <c r="H21" s="32">
        <f>+H29+H35+H41</f>
        <v>61</v>
      </c>
      <c r="I21" s="18"/>
      <c r="J21" s="32">
        <f t="shared" si="7"/>
        <v>54.97</v>
      </c>
      <c r="K21" s="32"/>
      <c r="L21" s="32">
        <f t="shared" si="7"/>
        <v>58.097900000000003</v>
      </c>
      <c r="M21" s="291">
        <f>O21/L21-1</f>
        <v>4.7444967890405643E-2</v>
      </c>
      <c r="N21" s="32"/>
      <c r="O21" s="32">
        <f t="shared" si="7"/>
        <v>60.854352999999996</v>
      </c>
      <c r="P21" s="32"/>
      <c r="Q21" s="32">
        <f t="shared" si="7"/>
        <v>63.359532110000004</v>
      </c>
      <c r="R21" s="32"/>
      <c r="S21" s="32">
        <f t="shared" si="7"/>
        <v>66.008490496900009</v>
      </c>
      <c r="T21" s="32"/>
      <c r="U21" s="32">
        <f t="shared" ref="U21" si="9">+U29+U35+U41</f>
        <v>68.721721162309606</v>
      </c>
      <c r="V21" s="65"/>
    </row>
    <row r="22" spans="1:34" s="6" customFormat="1" ht="16.5" customHeight="1" x14ac:dyDescent="0.45">
      <c r="A22" s="16"/>
      <c r="B22" s="118" t="s">
        <v>2</v>
      </c>
      <c r="C22" s="17"/>
      <c r="D22" s="32">
        <f t="shared" ref="D22:F22" si="10">+D30+D36+D42</f>
        <v>12.226446280991734</v>
      </c>
      <c r="E22" s="32"/>
      <c r="F22" s="32">
        <f t="shared" si="10"/>
        <v>14.109090909090909</v>
      </c>
      <c r="G22" s="32"/>
      <c r="H22" s="32">
        <f>+H30+H36+H42</f>
        <v>16.2</v>
      </c>
      <c r="I22" s="18"/>
      <c r="J22" s="32">
        <f t="shared" si="7"/>
        <v>18.343800000000002</v>
      </c>
      <c r="K22" s="32"/>
      <c r="L22" s="32">
        <f t="shared" si="7"/>
        <v>20.575689000000004</v>
      </c>
      <c r="M22" s="32"/>
      <c r="N22" s="291">
        <f>O22/L22-1</f>
        <v>0.11282814155093424</v>
      </c>
      <c r="O22" s="32">
        <f>+O30+O36+O42</f>
        <v>22.897205751000005</v>
      </c>
      <c r="P22" s="291">
        <f>Q22/O22-1</f>
        <v>0.10517461778884662</v>
      </c>
      <c r="Q22" s="32">
        <f>+Q30+Q36+Q42</f>
        <v>25.305410614294011</v>
      </c>
      <c r="R22" s="291">
        <f>S22/Q22-1</f>
        <v>9.9250411932041649E-2</v>
      </c>
      <c r="S22" s="32">
        <f t="shared" si="7"/>
        <v>27.816983041872152</v>
      </c>
      <c r="T22" s="291">
        <f>U22/S22-1</f>
        <v>8.7672465323274329E-2</v>
      </c>
      <c r="U22" s="32">
        <f t="shared" ref="U22" si="11">+U30+U36+U42</f>
        <v>30.255766523008798</v>
      </c>
      <c r="V22" s="65"/>
    </row>
    <row r="23" spans="1:34" s="9" customFormat="1" ht="16.5" customHeight="1" x14ac:dyDescent="0.45">
      <c r="A23" s="34"/>
      <c r="B23" s="20" t="s">
        <v>7</v>
      </c>
      <c r="C23" s="20"/>
      <c r="D23" s="212">
        <f t="shared" ref="D23:F23" si="12">SUM(D20:D22)</f>
        <v>216.76592572205115</v>
      </c>
      <c r="E23" s="212"/>
      <c r="F23" s="212">
        <f t="shared" si="12"/>
        <v>226.22732894105218</v>
      </c>
      <c r="G23" s="209"/>
      <c r="H23" s="212">
        <f>SUM(H20:H22)</f>
        <v>233.53697598799999</v>
      </c>
      <c r="I23" s="20"/>
      <c r="J23" s="36">
        <f>SUM(J20:J22)</f>
        <v>229.610775988</v>
      </c>
      <c r="K23" s="36"/>
      <c r="L23" s="36">
        <f>SUM(L20:L22)</f>
        <v>237.85953474787999</v>
      </c>
      <c r="M23" s="36"/>
      <c r="N23" s="36"/>
      <c r="O23" s="36">
        <f>SUM(O20:O22)</f>
        <v>245.06993422761937</v>
      </c>
      <c r="P23" s="36"/>
      <c r="Q23" s="36">
        <f>SUM(Q20:Q22)</f>
        <v>252.15082704229647</v>
      </c>
      <c r="R23" s="36"/>
      <c r="S23" s="36">
        <f>SUM(S20:S22)</f>
        <v>259.51456071171663</v>
      </c>
      <c r="T23" s="36"/>
      <c r="U23" s="36">
        <f>SUM(U20:U22)</f>
        <v>266.90609761327994</v>
      </c>
      <c r="V23" s="65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x14ac:dyDescent="0.45">
      <c r="A24" s="26"/>
      <c r="B24" s="150" t="s">
        <v>50</v>
      </c>
      <c r="C24" s="5"/>
      <c r="D24" s="49"/>
      <c r="E24" s="49"/>
      <c r="F24" s="49"/>
      <c r="G24" s="5"/>
      <c r="H24" s="150">
        <v>202</v>
      </c>
      <c r="I24" s="27"/>
      <c r="J24" s="150">
        <v>209</v>
      </c>
      <c r="K24" s="150"/>
      <c r="L24" s="150">
        <v>217</v>
      </c>
      <c r="M24" s="150"/>
      <c r="N24" s="150"/>
      <c r="O24" s="150">
        <v>226</v>
      </c>
      <c r="P24" s="150"/>
      <c r="Q24" s="27"/>
      <c r="R24" s="27"/>
      <c r="S24" s="10"/>
      <c r="T24" s="10"/>
      <c r="U24" s="10"/>
      <c r="V24" s="6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x14ac:dyDescent="0.45">
      <c r="A25" s="22"/>
      <c r="B25" s="22"/>
      <c r="C25" s="22"/>
      <c r="D25" s="69"/>
      <c r="E25" s="69"/>
      <c r="F25" s="69"/>
      <c r="G25" s="22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x14ac:dyDescent="0.45">
      <c r="A26" s="12"/>
      <c r="B26" s="30"/>
      <c r="C26" s="30"/>
      <c r="D26" s="30"/>
      <c r="E26" s="30"/>
      <c r="F26" s="30"/>
      <c r="G26" s="30"/>
      <c r="H26" s="14"/>
      <c r="I26" s="14"/>
      <c r="J26" s="14"/>
      <c r="K26" s="14"/>
      <c r="L26" s="14"/>
      <c r="M26" s="13" t="s">
        <v>97</v>
      </c>
      <c r="N26" s="13"/>
      <c r="O26" s="14"/>
      <c r="P26" s="14"/>
      <c r="Q26" s="14"/>
      <c r="R26" s="14"/>
      <c r="S26" s="14"/>
      <c r="T26" s="14"/>
      <c r="U26" s="14"/>
      <c r="V26" s="15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x14ac:dyDescent="0.45">
      <c r="A27" s="21"/>
      <c r="B27" s="25" t="s">
        <v>10</v>
      </c>
      <c r="C27" s="25"/>
      <c r="D27" s="25"/>
      <c r="E27" s="25"/>
      <c r="F27" s="25"/>
      <c r="G27" s="25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4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s="6" customFormat="1" ht="16.5" customHeight="1" x14ac:dyDescent="0.45">
      <c r="A28" s="16"/>
      <c r="B28" s="118" t="s">
        <v>28</v>
      </c>
      <c r="C28" s="17"/>
      <c r="D28" s="184">
        <v>98.039215686274503</v>
      </c>
      <c r="E28" s="45"/>
      <c r="F28" s="213">
        <v>100</v>
      </c>
      <c r="G28" s="45"/>
      <c r="H28" s="142">
        <v>102</v>
      </c>
      <c r="I28" s="276">
        <v>0</v>
      </c>
      <c r="J28" s="32">
        <f>H28*(1+I28)</f>
        <v>102</v>
      </c>
      <c r="K28" s="276">
        <v>2.3E-2</v>
      </c>
      <c r="L28" s="32">
        <f>J28*(1+K28)</f>
        <v>104.34599999999999</v>
      </c>
      <c r="M28" s="276">
        <v>1.7999999999999999E-2</v>
      </c>
      <c r="N28" s="294"/>
      <c r="O28" s="32">
        <f>L28*(1+$M$28)</f>
        <v>106.224228</v>
      </c>
      <c r="P28" s="32"/>
      <c r="Q28" s="32">
        <f>O28*(1+$M$28)</f>
        <v>108.13626410399999</v>
      </c>
      <c r="R28" s="32"/>
      <c r="S28" s="32">
        <f>Q28*(1+$M$28)</f>
        <v>110.08271685787199</v>
      </c>
      <c r="T28" s="32"/>
      <c r="U28" s="32">
        <f>S28*(1+$M$28)</f>
        <v>112.06420576131369</v>
      </c>
      <c r="V28" s="19"/>
    </row>
    <row r="29" spans="1:34" s="6" customFormat="1" ht="16.5" customHeight="1" x14ac:dyDescent="0.45">
      <c r="A29" s="16"/>
      <c r="B29" s="118" t="s">
        <v>1</v>
      </c>
      <c r="C29" s="17"/>
      <c r="D29" s="184">
        <v>32.990856819681404</v>
      </c>
      <c r="E29" s="45"/>
      <c r="F29" s="213">
        <v>33.980582524271846</v>
      </c>
      <c r="G29" s="45"/>
      <c r="H29" s="184">
        <v>35</v>
      </c>
      <c r="I29" s="276">
        <f>I13</f>
        <v>-0.1</v>
      </c>
      <c r="J29" s="32">
        <f t="shared" ref="J29" si="13">H29*(1+I29)</f>
        <v>31.5</v>
      </c>
      <c r="K29" s="276">
        <v>0.04</v>
      </c>
      <c r="L29" s="32">
        <f t="shared" ref="L29" si="14">J29*(1+K29)</f>
        <v>32.76</v>
      </c>
      <c r="M29" s="276">
        <v>0.03</v>
      </c>
      <c r="N29" s="294"/>
      <c r="O29" s="32">
        <f t="shared" ref="O29" si="15">L29*(1+M29)</f>
        <v>33.742799999999995</v>
      </c>
      <c r="P29" s="32"/>
      <c r="Q29" s="32">
        <f t="shared" ref="Q29" si="16">O29*(1+$M$28)</f>
        <v>34.350170399999996</v>
      </c>
      <c r="R29" s="32"/>
      <c r="S29" s="32">
        <f>Q29*(1+$M$28)</f>
        <v>34.968473467199999</v>
      </c>
      <c r="T29" s="32"/>
      <c r="U29" s="32">
        <f t="shared" ref="U29" si="17">S29*(1+$M$28)</f>
        <v>35.5979059896096</v>
      </c>
      <c r="V29" s="19"/>
    </row>
    <row r="30" spans="1:34" s="6" customFormat="1" ht="16.5" customHeight="1" x14ac:dyDescent="0.45">
      <c r="A30" s="16"/>
      <c r="B30" s="118" t="s">
        <v>2</v>
      </c>
      <c r="C30" s="17"/>
      <c r="D30" s="290">
        <v>9.6999999999999993</v>
      </c>
      <c r="E30" s="42"/>
      <c r="F30" s="290">
        <v>11.3</v>
      </c>
      <c r="G30" s="42"/>
      <c r="H30" s="290">
        <v>13</v>
      </c>
      <c r="I30" s="269">
        <v>0.13200000000000001</v>
      </c>
      <c r="J30" s="41">
        <f>H30*(1+I30)</f>
        <v>14.716000000000001</v>
      </c>
      <c r="K30" s="276">
        <v>0.121</v>
      </c>
      <c r="L30" s="41">
        <f>J30*(1+K30)</f>
        <v>16.496636000000002</v>
      </c>
      <c r="M30" s="36"/>
      <c r="N30" s="291">
        <v>0.112</v>
      </c>
      <c r="O30" s="299">
        <f>L30*(1+N30)</f>
        <v>18.344259232000006</v>
      </c>
      <c r="P30" s="293">
        <v>0.104</v>
      </c>
      <c r="Q30" s="299">
        <f>O30*(1+P30)</f>
        <v>20.252062192128008</v>
      </c>
      <c r="R30" s="293">
        <v>9.8000000000000004E-2</v>
      </c>
      <c r="S30" s="299">
        <f>Q30*(1+R30)</f>
        <v>22.236764286956554</v>
      </c>
      <c r="T30" s="293">
        <v>9.1999999999999998E-2</v>
      </c>
      <c r="U30" s="299">
        <f>S30*(1+T30)</f>
        <v>24.282546601356557</v>
      </c>
      <c r="V30" s="33"/>
    </row>
    <row r="31" spans="1:34" s="6" customFormat="1" ht="16.5" customHeight="1" x14ac:dyDescent="0.45">
      <c r="A31" s="16"/>
      <c r="B31" s="20" t="s">
        <v>4</v>
      </c>
      <c r="C31" s="20"/>
      <c r="D31" s="43"/>
      <c r="E31" s="43"/>
      <c r="F31" s="43"/>
      <c r="G31" s="20"/>
      <c r="H31" s="36">
        <f>SUM(H28:H30)</f>
        <v>150</v>
      </c>
      <c r="I31" s="18"/>
      <c r="J31" s="36">
        <f>SUM(J28:J30)</f>
        <v>148.21600000000001</v>
      </c>
      <c r="K31" s="36"/>
      <c r="L31" s="36">
        <f>SUM(L28:L30)</f>
        <v>153.60263599999999</v>
      </c>
      <c r="M31" s="36"/>
      <c r="N31" s="212"/>
      <c r="O31" s="36">
        <f>SUM(O28:O30)</f>
        <v>158.31128723200001</v>
      </c>
      <c r="P31" s="36"/>
      <c r="Q31" s="36">
        <f>SUM(Q28:Q30)</f>
        <v>162.73849669612798</v>
      </c>
      <c r="R31" s="36"/>
      <c r="S31" s="36">
        <f>SUM(S28:S30)</f>
        <v>167.28795461202853</v>
      </c>
      <c r="T31" s="36"/>
      <c r="U31" s="36">
        <f>SUM(U28:U30)</f>
        <v>171.94465835227984</v>
      </c>
      <c r="V31" s="19"/>
    </row>
    <row r="32" spans="1:34" x14ac:dyDescent="0.45">
      <c r="A32" s="21"/>
      <c r="B32" s="22"/>
      <c r="C32" s="22"/>
      <c r="D32" s="187"/>
      <c r="E32" s="187"/>
      <c r="F32" s="187"/>
      <c r="G32" s="22"/>
      <c r="H32" s="23"/>
      <c r="I32" s="23"/>
      <c r="J32" s="23"/>
      <c r="K32" s="23"/>
      <c r="L32" s="23"/>
      <c r="M32" s="23"/>
      <c r="N32" s="295"/>
      <c r="O32" s="23"/>
      <c r="P32" s="23"/>
      <c r="Q32" s="23"/>
      <c r="R32" s="23"/>
      <c r="S32" s="23"/>
      <c r="T32" s="23"/>
      <c r="U32" s="23"/>
      <c r="V32" s="24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x14ac:dyDescent="0.45">
      <c r="A33" s="21"/>
      <c r="B33" s="25" t="s">
        <v>11</v>
      </c>
      <c r="C33" s="25"/>
      <c r="D33" s="188"/>
      <c r="E33" s="188"/>
      <c r="F33" s="188"/>
      <c r="G33" s="25"/>
      <c r="H33" s="23"/>
      <c r="I33" s="23"/>
      <c r="J33" s="23"/>
      <c r="K33" s="23"/>
      <c r="L33" s="23"/>
      <c r="M33" s="23"/>
      <c r="N33" s="295"/>
      <c r="O33" s="23"/>
      <c r="P33" s="23"/>
      <c r="Q33" s="23"/>
      <c r="R33" s="23"/>
      <c r="S33" s="23"/>
      <c r="T33" s="23"/>
      <c r="U33" s="23"/>
      <c r="V33" s="24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s="6" customFormat="1" ht="16.5" customHeight="1" x14ac:dyDescent="0.45">
      <c r="A34" s="16"/>
      <c r="B34" s="118" t="s">
        <v>28</v>
      </c>
      <c r="C34" s="17"/>
      <c r="D34" s="184">
        <v>46.800000000000004</v>
      </c>
      <c r="E34" s="45"/>
      <c r="F34" s="213">
        <v>49.838590087128708</v>
      </c>
      <c r="G34" s="17"/>
      <c r="H34" s="184">
        <v>50.336975987999992</v>
      </c>
      <c r="I34" s="276">
        <v>0</v>
      </c>
      <c r="J34" s="32">
        <f>H34*(1+I34)</f>
        <v>50.336975987999992</v>
      </c>
      <c r="K34" s="276">
        <v>0.01</v>
      </c>
      <c r="L34" s="32">
        <f>J34*(1+K34)</f>
        <v>50.840345747879994</v>
      </c>
      <c r="M34" s="276">
        <v>5.0000000000000001E-3</v>
      </c>
      <c r="N34" s="294"/>
      <c r="O34" s="32">
        <f>L34*(1+M34)</f>
        <v>51.09454747661939</v>
      </c>
      <c r="P34" s="32"/>
      <c r="Q34" s="32">
        <f>O34*(1+M34)</f>
        <v>51.350020214002484</v>
      </c>
      <c r="R34" s="32"/>
      <c r="S34" s="32">
        <f>Q34*(1+M34)</f>
        <v>51.606770315072488</v>
      </c>
      <c r="T34" s="32"/>
      <c r="U34" s="32">
        <f>S34*(1+M34)</f>
        <v>51.864804166647843</v>
      </c>
      <c r="V34" s="19"/>
    </row>
    <row r="35" spans="1:34" s="6" customFormat="1" ht="16.5" customHeight="1" x14ac:dyDescent="0.45">
      <c r="A35" s="16"/>
      <c r="B35" s="118" t="s">
        <v>1</v>
      </c>
      <c r="C35" s="17"/>
      <c r="D35" s="184">
        <v>21.835968206830287</v>
      </c>
      <c r="E35" s="45"/>
      <c r="F35" s="213">
        <v>23.364485981308409</v>
      </c>
      <c r="G35" s="17"/>
      <c r="H35" s="142">
        <v>25</v>
      </c>
      <c r="I35" s="276">
        <f>I13</f>
        <v>-0.1</v>
      </c>
      <c r="J35" s="32">
        <f t="shared" ref="J35" si="18">H35*(1+I35)</f>
        <v>22.5</v>
      </c>
      <c r="K35" s="276">
        <v>0.08</v>
      </c>
      <c r="L35" s="32">
        <f>J35*(1+K35)</f>
        <v>24.3</v>
      </c>
      <c r="M35" s="276">
        <v>7.0000000000000007E-2</v>
      </c>
      <c r="N35" s="294"/>
      <c r="O35" s="32">
        <f t="shared" ref="O35" si="19">L35*(1+M35)</f>
        <v>26.001000000000001</v>
      </c>
      <c r="P35" s="32"/>
      <c r="Q35" s="32">
        <f t="shared" ref="Q35" si="20">O35*(1+M35)</f>
        <v>27.821070000000002</v>
      </c>
      <c r="R35" s="32"/>
      <c r="S35" s="32">
        <f t="shared" ref="S35" si="21">Q35*(1+M35)</f>
        <v>29.768544900000006</v>
      </c>
      <c r="T35" s="32"/>
      <c r="U35" s="32">
        <f t="shared" ref="U35" si="22">S35*(1+M35)</f>
        <v>31.852343043000008</v>
      </c>
      <c r="V35" s="19"/>
    </row>
    <row r="36" spans="1:34" s="6" customFormat="1" ht="16.5" customHeight="1" x14ac:dyDescent="0.45">
      <c r="A36" s="16"/>
      <c r="B36" s="118" t="s">
        <v>2</v>
      </c>
      <c r="C36" s="17"/>
      <c r="D36" s="290">
        <v>1.7</v>
      </c>
      <c r="E36" s="45"/>
      <c r="F36" s="290">
        <v>1.9</v>
      </c>
      <c r="G36" s="17"/>
      <c r="H36" s="290">
        <v>2.2000000000000002</v>
      </c>
      <c r="I36" s="269">
        <v>0.14899999999999999</v>
      </c>
      <c r="J36" s="41">
        <f>H36*(1+I36)</f>
        <v>2.5278</v>
      </c>
      <c r="K36" s="276">
        <v>0.13500000000000001</v>
      </c>
      <c r="L36" s="41">
        <f>J36*(K36+1)</f>
        <v>2.8690530000000001</v>
      </c>
      <c r="M36" s="36"/>
      <c r="N36" s="291">
        <v>0.123</v>
      </c>
      <c r="O36" s="299">
        <f>L36*(1+N36)</f>
        <v>3.2219465190000003</v>
      </c>
      <c r="P36" s="293">
        <v>0.114</v>
      </c>
      <c r="Q36" s="299">
        <f>O36*(1+P36)</f>
        <v>3.5892484221660008</v>
      </c>
      <c r="R36" s="293">
        <v>0.106</v>
      </c>
      <c r="S36" s="299">
        <f>Q36*(1+R36)</f>
        <v>3.9697087549155974</v>
      </c>
      <c r="T36" s="293">
        <v>9.9000000000000005E-2</v>
      </c>
      <c r="U36" s="299">
        <f>S36*(1+T36)</f>
        <v>4.3627099216522414</v>
      </c>
      <c r="V36" s="19"/>
    </row>
    <row r="37" spans="1:34" s="6" customFormat="1" ht="16.5" customHeight="1" x14ac:dyDescent="0.45">
      <c r="A37" s="16"/>
      <c r="B37" s="20" t="s">
        <v>5</v>
      </c>
      <c r="C37" s="20"/>
      <c r="D37" s="36"/>
      <c r="E37" s="36"/>
      <c r="F37" s="36"/>
      <c r="G37" s="20"/>
      <c r="H37" s="36">
        <f>SUM(H34:H36)</f>
        <v>77.536975987999995</v>
      </c>
      <c r="I37" s="18"/>
      <c r="J37" s="36">
        <f>SUM(J34:J36)</f>
        <v>75.364775987999991</v>
      </c>
      <c r="K37" s="36"/>
      <c r="L37" s="36">
        <f>SUM(L34:L36)</f>
        <v>78.009398747879985</v>
      </c>
      <c r="M37" s="36"/>
      <c r="N37" s="212"/>
      <c r="O37" s="36">
        <f>SUM(O34:O36)</f>
        <v>80.317493995619387</v>
      </c>
      <c r="P37" s="36"/>
      <c r="Q37" s="36">
        <f>SUM(Q34:Q36)</f>
        <v>82.760338636168484</v>
      </c>
      <c r="R37" s="36"/>
      <c r="S37" s="36">
        <f>SUM(S34:S36)</f>
        <v>85.345023969988091</v>
      </c>
      <c r="T37" s="36"/>
      <c r="U37" s="36">
        <f>SUM(U34:U36)</f>
        <v>88.079857131300088</v>
      </c>
      <c r="V37" s="19"/>
    </row>
    <row r="38" spans="1:34" x14ac:dyDescent="0.45">
      <c r="A38" s="21"/>
      <c r="B38" s="22"/>
      <c r="C38" s="22"/>
      <c r="D38" s="69"/>
      <c r="E38" s="69"/>
      <c r="F38" s="69"/>
      <c r="G38" s="22"/>
      <c r="H38" s="23"/>
      <c r="I38" s="23"/>
      <c r="J38" s="23"/>
      <c r="K38" s="23"/>
      <c r="L38" s="23"/>
      <c r="M38" s="23"/>
      <c r="N38" s="295"/>
      <c r="O38" s="23"/>
      <c r="P38" s="23"/>
      <c r="Q38" s="23"/>
      <c r="R38" s="23"/>
      <c r="S38" s="23"/>
      <c r="T38" s="23"/>
      <c r="U38" s="23"/>
      <c r="V38" s="24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4" x14ac:dyDescent="0.45">
      <c r="A39" s="21"/>
      <c r="B39" s="25" t="s">
        <v>12</v>
      </c>
      <c r="C39" s="25"/>
      <c r="D39" s="211"/>
      <c r="E39" s="211"/>
      <c r="F39" s="211"/>
      <c r="G39" s="25"/>
      <c r="H39" s="23"/>
      <c r="I39" s="23"/>
      <c r="J39" s="23"/>
      <c r="K39" s="23"/>
      <c r="L39" s="23"/>
      <c r="M39" s="23"/>
      <c r="N39" s="295"/>
      <c r="O39" s="23"/>
      <c r="P39" s="23"/>
      <c r="Q39" s="23"/>
      <c r="R39" s="23"/>
      <c r="S39" s="23"/>
      <c r="T39" s="23"/>
      <c r="U39" s="23"/>
      <c r="V39" s="24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4" s="6" customFormat="1" ht="16.5" customHeight="1" x14ac:dyDescent="0.45">
      <c r="A40" s="16"/>
      <c r="B40" s="118" t="s">
        <v>28</v>
      </c>
      <c r="C40" s="17"/>
      <c r="D40" s="213">
        <v>4</v>
      </c>
      <c r="E40" s="45"/>
      <c r="F40" s="213">
        <v>4</v>
      </c>
      <c r="G40" s="17"/>
      <c r="H40" s="142">
        <v>4</v>
      </c>
      <c r="I40" s="225">
        <v>-0.01</v>
      </c>
      <c r="J40" s="32">
        <f>H40*(1+I40)</f>
        <v>3.96</v>
      </c>
      <c r="K40" s="225">
        <v>0.01</v>
      </c>
      <c r="L40" s="32">
        <f>J40*(1+K40)</f>
        <v>3.9996</v>
      </c>
      <c r="M40" s="225">
        <v>0</v>
      </c>
      <c r="N40" s="296"/>
      <c r="O40" s="32">
        <f>L40*(1+M40)</f>
        <v>3.9996</v>
      </c>
      <c r="P40" s="32"/>
      <c r="Q40" s="32">
        <f>O40*(1+M40)</f>
        <v>3.9996</v>
      </c>
      <c r="R40" s="32"/>
      <c r="S40" s="32">
        <f>Q40*(1+$M$40)</f>
        <v>3.9996</v>
      </c>
      <c r="T40" s="32"/>
      <c r="U40" s="32">
        <f>S40*(1+$M$40)</f>
        <v>3.9996</v>
      </c>
      <c r="V40" s="19"/>
    </row>
    <row r="41" spans="1:34" s="6" customFormat="1" ht="16.5" customHeight="1" x14ac:dyDescent="0.45">
      <c r="A41" s="16"/>
      <c r="B41" s="118" t="s">
        <v>1</v>
      </c>
      <c r="C41" s="17"/>
      <c r="D41" s="213">
        <v>0.87343872827321156</v>
      </c>
      <c r="E41" s="45"/>
      <c r="F41" s="213">
        <v>0.93457943925233644</v>
      </c>
      <c r="G41" s="17"/>
      <c r="H41" s="142">
        <v>1</v>
      </c>
      <c r="I41" s="225">
        <v>-0.03</v>
      </c>
      <c r="J41" s="32">
        <f t="shared" ref="J41:J42" si="23">H41*(1+I41)</f>
        <v>0.97</v>
      </c>
      <c r="K41" s="225">
        <v>7.0000000000000007E-2</v>
      </c>
      <c r="L41" s="32">
        <f t="shared" ref="L41:L42" si="24">J41*(1+K41)</f>
        <v>1.0379</v>
      </c>
      <c r="M41" s="225">
        <v>7.0000000000000007E-2</v>
      </c>
      <c r="N41" s="296"/>
      <c r="O41" s="32">
        <f>L41*(1+M41)</f>
        <v>1.1105530000000001</v>
      </c>
      <c r="P41" s="32"/>
      <c r="Q41" s="32">
        <f>O41*(1+M41)</f>
        <v>1.1882917100000001</v>
      </c>
      <c r="R41" s="32"/>
      <c r="S41" s="32">
        <f t="shared" ref="S41:S42" si="25">Q41*(1+M41)</f>
        <v>1.2714721297000002</v>
      </c>
      <c r="T41" s="32"/>
      <c r="U41" s="32">
        <f t="shared" ref="U41:U42" si="26">S41*(1+$M$40)</f>
        <v>1.2714721297000002</v>
      </c>
      <c r="V41" s="19"/>
    </row>
    <row r="42" spans="1:34" s="6" customFormat="1" ht="16.5" customHeight="1" x14ac:dyDescent="0.45">
      <c r="A42" s="16"/>
      <c r="B42" s="118" t="s">
        <v>2</v>
      </c>
      <c r="C42" s="17"/>
      <c r="D42" s="213">
        <v>0.82644628099173545</v>
      </c>
      <c r="E42" s="45"/>
      <c r="F42" s="213">
        <v>0.90909090909090906</v>
      </c>
      <c r="G42" s="17"/>
      <c r="H42" s="142">
        <v>1</v>
      </c>
      <c r="I42" s="225">
        <v>0.1</v>
      </c>
      <c r="J42" s="32">
        <f t="shared" si="23"/>
        <v>1.1000000000000001</v>
      </c>
      <c r="K42" s="225">
        <v>0.1</v>
      </c>
      <c r="L42" s="32">
        <f t="shared" si="24"/>
        <v>1.2100000000000002</v>
      </c>
      <c r="M42" s="225">
        <v>0.1</v>
      </c>
      <c r="N42" s="296"/>
      <c r="O42" s="32">
        <f t="shared" ref="O42" si="27">L42*(1+M42)</f>
        <v>1.3310000000000004</v>
      </c>
      <c r="P42" s="32"/>
      <c r="Q42" s="32">
        <f>O42*(1+M42)</f>
        <v>1.4641000000000006</v>
      </c>
      <c r="R42" s="32"/>
      <c r="S42" s="32">
        <f t="shared" si="25"/>
        <v>1.6105100000000008</v>
      </c>
      <c r="T42" s="32"/>
      <c r="U42" s="32">
        <f t="shared" si="26"/>
        <v>1.6105100000000008</v>
      </c>
      <c r="V42" s="19"/>
    </row>
    <row r="43" spans="1:34" s="6" customFormat="1" ht="16.5" customHeight="1" x14ac:dyDescent="0.45">
      <c r="A43" s="16"/>
      <c r="B43" s="20" t="s">
        <v>6</v>
      </c>
      <c r="C43" s="20"/>
      <c r="D43" s="36"/>
      <c r="E43" s="36"/>
      <c r="F43" s="36"/>
      <c r="G43" s="20"/>
      <c r="H43" s="20">
        <f>SUM(H40:H42)</f>
        <v>6</v>
      </c>
      <c r="I43" s="18"/>
      <c r="J43" s="36">
        <f>SUM(J40:J42)</f>
        <v>6.0299999999999994</v>
      </c>
      <c r="K43" s="36"/>
      <c r="L43" s="36">
        <f>SUM(L40:L42)</f>
        <v>6.2474999999999996</v>
      </c>
      <c r="M43" s="36"/>
      <c r="N43" s="36"/>
      <c r="O43" s="36">
        <f>SUM(O40:O42)</f>
        <v>6.4411530000000008</v>
      </c>
      <c r="P43" s="36"/>
      <c r="Q43" s="36">
        <f>SUM(Q40:Q42)</f>
        <v>6.6519917100000008</v>
      </c>
      <c r="R43" s="36"/>
      <c r="S43" s="36">
        <f>SUM(S40:S42)</f>
        <v>6.8815821297000008</v>
      </c>
      <c r="T43" s="36"/>
      <c r="U43" s="36">
        <f>SUM(U40:U42)</f>
        <v>6.8815821297000008</v>
      </c>
      <c r="V43" s="19"/>
    </row>
    <row r="44" spans="1:34" x14ac:dyDescent="0.45">
      <c r="A44" s="26"/>
      <c r="B44" s="5"/>
      <c r="C44" s="5"/>
      <c r="D44" s="5"/>
      <c r="E44" s="5"/>
      <c r="F44" s="5"/>
      <c r="G44" s="5"/>
      <c r="H44" s="27"/>
      <c r="I44" s="2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28"/>
    </row>
    <row r="45" spans="1:34" x14ac:dyDescent="0.45">
      <c r="H45" s="2"/>
    </row>
  </sheetData>
  <mergeCells count="3">
    <mergeCell ref="B1:S1"/>
    <mergeCell ref="J3:S3"/>
    <mergeCell ref="D3:I3"/>
  </mergeCells>
  <pageMargins left="0.7" right="0.7" top="0.75" bottom="0.75" header="0.3" footer="0.3"/>
  <pageSetup paperSize="9" scale="83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  <pageSetUpPr fitToPage="1"/>
  </sheetPr>
  <dimension ref="A1:X48"/>
  <sheetViews>
    <sheetView showGridLines="0" topLeftCell="F1" zoomScaleNormal="100" workbookViewId="0">
      <selection activeCell="K27" sqref="K27"/>
    </sheetView>
  </sheetViews>
  <sheetFormatPr baseColWidth="10" defaultColWidth="11.3984375" defaultRowHeight="14.25" x14ac:dyDescent="0.45"/>
  <cols>
    <col min="1" max="1" width="2.59765625" customWidth="1"/>
    <col min="2" max="2" width="30.73046875" customWidth="1"/>
    <col min="3" max="3" width="8.59765625" customWidth="1"/>
    <col min="4" max="4" width="6.59765625" customWidth="1"/>
    <col min="5" max="5" width="8.59765625" customWidth="1"/>
    <col min="6" max="6" width="6.59765625" customWidth="1"/>
    <col min="7" max="7" width="8.59765625" customWidth="1"/>
    <col min="8" max="8" width="6.59765625" customWidth="1"/>
    <col min="9" max="9" width="8.59765625" customWidth="1"/>
    <col min="10" max="10" width="6.59765625" customWidth="1"/>
    <col min="11" max="11" width="8.59765625" customWidth="1"/>
    <col min="12" max="12" width="6.59765625" customWidth="1"/>
    <col min="13" max="13" width="8.59765625" customWidth="1"/>
    <col min="14" max="14" width="6.59765625" customWidth="1"/>
    <col min="15" max="15" width="8.59765625" customWidth="1"/>
    <col min="16" max="16" width="6.265625" customWidth="1"/>
    <col min="17" max="19" width="8.59765625" customWidth="1"/>
    <col min="20" max="20" width="11.59765625" customWidth="1"/>
    <col min="21" max="21" width="1.59765625" customWidth="1"/>
  </cols>
  <sheetData>
    <row r="1" spans="1:21" ht="24.75" customHeight="1" thickBot="1" x14ac:dyDescent="0.6">
      <c r="A1" s="4"/>
      <c r="B1" s="305" t="s">
        <v>43</v>
      </c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7"/>
      <c r="U1" s="4"/>
    </row>
    <row r="2" spans="1:21" ht="14.65" thickBot="1" x14ac:dyDescent="0.5"/>
    <row r="3" spans="1:21" ht="19.5" customHeight="1" thickBot="1" x14ac:dyDescent="0.5">
      <c r="A3" s="9"/>
      <c r="B3" s="9" t="s">
        <v>31</v>
      </c>
      <c r="C3" s="143">
        <v>2017</v>
      </c>
      <c r="D3" s="145"/>
      <c r="E3" s="145">
        <v>2018</v>
      </c>
      <c r="F3" s="145"/>
      <c r="G3" s="145">
        <v>2019</v>
      </c>
      <c r="H3" s="144"/>
      <c r="I3" s="145">
        <f>G3+1</f>
        <v>2020</v>
      </c>
      <c r="J3" s="144"/>
      <c r="K3" s="145">
        <f>I3+1</f>
        <v>2021</v>
      </c>
      <c r="L3" s="144"/>
      <c r="M3" s="145">
        <f>K3+1</f>
        <v>2022</v>
      </c>
      <c r="N3" s="144"/>
      <c r="O3" s="145">
        <f t="shared" ref="O3" si="0">M3+1</f>
        <v>2023</v>
      </c>
      <c r="P3" s="145"/>
      <c r="Q3" s="145">
        <f>O3+1</f>
        <v>2024</v>
      </c>
      <c r="R3" s="145"/>
      <c r="S3" s="145">
        <f>Q3+1</f>
        <v>2025</v>
      </c>
      <c r="T3" s="145" t="s">
        <v>98</v>
      </c>
      <c r="U3" s="146"/>
    </row>
    <row r="4" spans="1:21" x14ac:dyDescent="0.45">
      <c r="B4" s="1"/>
      <c r="C4" s="1"/>
      <c r="D4" s="1"/>
      <c r="E4" s="1"/>
      <c r="F4" s="1"/>
      <c r="G4" s="2"/>
      <c r="I4" s="2"/>
      <c r="K4" s="2"/>
      <c r="M4" s="2"/>
      <c r="O4" s="2"/>
      <c r="P4" s="2"/>
      <c r="Q4" s="2"/>
      <c r="R4" s="2"/>
      <c r="S4" s="2"/>
      <c r="T4" s="2"/>
      <c r="U4" s="2"/>
    </row>
    <row r="5" spans="1:21" ht="9" customHeight="1" x14ac:dyDescent="0.45">
      <c r="A5" s="12"/>
      <c r="B5" s="13"/>
      <c r="C5" s="13"/>
      <c r="D5" s="13"/>
      <c r="E5" s="13"/>
      <c r="F5" s="13"/>
      <c r="G5" s="14"/>
      <c r="H5" s="30"/>
      <c r="I5" s="14"/>
      <c r="J5" s="30"/>
      <c r="K5" s="14"/>
      <c r="L5" s="30"/>
      <c r="M5" s="14"/>
      <c r="N5" s="30"/>
      <c r="O5" s="14"/>
      <c r="P5" s="14"/>
      <c r="Q5" s="14"/>
      <c r="R5" s="14"/>
      <c r="S5" s="14"/>
      <c r="T5" s="14"/>
      <c r="U5" s="15"/>
    </row>
    <row r="6" spans="1:21" ht="16.5" customHeight="1" x14ac:dyDescent="0.45">
      <c r="A6" s="21"/>
      <c r="B6" s="80" t="s">
        <v>33</v>
      </c>
      <c r="C6" s="2"/>
      <c r="D6" s="2"/>
      <c r="E6" s="2"/>
      <c r="F6" s="2"/>
      <c r="G6" s="2"/>
      <c r="H6" s="2"/>
      <c r="I6" s="2"/>
      <c r="K6" s="2"/>
      <c r="M6" s="2"/>
      <c r="O6" s="2"/>
      <c r="P6" s="2"/>
      <c r="Q6" s="2"/>
      <c r="R6" s="2"/>
      <c r="S6" s="2"/>
      <c r="T6" s="2"/>
      <c r="U6" s="24"/>
    </row>
    <row r="7" spans="1:21" ht="9" customHeight="1" x14ac:dyDescent="0.45">
      <c r="A7" s="21"/>
      <c r="B7" s="25"/>
      <c r="C7" s="25"/>
      <c r="D7" s="25"/>
      <c r="E7" s="25"/>
      <c r="F7" s="25"/>
      <c r="G7" s="23"/>
      <c r="H7" s="22"/>
      <c r="I7" s="23"/>
      <c r="J7" s="22"/>
      <c r="K7" s="23"/>
      <c r="L7" s="22"/>
      <c r="M7" s="23"/>
      <c r="N7" s="22"/>
      <c r="O7" s="23"/>
      <c r="P7" s="23"/>
      <c r="Q7" s="23"/>
      <c r="R7" s="23"/>
      <c r="S7" s="23"/>
      <c r="T7" s="23"/>
      <c r="U7" s="24"/>
    </row>
    <row r="8" spans="1:21" ht="16.5" customHeight="1" x14ac:dyDescent="0.45">
      <c r="A8" s="16"/>
      <c r="B8" s="118" t="s">
        <v>28</v>
      </c>
      <c r="C8" s="32">
        <f>+'Synthèse marchés selon Eleven'!D12</f>
        <v>191.39999999999998</v>
      </c>
      <c r="D8" s="32"/>
      <c r="E8" s="32">
        <f>+'Synthèse marchés selon Eleven'!F12</f>
        <v>187.95479999999998</v>
      </c>
      <c r="F8" s="32"/>
      <c r="G8" s="32">
        <f>+'Synthèse marchés selon Eleven'!H12</f>
        <v>185</v>
      </c>
      <c r="H8" s="17"/>
      <c r="I8" s="32">
        <f>+'Synthèse marchés selon Eleven'!J12</f>
        <v>181.29999999999998</v>
      </c>
      <c r="J8" s="17"/>
      <c r="K8" s="32">
        <f>+'Synthèse marchés selon Eleven'!L12</f>
        <v>180.39349999999999</v>
      </c>
      <c r="L8" s="17"/>
      <c r="M8" s="32">
        <f>+'Synthèse marchés selon Eleven'!O12</f>
        <v>178.22877799999998</v>
      </c>
      <c r="N8" s="17"/>
      <c r="O8" s="32">
        <f>+'Synthèse marchés selon Eleven'!Q12</f>
        <v>176.09003266399998</v>
      </c>
      <c r="P8" s="32"/>
      <c r="Q8" s="32">
        <f>+'Synthèse marchés selon Eleven'!S12</f>
        <v>173.97695227203198</v>
      </c>
      <c r="R8" s="32"/>
      <c r="S8" s="32">
        <f>+'Synthèse marchés selon Eleven'!U12</f>
        <v>171.88922884476759</v>
      </c>
      <c r="T8" s="55">
        <f>(S8/I8)^(1/($S$3-$I$3))-1</f>
        <v>-1.0603950828173114E-2</v>
      </c>
      <c r="U8" s="33"/>
    </row>
    <row r="9" spans="1:21" ht="16.5" customHeight="1" x14ac:dyDescent="0.45">
      <c r="A9" s="16"/>
      <c r="B9" s="118" t="s">
        <v>1</v>
      </c>
      <c r="C9" s="32">
        <f>+'Synthèse marchés selon Eleven'!D13</f>
        <v>69.3</v>
      </c>
      <c r="D9" s="32"/>
      <c r="E9" s="32">
        <f>+'Synthèse marchés selon Eleven'!F13</f>
        <v>76.923000000000002</v>
      </c>
      <c r="F9" s="32"/>
      <c r="G9" s="32">
        <f>+'Synthèse marchés selon Eleven'!H13</f>
        <v>85</v>
      </c>
      <c r="H9" s="17"/>
      <c r="I9" s="32">
        <f>+'Synthèse marchés selon Eleven'!J13</f>
        <v>76.5</v>
      </c>
      <c r="J9" s="17"/>
      <c r="K9" s="32">
        <f>+'Synthèse marchés selon Eleven'!L13</f>
        <v>81.855000000000004</v>
      </c>
      <c r="L9" s="17"/>
      <c r="M9" s="32">
        <f>+'Synthèse marchés selon Eleven'!O13</f>
        <v>86.766300000000015</v>
      </c>
      <c r="N9" s="17"/>
      <c r="O9" s="32">
        <f>+'Synthèse marchés selon Eleven'!Q13</f>
        <v>91.972278000000017</v>
      </c>
      <c r="P9" s="32"/>
      <c r="Q9" s="32">
        <f>+'Synthèse marchés selon Eleven'!S13</f>
        <v>97.490614680000022</v>
      </c>
      <c r="R9" s="32"/>
      <c r="S9" s="32">
        <f>+'Synthèse marchés selon Eleven'!U13</f>
        <v>103.34005156080003</v>
      </c>
      <c r="T9" s="55">
        <f>(S9/I9)^(1/($S$3-$I$3))-1</f>
        <v>6.199249526991335E-2</v>
      </c>
      <c r="U9" s="33"/>
    </row>
    <row r="10" spans="1:21" ht="16.5" customHeight="1" x14ac:dyDescent="0.45">
      <c r="A10" s="16"/>
      <c r="B10" s="118" t="s">
        <v>2</v>
      </c>
      <c r="C10" s="32">
        <f>+'Synthèse marchés selon Eleven'!D14</f>
        <v>8.8000000000000007</v>
      </c>
      <c r="D10" s="32"/>
      <c r="E10" s="32">
        <f>+'Synthèse marchés selon Eleven'!F14</f>
        <v>12.6</v>
      </c>
      <c r="F10" s="32"/>
      <c r="G10" s="32">
        <f>+'Synthèse marchés selon Eleven'!H14</f>
        <v>16.5</v>
      </c>
      <c r="H10" s="17"/>
      <c r="I10" s="32">
        <f>+'Synthèse marchés selon Eleven'!J14</f>
        <v>20.179500000000001</v>
      </c>
      <c r="J10" s="17"/>
      <c r="K10" s="32">
        <f>+'Synthèse marchés selon Eleven'!L14</f>
        <v>23.589835500000003</v>
      </c>
      <c r="L10" s="17"/>
      <c r="M10" s="32">
        <f>+'Synthèse marchés selon Eleven'!O14</f>
        <v>26.727283621500003</v>
      </c>
      <c r="N10" s="17"/>
      <c r="O10" s="32">
        <f>+'Synthèse marchés selon Eleven'!Q14</f>
        <v>29.560375685379007</v>
      </c>
      <c r="P10" s="32"/>
      <c r="Q10" s="32">
        <f>+'Synthèse marchés selon Eleven'!S14</f>
        <v>32.073007618636225</v>
      </c>
      <c r="R10" s="32"/>
      <c r="S10" s="32">
        <f>+'Synthèse marchés selon Eleven'!U14</f>
        <v>34.253972136703489</v>
      </c>
      <c r="T10" s="55">
        <f>(S10/I10)^(1/($S$3-$I$3))-1</f>
        <v>0.11162961358192791</v>
      </c>
      <c r="U10" s="33"/>
    </row>
    <row r="11" spans="1:21" ht="16.5" customHeight="1" x14ac:dyDescent="0.45">
      <c r="A11" s="34"/>
      <c r="B11" s="81" t="s">
        <v>3</v>
      </c>
      <c r="C11" s="83">
        <f t="shared" ref="C11:E11" si="1">SUM(C8:C10)</f>
        <v>269.5</v>
      </c>
      <c r="D11" s="83"/>
      <c r="E11" s="83">
        <f t="shared" si="1"/>
        <v>277.4778</v>
      </c>
      <c r="F11" s="83"/>
      <c r="G11" s="83">
        <f>SUM(G8:G10)</f>
        <v>286.5</v>
      </c>
      <c r="H11" s="82"/>
      <c r="I11" s="83">
        <f>SUM(I8:I10)</f>
        <v>277.97949999999997</v>
      </c>
      <c r="J11" s="82"/>
      <c r="K11" s="83">
        <f>SUM(K8:K10)</f>
        <v>285.83833549999997</v>
      </c>
      <c r="L11" s="82"/>
      <c r="M11" s="83">
        <f>SUM(M8:M10)</f>
        <v>291.7223616215</v>
      </c>
      <c r="N11" s="82"/>
      <c r="O11" s="83">
        <f>SUM(O8:O10)</f>
        <v>297.62268634937902</v>
      </c>
      <c r="P11" s="83"/>
      <c r="Q11" s="83">
        <f t="shared" ref="Q11:S11" si="2">SUM(Q8:Q10)</f>
        <v>303.54057457066824</v>
      </c>
      <c r="R11" s="83"/>
      <c r="S11" s="83">
        <f t="shared" si="2"/>
        <v>309.48325254227115</v>
      </c>
      <c r="T11" s="84">
        <f>(S11/I11)^(1/($S$3-$I$3))-1</f>
        <v>2.1703489374321538E-2</v>
      </c>
      <c r="U11" s="37"/>
    </row>
    <row r="12" spans="1:21" ht="9" customHeight="1" x14ac:dyDescent="0.45">
      <c r="A12" s="26"/>
      <c r="B12" s="5"/>
      <c r="C12" s="5"/>
      <c r="D12" s="5"/>
      <c r="E12" s="5"/>
      <c r="F12" s="5"/>
      <c r="G12" s="27"/>
      <c r="H12" s="5"/>
      <c r="I12" s="27"/>
      <c r="J12" s="5"/>
      <c r="K12" s="27"/>
      <c r="L12" s="5"/>
      <c r="M12" s="27"/>
      <c r="N12" s="5"/>
      <c r="O12" s="27"/>
      <c r="P12" s="27"/>
      <c r="Q12" s="27"/>
      <c r="R12" s="27"/>
      <c r="S12" s="27"/>
      <c r="T12" s="27"/>
      <c r="U12" s="28"/>
    </row>
    <row r="13" spans="1:21" ht="16.5" customHeight="1" x14ac:dyDescent="0.45">
      <c r="A13" s="22"/>
      <c r="B13" s="22"/>
      <c r="C13" s="22"/>
      <c r="D13" s="22"/>
      <c r="E13" s="22"/>
      <c r="F13" s="22"/>
      <c r="G13" s="23"/>
      <c r="H13" s="22"/>
      <c r="I13" s="23"/>
      <c r="J13" s="22"/>
      <c r="K13" s="23"/>
      <c r="L13" s="22"/>
      <c r="M13" s="23"/>
      <c r="N13" s="22"/>
      <c r="O13" s="23"/>
      <c r="P13" s="23"/>
      <c r="Q13" s="23"/>
      <c r="R13" s="23"/>
      <c r="S13" s="23"/>
      <c r="T13" s="23"/>
      <c r="U13" s="23"/>
    </row>
    <row r="14" spans="1:21" ht="9" customHeight="1" x14ac:dyDescent="0.45">
      <c r="A14" s="12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47"/>
    </row>
    <row r="15" spans="1:21" ht="16.5" customHeight="1" x14ac:dyDescent="0.45">
      <c r="A15" s="21"/>
      <c r="B15" s="100" t="s">
        <v>39</v>
      </c>
      <c r="C15" s="2"/>
      <c r="D15" s="2"/>
      <c r="E15" s="2"/>
      <c r="F15" s="2"/>
      <c r="G15" s="23"/>
      <c r="H15" s="67"/>
      <c r="I15" s="68"/>
      <c r="J15" s="67" t="s">
        <v>34</v>
      </c>
      <c r="K15" s="68"/>
      <c r="L15" s="67" t="s">
        <v>34</v>
      </c>
      <c r="M15" s="68"/>
      <c r="N15" s="67" t="s">
        <v>34</v>
      </c>
      <c r="O15" s="23"/>
      <c r="P15" s="67" t="s">
        <v>34</v>
      </c>
      <c r="Q15" s="68"/>
      <c r="R15" s="67" t="s">
        <v>34</v>
      </c>
      <c r="T15" s="23"/>
      <c r="U15" s="48"/>
    </row>
    <row r="16" spans="1:21" s="62" customFormat="1" ht="9" customHeight="1" x14ac:dyDescent="0.35">
      <c r="A16" s="57"/>
      <c r="B16" s="58"/>
      <c r="C16" s="58"/>
      <c r="D16" s="58"/>
      <c r="E16" s="58"/>
      <c r="F16" s="58"/>
      <c r="G16" s="60"/>
      <c r="O16" s="60"/>
      <c r="P16" s="60"/>
      <c r="Q16" s="60"/>
      <c r="R16" s="60"/>
      <c r="S16" s="60"/>
      <c r="T16" s="60"/>
      <c r="U16" s="61"/>
    </row>
    <row r="17" spans="1:24" ht="16.5" customHeight="1" x14ac:dyDescent="0.45">
      <c r="A17" s="21"/>
      <c r="B17" s="118" t="s">
        <v>28</v>
      </c>
      <c r="C17" s="134">
        <f>'Synthèse Altarès'!X7/('BP France'!C8)</f>
        <v>0.18247428913537952</v>
      </c>
      <c r="D17" s="217">
        <f>+E17-C17</f>
        <v>-2.7590048980792314E-3</v>
      </c>
      <c r="E17" s="134">
        <f>'Synthèse Altarès'!Y7/('BP France'!E8)</f>
        <v>0.17971528423730029</v>
      </c>
      <c r="F17" s="217">
        <f>+G17-E17</f>
        <v>-5.6070938646625157E-3</v>
      </c>
      <c r="G17" s="134">
        <f>'Synthèse Altarès'!Z7/('BP France'!G8)</f>
        <v>0.17410819037263778</v>
      </c>
      <c r="H17" s="217">
        <f>+I17-G17</f>
        <v>-5.1148105648231856E-3</v>
      </c>
      <c r="I17" s="31">
        <f>'Synthèse Altarès'!AA7/I8</f>
        <v>0.16899337980781459</v>
      </c>
      <c r="J17" s="226">
        <v>3.0000000000000001E-3</v>
      </c>
      <c r="K17" s="31">
        <f>+J17+I17</f>
        <v>0.17199337980781459</v>
      </c>
      <c r="L17" s="138">
        <v>4.0000000000000001E-3</v>
      </c>
      <c r="M17" s="31">
        <f>+L17+K17</f>
        <v>0.1759933798078146</v>
      </c>
      <c r="N17" s="138">
        <v>5.0000000000000001E-3</v>
      </c>
      <c r="O17" s="31">
        <f>+N17+M17</f>
        <v>0.1809933798078146</v>
      </c>
      <c r="P17" s="138">
        <v>7.0000000000000001E-3</v>
      </c>
      <c r="Q17" s="31">
        <f>+P17+O17</f>
        <v>0.18799337980781461</v>
      </c>
      <c r="R17" s="138">
        <v>0.01</v>
      </c>
      <c r="S17" s="31">
        <f>+R17+Q17</f>
        <v>0.19799337980781462</v>
      </c>
      <c r="T17" s="31"/>
      <c r="U17" s="24"/>
      <c r="V17" s="62"/>
      <c r="W17" s="62"/>
      <c r="X17" s="62"/>
    </row>
    <row r="18" spans="1:24" ht="16.5" customHeight="1" x14ac:dyDescent="0.45">
      <c r="A18" s="21"/>
      <c r="B18" s="118" t="s">
        <v>1</v>
      </c>
      <c r="C18" s="134">
        <f>'Synthèse Altarès'!X8/('BP France'!C9)</f>
        <v>0.18731234321435569</v>
      </c>
      <c r="D18" s="217">
        <f t="shared" ref="D18:F19" si="3">+E18-C18</f>
        <v>-6.5585294369258362E-3</v>
      </c>
      <c r="E18" s="134">
        <f>'Synthèse Altarès'!Y8/('BP France'!E9)</f>
        <v>0.18075381377742986</v>
      </c>
      <c r="F18" s="217">
        <f t="shared" si="3"/>
        <v>-1.0894753034564386E-2</v>
      </c>
      <c r="G18" s="216">
        <f>'Synthèse Altarès'!Z8/('BP France'!G9)</f>
        <v>0.16985906074286547</v>
      </c>
      <c r="H18" s="217">
        <f t="shared" ref="H18:H19" si="4">+I18-G18</f>
        <v>1.9910798238412242E-3</v>
      </c>
      <c r="I18" s="31">
        <f>'Synthèse Altarès'!AA8/'BP France'!I9</f>
        <v>0.17185014056670669</v>
      </c>
      <c r="J18" s="138">
        <v>1E-3</v>
      </c>
      <c r="K18" s="31">
        <f t="shared" ref="K18:K19" si="5">+J18+I18</f>
        <v>0.17285014056670669</v>
      </c>
      <c r="L18" s="138">
        <v>3.0000000000000001E-3</v>
      </c>
      <c r="M18" s="31">
        <f t="shared" ref="M18:M19" si="6">+L18+K18</f>
        <v>0.1758501405667067</v>
      </c>
      <c r="N18" s="138">
        <v>4.0000000000000001E-3</v>
      </c>
      <c r="O18" s="31">
        <f t="shared" ref="O18:O19" si="7">+N18+M18</f>
        <v>0.1798501405667067</v>
      </c>
      <c r="P18" s="138">
        <v>8.0000000000000002E-3</v>
      </c>
      <c r="Q18" s="31">
        <f t="shared" ref="Q18:Q19" si="8">+P18+O18</f>
        <v>0.18785014056670671</v>
      </c>
      <c r="R18" s="138">
        <v>0.01</v>
      </c>
      <c r="S18" s="31">
        <f t="shared" ref="S18:S19" si="9">+R18+Q18</f>
        <v>0.19785014056670672</v>
      </c>
      <c r="T18" s="31"/>
      <c r="U18" s="24"/>
      <c r="V18" s="62"/>
      <c r="W18" s="62"/>
      <c r="X18" s="62"/>
    </row>
    <row r="19" spans="1:24" ht="16.5" customHeight="1" x14ac:dyDescent="0.45">
      <c r="A19" s="21"/>
      <c r="B19" s="118" t="s">
        <v>2</v>
      </c>
      <c r="C19" s="134">
        <f>'Synthèse Altarès'!X9/('BP France'!C10)</f>
        <v>0.26220866076517207</v>
      </c>
      <c r="D19" s="217">
        <f t="shared" si="3"/>
        <v>-0.12711715861962894</v>
      </c>
      <c r="E19" s="134">
        <f>'Synthèse Altarès'!Y9/('BP France'!E10)</f>
        <v>0.13509150214554314</v>
      </c>
      <c r="F19" s="217">
        <f t="shared" si="3"/>
        <v>3.7060617728301742E-2</v>
      </c>
      <c r="G19" s="216">
        <f>'Synthèse Altarès'!Z9/('BP France'!G10)</f>
        <v>0.17215211987384488</v>
      </c>
      <c r="H19" s="217">
        <f t="shared" si="4"/>
        <v>4.069640984900752E-2</v>
      </c>
      <c r="I19" s="31">
        <f>'Synthèse Altarès'!AA9/'BP France'!I10</f>
        <v>0.2128485297228524</v>
      </c>
      <c r="J19" s="138">
        <v>1.2999999999999999E-2</v>
      </c>
      <c r="K19" s="31">
        <f t="shared" si="5"/>
        <v>0.22584852972285241</v>
      </c>
      <c r="L19" s="138">
        <f t="shared" ref="L19" si="10">+J19</f>
        <v>1.2999999999999999E-2</v>
      </c>
      <c r="M19" s="31">
        <f t="shared" si="6"/>
        <v>0.23884852972285242</v>
      </c>
      <c r="N19" s="138">
        <f>+J19</f>
        <v>1.2999999999999999E-2</v>
      </c>
      <c r="O19" s="31">
        <f t="shared" si="7"/>
        <v>0.25184852972285243</v>
      </c>
      <c r="P19" s="138">
        <v>1.4999999999999999E-2</v>
      </c>
      <c r="Q19" s="31">
        <f t="shared" si="8"/>
        <v>0.26684852972285245</v>
      </c>
      <c r="R19" s="138">
        <v>1.7999999999999999E-2</v>
      </c>
      <c r="S19" s="31">
        <f t="shared" si="9"/>
        <v>0.28484852972285246</v>
      </c>
      <c r="T19" s="31"/>
      <c r="U19" s="24"/>
      <c r="V19" s="62"/>
      <c r="W19" s="62"/>
      <c r="X19" s="62"/>
    </row>
    <row r="20" spans="1:24" ht="9" customHeight="1" x14ac:dyDescent="0.45">
      <c r="A20" s="26"/>
      <c r="B20" s="51"/>
      <c r="C20" s="51"/>
      <c r="D20" s="51"/>
      <c r="E20" s="51"/>
      <c r="F20" s="51"/>
      <c r="G20" s="52"/>
      <c r="H20" s="51"/>
      <c r="I20" s="52"/>
      <c r="J20" s="51"/>
      <c r="K20" s="52"/>
      <c r="L20" s="51"/>
      <c r="M20" s="52"/>
      <c r="N20" s="51"/>
      <c r="O20" s="52"/>
      <c r="P20" s="52"/>
      <c r="Q20" s="52"/>
      <c r="R20" s="52"/>
      <c r="S20" s="52"/>
      <c r="T20" s="52"/>
      <c r="U20" s="28"/>
      <c r="V20" s="62"/>
      <c r="W20" s="62"/>
      <c r="X20" s="62"/>
    </row>
    <row r="21" spans="1:24" ht="16.5" customHeight="1" thickBot="1" x14ac:dyDescent="0.5">
      <c r="B21" s="20"/>
      <c r="C21" s="20"/>
      <c r="D21" s="20"/>
      <c r="E21" s="20"/>
      <c r="F21" s="20"/>
      <c r="G21" s="36"/>
      <c r="H21" s="20"/>
      <c r="I21" s="36"/>
      <c r="J21" s="20"/>
      <c r="K21" s="36"/>
      <c r="L21" s="20"/>
      <c r="M21" s="36"/>
      <c r="N21" s="20"/>
      <c r="O21" s="36"/>
      <c r="P21" s="36"/>
      <c r="Q21" s="36"/>
      <c r="R21" s="36"/>
      <c r="S21" s="36"/>
      <c r="T21" s="36"/>
      <c r="U21" s="2"/>
      <c r="V21" s="62"/>
      <c r="W21" s="62"/>
      <c r="X21" s="62"/>
    </row>
    <row r="22" spans="1:24" ht="9" customHeight="1" x14ac:dyDescent="0.45">
      <c r="A22" s="70"/>
      <c r="B22" s="71"/>
      <c r="C22" s="71"/>
      <c r="D22" s="71"/>
      <c r="E22" s="71"/>
      <c r="F22" s="71"/>
      <c r="G22" s="72"/>
      <c r="H22" s="71"/>
      <c r="I22" s="72"/>
      <c r="J22" s="71"/>
      <c r="K22" s="72"/>
      <c r="L22" s="71"/>
      <c r="M22" s="72"/>
      <c r="N22" s="71"/>
      <c r="O22" s="72"/>
      <c r="P22" s="72"/>
      <c r="Q22" s="72"/>
      <c r="R22" s="72"/>
      <c r="S22" s="72"/>
      <c r="T22" s="72"/>
      <c r="U22" s="73"/>
    </row>
    <row r="23" spans="1:24" ht="16.5" customHeight="1" x14ac:dyDescent="0.45">
      <c r="A23" s="74"/>
      <c r="B23" s="80" t="s">
        <v>35</v>
      </c>
      <c r="C23" s="2"/>
      <c r="D23" s="2"/>
      <c r="E23" s="2"/>
      <c r="F23" s="2"/>
      <c r="G23" s="23"/>
      <c r="H23" s="22"/>
      <c r="I23" s="23"/>
      <c r="J23" s="22"/>
      <c r="K23" s="23"/>
      <c r="L23" s="22"/>
      <c r="M23" s="23"/>
      <c r="N23" s="22"/>
      <c r="O23" s="23"/>
      <c r="P23" s="23"/>
      <c r="Q23" s="23"/>
      <c r="R23" s="23"/>
      <c r="S23" s="23"/>
      <c r="T23" s="23"/>
      <c r="U23" s="75"/>
    </row>
    <row r="24" spans="1:24" ht="9" customHeight="1" x14ac:dyDescent="0.45">
      <c r="A24" s="74"/>
      <c r="B24" s="25"/>
      <c r="C24" s="25"/>
      <c r="D24" s="25"/>
      <c r="E24" s="25"/>
      <c r="F24" s="25"/>
      <c r="G24" s="23"/>
      <c r="H24" s="22"/>
      <c r="I24" s="23"/>
      <c r="J24" s="22"/>
      <c r="K24" s="23"/>
      <c r="L24" s="22"/>
      <c r="M24" s="23"/>
      <c r="N24" s="22"/>
      <c r="O24" s="23"/>
      <c r="P24" s="23"/>
      <c r="Q24" s="23"/>
      <c r="R24" s="23"/>
      <c r="S24" s="23"/>
      <c r="T24" s="23"/>
      <c r="U24" s="75"/>
    </row>
    <row r="25" spans="1:24" ht="16.5" customHeight="1" x14ac:dyDescent="0.45">
      <c r="A25" s="74"/>
      <c r="B25" s="118" t="s">
        <v>28</v>
      </c>
      <c r="C25" s="41">
        <f t="shared" ref="C25:E25" si="11">+C8*C17</f>
        <v>34.925578940511635</v>
      </c>
      <c r="D25" s="41"/>
      <c r="E25" s="41">
        <f t="shared" si="11"/>
        <v>33.778350305764924</v>
      </c>
      <c r="F25" s="41"/>
      <c r="G25" s="41">
        <f>+G8*G17</f>
        <v>32.21001521893799</v>
      </c>
      <c r="H25" s="42"/>
      <c r="I25" s="41">
        <f>+I8*I17</f>
        <v>30.638499759156783</v>
      </c>
      <c r="J25" s="42"/>
      <c r="K25" s="41">
        <f>+K8*K17</f>
        <v>31.026487760361</v>
      </c>
      <c r="L25" s="42"/>
      <c r="M25" s="41">
        <f>+M8*M17</f>
        <v>31.367085019236665</v>
      </c>
      <c r="N25" s="42"/>
      <c r="O25" s="41">
        <f>+O8*O17</f>
        <v>31.871130162325827</v>
      </c>
      <c r="P25" s="41"/>
      <c r="Q25" s="41">
        <f t="shared" ref="Q25:S25" si="12">+Q8*Q17</f>
        <v>32.706515266282146</v>
      </c>
      <c r="R25" s="41"/>
      <c r="S25" s="41">
        <f t="shared" si="12"/>
        <v>34.032929371534429</v>
      </c>
      <c r="T25" s="55">
        <f>(S25/I25)^(1/($S$3-$I$3))-1</f>
        <v>2.1236591214319755E-2</v>
      </c>
      <c r="U25" s="75"/>
    </row>
    <row r="26" spans="1:24" ht="16.5" customHeight="1" x14ac:dyDescent="0.45">
      <c r="A26" s="74"/>
      <c r="B26" s="118" t="s">
        <v>1</v>
      </c>
      <c r="C26" s="41">
        <f t="shared" ref="C26" si="13">+C9*C18</f>
        <v>12.980745384754849</v>
      </c>
      <c r="D26" s="118"/>
      <c r="E26" s="41">
        <f t="shared" ref="E26" si="14">+E9*E18</f>
        <v>13.904125617201236</v>
      </c>
      <c r="F26" s="118"/>
      <c r="G26" s="41">
        <f>+G9*G18</f>
        <v>14.438020163143564</v>
      </c>
      <c r="H26" s="42"/>
      <c r="I26" s="41">
        <f>+I9*I18</f>
        <v>13.146535753353062</v>
      </c>
      <c r="J26" s="42"/>
      <c r="K26" s="41">
        <f>+K9*K18</f>
        <v>14.148648256087776</v>
      </c>
      <c r="L26" s="42"/>
      <c r="M26" s="41">
        <f>+M9*M18</f>
        <v>15.257866051453046</v>
      </c>
      <c r="N26" s="42"/>
      <c r="O26" s="41">
        <f>+O9*O18</f>
        <v>16.541227126540228</v>
      </c>
      <c r="P26" s="41"/>
      <c r="Q26" s="41">
        <f t="shared" ref="Q26" si="15">+Q9*Q18</f>
        <v>18.313625671572645</v>
      </c>
      <c r="R26" s="41"/>
      <c r="S26" s="41">
        <f t="shared" ref="S26" si="16">+S9*S18</f>
        <v>20.445843727475008</v>
      </c>
      <c r="T26" s="55">
        <f>(S26/I26)^(1/($S$3-$I$3))-1</f>
        <v>9.2342275816197139E-2</v>
      </c>
      <c r="U26" s="75"/>
    </row>
    <row r="27" spans="1:24" ht="16.5" customHeight="1" x14ac:dyDescent="0.45">
      <c r="A27" s="74"/>
      <c r="B27" s="118" t="s">
        <v>2</v>
      </c>
      <c r="C27" s="41">
        <f t="shared" ref="C27" si="17">+C10*C19</f>
        <v>2.3074362147335146</v>
      </c>
      <c r="D27" s="118"/>
      <c r="E27" s="41">
        <f t="shared" ref="E27" si="18">+E10*E19</f>
        <v>1.7021529270338434</v>
      </c>
      <c r="F27" s="118"/>
      <c r="G27" s="41">
        <f>+G10*G19</f>
        <v>2.8405099779184404</v>
      </c>
      <c r="H27" s="42"/>
      <c r="I27" s="41">
        <f>+I10*I19</f>
        <v>4.2951769055423004</v>
      </c>
      <c r="J27" s="42"/>
      <c r="K27" s="41">
        <f>+K10*K19</f>
        <v>5.3277296640789498</v>
      </c>
      <c r="L27" s="42"/>
      <c r="M27" s="41">
        <f>+M10*M19</f>
        <v>6.3837723964809499</v>
      </c>
      <c r="N27" s="42"/>
      <c r="O27" s="41">
        <f>+O10*O19</f>
        <v>7.4447371544178589</v>
      </c>
      <c r="P27" s="41"/>
      <c r="Q27" s="41">
        <f t="shared" ref="Q27" si="19">+Q10*Q19</f>
        <v>8.558634926822922</v>
      </c>
      <c r="R27" s="41"/>
      <c r="S27" s="41">
        <f t="shared" ref="S27" si="20">+S10*S19</f>
        <v>9.7571936003075432</v>
      </c>
      <c r="T27" s="55">
        <f>(S27/I27)^(1/($S$3-$I$3))-1</f>
        <v>0.17833498804850834</v>
      </c>
      <c r="U27" s="75"/>
    </row>
    <row r="28" spans="1:24" ht="16.5" customHeight="1" x14ac:dyDescent="0.45">
      <c r="A28" s="74"/>
      <c r="B28" s="81" t="s">
        <v>36</v>
      </c>
      <c r="C28" s="87">
        <f t="shared" ref="C28:E28" si="21">SUM(C25:C27)</f>
        <v>50.213760539999996</v>
      </c>
      <c r="D28" s="87"/>
      <c r="E28" s="87">
        <f t="shared" si="21"/>
        <v>49.384628850000006</v>
      </c>
      <c r="F28" s="87"/>
      <c r="G28" s="87">
        <f>SUM(G25:G27)</f>
        <v>49.488545359999989</v>
      </c>
      <c r="H28" s="86"/>
      <c r="I28" s="87">
        <f>SUM(I25:I27)</f>
        <v>48.080212418052142</v>
      </c>
      <c r="J28" s="86"/>
      <c r="K28" s="87">
        <f>SUM(K25:K27)</f>
        <v>50.502865680527727</v>
      </c>
      <c r="L28" s="86"/>
      <c r="M28" s="87">
        <f>SUM(M25:M27)</f>
        <v>53.008723467170661</v>
      </c>
      <c r="N28" s="86"/>
      <c r="O28" s="87">
        <f>SUM(O25:O27)</f>
        <v>55.857094443283913</v>
      </c>
      <c r="P28" s="87"/>
      <c r="Q28" s="87">
        <f t="shared" ref="Q28:S28" si="22">SUM(Q25:Q27)</f>
        <v>59.578775864677709</v>
      </c>
      <c r="R28" s="87"/>
      <c r="S28" s="87">
        <f t="shared" si="22"/>
        <v>64.235966699316975</v>
      </c>
      <c r="T28" s="84">
        <f>(S28/I28)^(1/($S$3-$I$3))-1</f>
        <v>5.9649841043065255E-2</v>
      </c>
      <c r="U28" s="75"/>
    </row>
    <row r="29" spans="1:24" ht="9" customHeight="1" x14ac:dyDescent="0.45">
      <c r="A29" s="74"/>
      <c r="B29" s="25"/>
      <c r="C29" s="25"/>
      <c r="D29" s="25"/>
      <c r="E29" s="25"/>
      <c r="F29" s="25"/>
      <c r="G29" s="23"/>
      <c r="H29" s="22"/>
      <c r="I29" s="23"/>
      <c r="J29" s="22"/>
      <c r="K29" s="23"/>
      <c r="L29" s="22"/>
      <c r="M29" s="23"/>
      <c r="N29" s="22"/>
      <c r="O29" s="23"/>
      <c r="P29" s="23"/>
      <c r="Q29" s="23"/>
      <c r="R29" s="23"/>
      <c r="S29" s="23"/>
      <c r="T29" s="23"/>
      <c r="U29" s="75"/>
    </row>
    <row r="30" spans="1:24" ht="16.5" customHeight="1" x14ac:dyDescent="0.45">
      <c r="A30" s="74"/>
      <c r="B30" s="81" t="s">
        <v>37</v>
      </c>
      <c r="C30" s="85">
        <f t="shared" ref="C30:E30" si="23">+C28/C11</f>
        <v>0.18632193150278292</v>
      </c>
      <c r="D30" s="85"/>
      <c r="E30" s="85">
        <f t="shared" si="23"/>
        <v>0.17797686463565734</v>
      </c>
      <c r="F30" s="85"/>
      <c r="G30" s="85">
        <f>+G28/G11</f>
        <v>0.17273488781849908</v>
      </c>
      <c r="H30" s="86"/>
      <c r="I30" s="85">
        <f>+I28/I11</f>
        <v>0.1729631588590243</v>
      </c>
      <c r="J30" s="86"/>
      <c r="K30" s="85">
        <f>+K28/K11</f>
        <v>0.17668331853453481</v>
      </c>
      <c r="L30" s="86"/>
      <c r="M30" s="85">
        <f>+M28/M11</f>
        <v>0.18170949656559995</v>
      </c>
      <c r="N30" s="86"/>
      <c r="O30" s="85">
        <f>+O28/O11</f>
        <v>0.18767754275866361</v>
      </c>
      <c r="P30" s="85"/>
      <c r="Q30" s="85">
        <f t="shared" ref="Q30" si="24">+Q28/Q11</f>
        <v>0.19627944616282916</v>
      </c>
      <c r="R30" s="85"/>
      <c r="S30" s="85">
        <f>+S28/S11</f>
        <v>0.20755878119945514</v>
      </c>
      <c r="T30" s="85"/>
      <c r="U30" s="75"/>
    </row>
    <row r="31" spans="1:24" ht="9" customHeight="1" thickBot="1" x14ac:dyDescent="0.5">
      <c r="A31" s="76"/>
      <c r="B31" s="77"/>
      <c r="C31" s="77"/>
      <c r="D31" s="77"/>
      <c r="E31" s="77"/>
      <c r="F31" s="77"/>
      <c r="G31" s="77"/>
      <c r="H31" s="77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9"/>
    </row>
    <row r="32" spans="1:24" ht="16.149999999999999" customHeight="1" x14ac:dyDescent="0.45"/>
    <row r="33" ht="16.5" customHeight="1" x14ac:dyDescent="0.45"/>
    <row r="34" ht="16.5" customHeight="1" x14ac:dyDescent="0.45"/>
    <row r="35" ht="16.5" customHeight="1" x14ac:dyDescent="0.45"/>
    <row r="36" ht="16.5" customHeight="1" x14ac:dyDescent="0.45"/>
    <row r="37" ht="16.5" customHeight="1" x14ac:dyDescent="0.45"/>
    <row r="38" ht="16.5" customHeight="1" x14ac:dyDescent="0.45"/>
    <row r="39" ht="16.5" customHeight="1" x14ac:dyDescent="0.45"/>
    <row r="40" ht="16.5" customHeight="1" x14ac:dyDescent="0.45"/>
    <row r="41" ht="16.5" customHeight="1" x14ac:dyDescent="0.45"/>
    <row r="42" ht="16.5" customHeight="1" x14ac:dyDescent="0.45"/>
    <row r="43" ht="16.5" customHeight="1" x14ac:dyDescent="0.45"/>
    <row r="44" ht="16.5" customHeight="1" x14ac:dyDescent="0.45"/>
    <row r="45" ht="16.5" customHeight="1" x14ac:dyDescent="0.45"/>
    <row r="46" ht="16.5" customHeight="1" x14ac:dyDescent="0.45"/>
    <row r="47" ht="16.5" customHeight="1" x14ac:dyDescent="0.45"/>
    <row r="48" ht="16.5" customHeight="1" x14ac:dyDescent="0.45"/>
  </sheetData>
  <mergeCells count="1">
    <mergeCell ref="B1:T1"/>
  </mergeCells>
  <printOptions horizontalCentered="1"/>
  <pageMargins left="0.25" right="0.25" top="0.75" bottom="0.75" header="0.3" footer="0.3"/>
  <pageSetup paperSize="9" scale="81" orientation="portrait" horizontalDpi="4294967293" r:id="rId1"/>
  <ignoredErrors>
    <ignoredError sqref="K17 K18 K19 E17:E19 G17:G19 M19 M18 M17 L20:N20 L19 N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  <pageSetUpPr fitToPage="1"/>
  </sheetPr>
  <dimension ref="A1:V50"/>
  <sheetViews>
    <sheetView showGridLines="0" topLeftCell="E1" zoomScaleNormal="100" zoomScaleSheetLayoutView="100" workbookViewId="0">
      <selection activeCell="J17" sqref="J17:R19"/>
    </sheetView>
  </sheetViews>
  <sheetFormatPr baseColWidth="10" defaultColWidth="11.3984375" defaultRowHeight="14.25" x14ac:dyDescent="0.45"/>
  <cols>
    <col min="1" max="1" width="2.59765625" customWidth="1"/>
    <col min="2" max="2" width="30.59765625" customWidth="1"/>
    <col min="3" max="3" width="8.59765625" customWidth="1"/>
    <col min="4" max="4" width="6.59765625" customWidth="1"/>
    <col min="5" max="5" width="8.59765625" customWidth="1"/>
    <col min="6" max="6" width="6.59765625" customWidth="1"/>
    <col min="7" max="7" width="8.59765625" customWidth="1"/>
    <col min="8" max="8" width="6.59765625" customWidth="1"/>
    <col min="9" max="9" width="8.59765625" customWidth="1"/>
    <col min="10" max="10" width="6.59765625" customWidth="1"/>
    <col min="11" max="11" width="8.59765625" customWidth="1"/>
    <col min="12" max="12" width="6.59765625" customWidth="1"/>
    <col min="13" max="13" width="8.59765625" customWidth="1"/>
    <col min="14" max="14" width="6.59765625" customWidth="1"/>
    <col min="15" max="19" width="8.59765625" customWidth="1"/>
    <col min="20" max="20" width="11.59765625" customWidth="1"/>
    <col min="21" max="21" width="1.73046875" customWidth="1"/>
  </cols>
  <sheetData>
    <row r="1" spans="1:21" s="6" customFormat="1" ht="24" customHeight="1" thickBot="1" x14ac:dyDescent="0.5">
      <c r="A1" s="63"/>
      <c r="B1" s="308" t="s">
        <v>44</v>
      </c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10"/>
      <c r="U1" s="63"/>
    </row>
    <row r="2" spans="1:21" ht="14.65" thickBot="1" x14ac:dyDescent="0.5"/>
    <row r="3" spans="1:21" ht="19.5" customHeight="1" thickBot="1" x14ac:dyDescent="0.5">
      <c r="A3" s="9"/>
      <c r="B3" s="9"/>
      <c r="C3" s="148">
        <v>2017</v>
      </c>
      <c r="D3" s="147"/>
      <c r="E3" s="148">
        <v>2018</v>
      </c>
      <c r="F3" s="147"/>
      <c r="G3" s="148">
        <f>'BP France'!G3</f>
        <v>2019</v>
      </c>
      <c r="H3" s="147"/>
      <c r="I3" s="148">
        <f>'BP France'!I3</f>
        <v>2020</v>
      </c>
      <c r="J3" s="147"/>
      <c r="K3" s="148">
        <f>'BP France'!K3</f>
        <v>2021</v>
      </c>
      <c r="L3" s="147"/>
      <c r="M3" s="148">
        <f>'BP France'!M3</f>
        <v>2022</v>
      </c>
      <c r="N3" s="147"/>
      <c r="O3" s="148">
        <f>'BP France'!O3</f>
        <v>2023</v>
      </c>
      <c r="P3" s="148"/>
      <c r="Q3" s="148">
        <f>'BP France'!Q3</f>
        <v>2024</v>
      </c>
      <c r="R3" s="148"/>
      <c r="S3" s="148">
        <f>'BP France'!S3</f>
        <v>2025</v>
      </c>
      <c r="T3" s="148" t="str">
        <f>'BP France'!T3</f>
        <v>CAGR 20-25</v>
      </c>
      <c r="U3" s="149"/>
    </row>
    <row r="4" spans="1:21" x14ac:dyDescent="0.45">
      <c r="B4" s="1"/>
      <c r="C4" s="1"/>
      <c r="D4" s="1"/>
      <c r="E4" s="1"/>
      <c r="F4" s="1"/>
      <c r="G4" s="2"/>
      <c r="I4" s="2"/>
      <c r="K4" s="2"/>
      <c r="M4" s="2"/>
      <c r="O4" s="2"/>
      <c r="P4" s="2"/>
      <c r="Q4" s="2"/>
      <c r="R4" s="2"/>
      <c r="S4" s="2"/>
      <c r="T4" s="2"/>
      <c r="U4" s="2"/>
    </row>
    <row r="5" spans="1:21" ht="9" customHeight="1" x14ac:dyDescent="0.45">
      <c r="A5" s="12"/>
      <c r="B5" s="13"/>
      <c r="C5" s="13"/>
      <c r="D5" s="13"/>
      <c r="E5" s="13"/>
      <c r="F5" s="13"/>
      <c r="G5" s="14"/>
      <c r="H5" s="30"/>
      <c r="I5" s="14"/>
      <c r="J5" s="30"/>
      <c r="K5" s="14"/>
      <c r="L5" s="30"/>
      <c r="M5" s="14"/>
      <c r="N5" s="30"/>
      <c r="O5" s="14"/>
      <c r="P5" s="14"/>
      <c r="Q5" s="14"/>
      <c r="R5" s="14"/>
      <c r="S5" s="14"/>
      <c r="T5" s="14"/>
      <c r="U5" s="15"/>
    </row>
    <row r="6" spans="1:21" s="6" customFormat="1" ht="16.5" customHeight="1" x14ac:dyDescent="0.45">
      <c r="A6" s="16"/>
      <c r="B6" s="88" t="s">
        <v>38</v>
      </c>
      <c r="C6" s="17"/>
      <c r="D6" s="17"/>
      <c r="E6" s="17"/>
      <c r="F6" s="17"/>
      <c r="G6" s="18"/>
      <c r="H6" s="17"/>
      <c r="I6" s="18"/>
      <c r="J6" s="17"/>
      <c r="K6" s="18"/>
      <c r="L6" s="17"/>
      <c r="M6" s="18"/>
      <c r="N6" s="17"/>
      <c r="O6" s="18"/>
      <c r="P6" s="18"/>
      <c r="Q6" s="18"/>
      <c r="R6" s="18"/>
      <c r="S6" s="18"/>
      <c r="T6" s="18"/>
      <c r="U6" s="33"/>
    </row>
    <row r="7" spans="1:21" ht="9" customHeight="1" x14ac:dyDescent="0.45">
      <c r="A7" s="21"/>
      <c r="B7" s="25"/>
      <c r="C7" s="25"/>
      <c r="D7" s="25"/>
      <c r="E7" s="25"/>
      <c r="F7" s="25"/>
      <c r="G7" s="23"/>
      <c r="H7" s="22"/>
      <c r="I7" s="23"/>
      <c r="J7" s="22"/>
      <c r="K7" s="23"/>
      <c r="L7" s="22"/>
      <c r="M7" s="23"/>
      <c r="N7" s="22"/>
      <c r="O7" s="23"/>
      <c r="P7" s="23"/>
      <c r="Q7" s="23"/>
      <c r="R7" s="23"/>
      <c r="S7" s="23"/>
      <c r="T7" s="23"/>
      <c r="U7" s="24"/>
    </row>
    <row r="8" spans="1:21" ht="16.5" customHeight="1" x14ac:dyDescent="0.45">
      <c r="A8" s="16"/>
      <c r="B8" s="118" t="s">
        <v>28</v>
      </c>
      <c r="C8" s="32">
        <f>'Synthèse marchés selon Eleven'!D20</f>
        <v>148.83921568627451</v>
      </c>
      <c r="D8" s="32"/>
      <c r="E8" s="32">
        <f>'Synthèse marchés selon Eleven'!F20</f>
        <v>153.83859008712869</v>
      </c>
      <c r="F8" s="32"/>
      <c r="G8" s="32">
        <f>'Synthèse marchés selon Eleven'!H20</f>
        <v>156.33697598800001</v>
      </c>
      <c r="H8" s="17"/>
      <c r="I8" s="32">
        <f>+'Synthèse marchés selon Eleven'!J20</f>
        <v>156.29697598800001</v>
      </c>
      <c r="J8" s="17"/>
      <c r="K8" s="32">
        <f>+'Synthèse marchés selon Eleven'!L20</f>
        <v>159.18594574787997</v>
      </c>
      <c r="L8" s="17"/>
      <c r="M8" s="32">
        <f>+'Synthèse marchés selon Eleven'!O20</f>
        <v>161.31837547661937</v>
      </c>
      <c r="N8" s="17"/>
      <c r="O8" s="32">
        <f>+'Synthèse marchés selon Eleven'!Q20</f>
        <v>163.48588431800246</v>
      </c>
      <c r="P8" s="32"/>
      <c r="Q8" s="32">
        <f>+'Synthèse marchés selon Eleven'!S20</f>
        <v>165.68908717294445</v>
      </c>
      <c r="R8" s="32"/>
      <c r="S8" s="32">
        <f>+'Synthèse marchés selon Eleven'!U20</f>
        <v>167.92860992796153</v>
      </c>
      <c r="T8" s="55">
        <f>(S8/I8)^(1/($S$3-$I$3))-1</f>
        <v>1.4459757005925944E-2</v>
      </c>
      <c r="U8" s="33"/>
    </row>
    <row r="9" spans="1:21" ht="16.5" customHeight="1" x14ac:dyDescent="0.45">
      <c r="A9" s="16"/>
      <c r="B9" s="118" t="s">
        <v>1</v>
      </c>
      <c r="C9" s="32">
        <f>'Synthèse marchés selon Eleven'!D21</f>
        <v>55.700263754784906</v>
      </c>
      <c r="D9" s="32"/>
      <c r="E9" s="32">
        <f>'Synthèse marchés selon Eleven'!F21</f>
        <v>58.279647944832597</v>
      </c>
      <c r="F9" s="32"/>
      <c r="G9" s="32">
        <f>'Synthèse marchés selon Eleven'!H21</f>
        <v>61</v>
      </c>
      <c r="H9" s="17"/>
      <c r="I9" s="32">
        <f>+'Synthèse marchés selon Eleven'!J21</f>
        <v>54.97</v>
      </c>
      <c r="J9" s="17"/>
      <c r="K9" s="32">
        <f>+'Synthèse marchés selon Eleven'!L21</f>
        <v>58.097900000000003</v>
      </c>
      <c r="L9" s="17"/>
      <c r="M9" s="32">
        <f>+'Synthèse marchés selon Eleven'!O21</f>
        <v>60.854352999999996</v>
      </c>
      <c r="N9" s="17"/>
      <c r="O9" s="32">
        <f>+'Synthèse marchés selon Eleven'!Q21</f>
        <v>63.359532110000004</v>
      </c>
      <c r="P9" s="32"/>
      <c r="Q9" s="32">
        <f>+'Synthèse marchés selon Eleven'!S21</f>
        <v>66.008490496900009</v>
      </c>
      <c r="R9" s="32"/>
      <c r="S9" s="32">
        <f>+'Synthèse marchés selon Eleven'!U21</f>
        <v>68.721721162309606</v>
      </c>
      <c r="T9" s="55">
        <f t="shared" ref="T9:T11" si="0">(S9/I9)^(1/($S$3-$I$3))-1</f>
        <v>4.5667615882503565E-2</v>
      </c>
      <c r="U9" s="33"/>
    </row>
    <row r="10" spans="1:21" ht="16.5" customHeight="1" x14ac:dyDescent="0.45">
      <c r="A10" s="16"/>
      <c r="B10" s="118" t="s">
        <v>2</v>
      </c>
      <c r="C10" s="32">
        <f>'Synthèse marchés selon Eleven'!D22</f>
        <v>12.226446280991734</v>
      </c>
      <c r="D10" s="32"/>
      <c r="E10" s="32">
        <f>'Synthèse marchés selon Eleven'!F22</f>
        <v>14.109090909090909</v>
      </c>
      <c r="F10" s="32"/>
      <c r="G10" s="32">
        <f>'Synthèse marchés selon Eleven'!H22</f>
        <v>16.2</v>
      </c>
      <c r="H10" s="17"/>
      <c r="I10" s="32">
        <f>+'Synthèse marchés selon Eleven'!J22</f>
        <v>18.343800000000002</v>
      </c>
      <c r="J10" s="17"/>
      <c r="K10" s="32">
        <f>+'Synthèse marchés selon Eleven'!L22</f>
        <v>20.575689000000004</v>
      </c>
      <c r="L10" s="17"/>
      <c r="M10" s="32">
        <f>+'Synthèse marchés selon Eleven'!O22</f>
        <v>22.897205751000005</v>
      </c>
      <c r="N10" s="17"/>
      <c r="O10" s="32">
        <f>+'Synthèse marchés selon Eleven'!Q22</f>
        <v>25.305410614294011</v>
      </c>
      <c r="P10" s="32"/>
      <c r="Q10" s="32">
        <f>+'Synthèse marchés selon Eleven'!S22</f>
        <v>27.816983041872152</v>
      </c>
      <c r="R10" s="32"/>
      <c r="S10" s="32">
        <f>+'Synthèse marchés selon Eleven'!U22</f>
        <v>30.255766523008798</v>
      </c>
      <c r="T10" s="55">
        <f t="shared" si="0"/>
        <v>0.10525826371977676</v>
      </c>
      <c r="U10" s="33"/>
    </row>
    <row r="11" spans="1:21" ht="16.5" customHeight="1" x14ac:dyDescent="0.45">
      <c r="A11" s="34"/>
      <c r="B11" s="88" t="s">
        <v>7</v>
      </c>
      <c r="C11" s="91">
        <f t="shared" ref="C11:E11" si="1">SUM(C8:C10)</f>
        <v>216.76592572205115</v>
      </c>
      <c r="D11" s="91"/>
      <c r="E11" s="91">
        <f t="shared" si="1"/>
        <v>226.22732894105218</v>
      </c>
      <c r="F11" s="91"/>
      <c r="G11" s="91">
        <f>SUM(G8:G10)</f>
        <v>233.53697598799999</v>
      </c>
      <c r="H11" s="90"/>
      <c r="I11" s="91">
        <f>SUM(I8:I10)</f>
        <v>229.610775988</v>
      </c>
      <c r="J11" s="90"/>
      <c r="K11" s="91">
        <f>SUM(K8:K10)</f>
        <v>237.85953474787999</v>
      </c>
      <c r="L11" s="90"/>
      <c r="M11" s="91">
        <f>SUM(M8:M10)</f>
        <v>245.06993422761937</v>
      </c>
      <c r="N11" s="90"/>
      <c r="O11" s="91">
        <f>SUM(O8:O10)</f>
        <v>252.15082704229647</v>
      </c>
      <c r="P11" s="91"/>
      <c r="Q11" s="91">
        <f t="shared" ref="Q11:S11" si="2">SUM(Q8:Q10)</f>
        <v>259.51456071171663</v>
      </c>
      <c r="R11" s="91"/>
      <c r="S11" s="91">
        <f t="shared" si="2"/>
        <v>266.90609761327994</v>
      </c>
      <c r="T11" s="258">
        <f t="shared" si="0"/>
        <v>3.0559914677280142E-2</v>
      </c>
      <c r="U11" s="37"/>
    </row>
    <row r="12" spans="1:21" ht="9" customHeight="1" x14ac:dyDescent="0.45">
      <c r="A12" s="26"/>
      <c r="B12" s="5"/>
      <c r="C12" s="5"/>
      <c r="D12" s="5"/>
      <c r="E12" s="5"/>
      <c r="F12" s="5"/>
      <c r="G12" s="27"/>
      <c r="H12" s="5"/>
      <c r="I12" s="27"/>
      <c r="J12" s="5"/>
      <c r="K12" s="27"/>
      <c r="L12" s="5"/>
      <c r="M12" s="27"/>
      <c r="N12" s="5"/>
      <c r="O12" s="27"/>
      <c r="P12" s="27"/>
      <c r="Q12" s="27"/>
      <c r="R12" s="27"/>
      <c r="S12" s="27"/>
      <c r="T12" s="27"/>
      <c r="U12" s="28"/>
    </row>
    <row r="13" spans="1:21" ht="16.5" customHeight="1" x14ac:dyDescent="0.45">
      <c r="A13" s="22"/>
      <c r="B13" s="22"/>
      <c r="C13" s="22"/>
      <c r="D13" s="22"/>
      <c r="E13" s="22"/>
      <c r="F13" s="22"/>
      <c r="G13" s="23"/>
      <c r="H13" s="22"/>
      <c r="I13" s="23"/>
      <c r="J13" s="22"/>
      <c r="K13" s="23"/>
      <c r="L13" s="22"/>
      <c r="M13" s="23"/>
      <c r="N13" s="22"/>
      <c r="O13" s="23"/>
      <c r="P13" s="23"/>
      <c r="Q13" s="23"/>
      <c r="R13" s="23"/>
      <c r="S13" s="23"/>
      <c r="T13" s="23"/>
      <c r="U13" s="23"/>
    </row>
    <row r="14" spans="1:21" ht="9" customHeight="1" x14ac:dyDescent="0.45">
      <c r="A14" s="12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47"/>
    </row>
    <row r="15" spans="1:21" s="6" customFormat="1" ht="16.5" customHeight="1" x14ac:dyDescent="0.45">
      <c r="A15" s="16"/>
      <c r="B15" s="99" t="s">
        <v>40</v>
      </c>
      <c r="C15" s="17"/>
      <c r="D15" s="17"/>
      <c r="E15" s="17"/>
      <c r="F15" s="17"/>
      <c r="G15" s="97"/>
      <c r="H15" s="67"/>
      <c r="I15" s="98"/>
      <c r="J15" s="67" t="s">
        <v>34</v>
      </c>
      <c r="K15" s="98"/>
      <c r="L15" s="67" t="s">
        <v>34</v>
      </c>
      <c r="M15" s="98"/>
      <c r="N15" s="67" t="s">
        <v>34</v>
      </c>
      <c r="P15" s="67" t="s">
        <v>34</v>
      </c>
      <c r="Q15" s="98"/>
      <c r="R15" s="67" t="s">
        <v>34</v>
      </c>
      <c r="T15" s="18"/>
      <c r="U15" s="96"/>
    </row>
    <row r="16" spans="1:21" ht="9" customHeight="1" x14ac:dyDescent="0.45">
      <c r="A16" s="21"/>
      <c r="B16" s="40"/>
      <c r="C16" s="40"/>
      <c r="D16" s="40"/>
      <c r="E16" s="40"/>
      <c r="F16" s="40"/>
      <c r="G16" s="23"/>
      <c r="H16" s="22"/>
      <c r="I16" s="23"/>
      <c r="J16" s="22"/>
      <c r="K16" s="23"/>
      <c r="L16" s="22"/>
      <c r="M16" s="23"/>
      <c r="N16" s="22"/>
      <c r="O16" s="23"/>
      <c r="P16" s="23"/>
      <c r="Q16" s="23"/>
      <c r="R16" s="23"/>
      <c r="S16" s="23"/>
      <c r="T16" s="23"/>
      <c r="U16" s="48"/>
    </row>
    <row r="17" spans="1:22" s="6" customFormat="1" ht="16.5" customHeight="1" x14ac:dyDescent="0.45">
      <c r="A17" s="16"/>
      <c r="B17" s="118" t="s">
        <v>28</v>
      </c>
      <c r="C17" s="31">
        <f>'Synthèse Altarès'!X55/'BP Benelux'!C8</f>
        <v>0.25090557800102453</v>
      </c>
      <c r="D17" s="217">
        <f>E17-C17</f>
        <v>-3.2938107622025231E-2</v>
      </c>
      <c r="E17" s="31">
        <f>'Synthèse Altarès'!Y55/'BP Benelux'!E8</f>
        <v>0.2179674703789993</v>
      </c>
      <c r="F17" s="217">
        <f>G17-E17</f>
        <v>-8.6568500024320483E-3</v>
      </c>
      <c r="G17" s="134">
        <f>'Synthèse Altarès'!Z55/'BP Benelux'!G8</f>
        <v>0.20931062037656725</v>
      </c>
      <c r="H17" s="217">
        <f>+I17-G17</f>
        <v>-4.5399930078549033E-3</v>
      </c>
      <c r="I17" s="31">
        <f>'Synthèse Altarès'!AA55/I8</f>
        <v>0.20477062736871235</v>
      </c>
      <c r="J17" s="262">
        <v>2E-3</v>
      </c>
      <c r="K17" s="31">
        <f>+J17+I17</f>
        <v>0.20677062736871235</v>
      </c>
      <c r="L17" s="138">
        <v>2E-3</v>
      </c>
      <c r="M17" s="31">
        <f>+L17+K17</f>
        <v>0.20877062736871235</v>
      </c>
      <c r="N17" s="138">
        <v>3.0000000000000001E-3</v>
      </c>
      <c r="O17" s="31">
        <f>+N17+M17</f>
        <v>0.21177062736871236</v>
      </c>
      <c r="P17" s="138">
        <v>6.0000000000000001E-3</v>
      </c>
      <c r="Q17" s="31">
        <f>+P17+O17</f>
        <v>0.21777062736871236</v>
      </c>
      <c r="R17" s="138">
        <v>0.01</v>
      </c>
      <c r="S17" s="31">
        <f>+R17+Q17</f>
        <v>0.22777062736871237</v>
      </c>
      <c r="T17" s="31"/>
      <c r="U17" s="33"/>
      <c r="V17" s="7"/>
    </row>
    <row r="18" spans="1:22" s="6" customFormat="1" ht="16.5" customHeight="1" x14ac:dyDescent="0.45">
      <c r="A18" s="16"/>
      <c r="B18" s="118" t="s">
        <v>1</v>
      </c>
      <c r="C18" s="31">
        <f>'Synthèse Altarès'!X56/'BP Benelux'!C9</f>
        <v>8.5735371139867886E-2</v>
      </c>
      <c r="D18" s="217">
        <f t="shared" ref="D18:D19" si="3">E18-C18</f>
        <v>1.1704412743350934E-2</v>
      </c>
      <c r="E18" s="31">
        <f>'Synthèse Altarès'!Y56/'BP Benelux'!E9</f>
        <v>9.743978388321882E-2</v>
      </c>
      <c r="F18" s="217">
        <f t="shared" ref="F18:F19" si="4">G18-E18</f>
        <v>6.7219603280936763E-3</v>
      </c>
      <c r="G18" s="134">
        <f>'Synthèse Altarès'!Z56/'BP Benelux'!G9</f>
        <v>0.1041617442113125</v>
      </c>
      <c r="H18" s="217">
        <f t="shared" ref="H18:H19" si="5">+I18-G18</f>
        <v>4.3332561726181495E-3</v>
      </c>
      <c r="I18" s="31">
        <f>'Synthèse Altarès'!AA56/I9</f>
        <v>0.10849500038393065</v>
      </c>
      <c r="J18" s="138">
        <v>2E-3</v>
      </c>
      <c r="K18" s="31">
        <f t="shared" ref="K18:K19" si="6">+J18+I18</f>
        <v>0.11049500038393065</v>
      </c>
      <c r="L18" s="138">
        <v>3.0000000000000001E-3</v>
      </c>
      <c r="M18" s="31">
        <f t="shared" ref="M18:M19" si="7">+L18+K18</f>
        <v>0.11349500038393065</v>
      </c>
      <c r="N18" s="138">
        <v>4.0000000000000001E-3</v>
      </c>
      <c r="O18" s="31">
        <f t="shared" ref="O18:S19" si="8">+N18+M18</f>
        <v>0.11749500038393065</v>
      </c>
      <c r="P18" s="138">
        <v>7.0000000000000001E-3</v>
      </c>
      <c r="Q18" s="31">
        <f t="shared" si="8"/>
        <v>0.12449500038393066</v>
      </c>
      <c r="R18" s="138">
        <v>0.01</v>
      </c>
      <c r="S18" s="31">
        <f t="shared" si="8"/>
        <v>0.13449500038393067</v>
      </c>
      <c r="T18" s="31"/>
      <c r="U18" s="33"/>
      <c r="V18" s="7"/>
    </row>
    <row r="19" spans="1:22" s="6" customFormat="1" ht="16.5" customHeight="1" x14ac:dyDescent="0.45">
      <c r="A19" s="16"/>
      <c r="B19" s="118" t="s">
        <v>2</v>
      </c>
      <c r="C19" s="31">
        <f>'Synthèse Altarès'!X57/'BP Benelux'!C10</f>
        <v>0.39746721884525266</v>
      </c>
      <c r="D19" s="217">
        <f t="shared" si="3"/>
        <v>2.1386996648426859E-2</v>
      </c>
      <c r="E19" s="31">
        <f>'Synthèse Altarès'!Y57/'BP Benelux'!E10</f>
        <v>0.41885421549367952</v>
      </c>
      <c r="F19" s="217">
        <f t="shared" si="4"/>
        <v>2.5305617748216436E-2</v>
      </c>
      <c r="G19" s="134">
        <f>'Synthèse Altarès'!Z57/'BP Benelux'!G10</f>
        <v>0.44415983324189595</v>
      </c>
      <c r="H19" s="217">
        <f t="shared" si="5"/>
        <v>-8.033118268966577E-2</v>
      </c>
      <c r="I19" s="31">
        <f>'Synthèse Altarès'!AA57/I10</f>
        <v>0.36382865055223018</v>
      </c>
      <c r="J19" s="138">
        <v>1.6E-2</v>
      </c>
      <c r="K19" s="31">
        <f t="shared" si="6"/>
        <v>0.3798286505522302</v>
      </c>
      <c r="L19" s="138">
        <f t="shared" ref="L19" si="9">+J19</f>
        <v>1.6E-2</v>
      </c>
      <c r="M19" s="31">
        <f t="shared" si="7"/>
        <v>0.39582865055223021</v>
      </c>
      <c r="N19" s="138">
        <f t="shared" ref="N19" si="10">+J19</f>
        <v>1.6E-2</v>
      </c>
      <c r="O19" s="31">
        <f t="shared" si="8"/>
        <v>0.41182865055223022</v>
      </c>
      <c r="P19" s="138">
        <v>1.7000000000000001E-2</v>
      </c>
      <c r="Q19" s="31">
        <f t="shared" si="8"/>
        <v>0.42882865055223024</v>
      </c>
      <c r="R19" s="138">
        <v>1.9E-2</v>
      </c>
      <c r="S19" s="31">
        <f t="shared" si="8"/>
        <v>0.44782865055223026</v>
      </c>
      <c r="T19" s="31"/>
      <c r="U19" s="33"/>
      <c r="V19" s="7"/>
    </row>
    <row r="20" spans="1:22" ht="9" customHeight="1" x14ac:dyDescent="0.45">
      <c r="A20" s="26"/>
      <c r="B20" s="51"/>
      <c r="C20" s="51"/>
      <c r="D20" s="51"/>
      <c r="E20" s="51"/>
      <c r="F20" s="51"/>
      <c r="G20" s="52"/>
      <c r="H20" s="51"/>
      <c r="I20" s="52"/>
      <c r="J20" s="51"/>
      <c r="K20" s="52"/>
      <c r="L20" s="51"/>
      <c r="M20" s="52"/>
      <c r="N20" s="51"/>
      <c r="O20" s="52"/>
      <c r="P20" s="52"/>
      <c r="Q20" s="52"/>
      <c r="R20" s="52"/>
      <c r="S20" s="52"/>
      <c r="T20" s="52"/>
      <c r="U20" s="28"/>
      <c r="V20" s="2"/>
    </row>
    <row r="21" spans="1:22" ht="16.5" customHeight="1" x14ac:dyDescent="0.45">
      <c r="B21" s="20"/>
      <c r="C21" s="20"/>
      <c r="D21" s="20"/>
      <c r="E21" s="20"/>
      <c r="F21" s="20"/>
      <c r="G21" s="36"/>
      <c r="H21" s="20"/>
      <c r="I21" s="36"/>
      <c r="J21" s="20"/>
      <c r="K21" s="36"/>
      <c r="L21" s="20"/>
      <c r="M21" s="36"/>
      <c r="N21" s="20"/>
      <c r="O21" s="36"/>
      <c r="P21" s="36"/>
      <c r="Q21" s="36"/>
      <c r="R21" s="36"/>
      <c r="S21" s="36"/>
      <c r="T21" s="36"/>
      <c r="U21" s="2"/>
      <c r="V21" s="2"/>
    </row>
    <row r="22" spans="1:22" ht="9" customHeight="1" x14ac:dyDescent="0.45">
      <c r="A22" s="12"/>
      <c r="B22" s="30"/>
      <c r="C22" s="30"/>
      <c r="D22" s="30"/>
      <c r="E22" s="30"/>
      <c r="F22" s="30"/>
      <c r="G22" s="46"/>
      <c r="H22" s="30"/>
      <c r="I22" s="46"/>
      <c r="J22" s="30"/>
      <c r="K22" s="46"/>
      <c r="L22" s="30"/>
      <c r="M22" s="46"/>
      <c r="N22" s="30"/>
      <c r="O22" s="46"/>
      <c r="P22" s="46"/>
      <c r="Q22" s="46"/>
      <c r="R22" s="46"/>
      <c r="S22" s="46"/>
      <c r="T22" s="46"/>
      <c r="U22" s="47"/>
    </row>
    <row r="23" spans="1:22" s="6" customFormat="1" ht="16.5" customHeight="1" x14ac:dyDescent="0.45">
      <c r="A23" s="16"/>
      <c r="B23" s="88" t="s">
        <v>41</v>
      </c>
      <c r="C23" s="17"/>
      <c r="D23" s="17"/>
      <c r="E23" s="17"/>
      <c r="F23" s="17"/>
      <c r="G23" s="18"/>
      <c r="H23" s="17"/>
      <c r="I23" s="18"/>
      <c r="J23" s="17"/>
      <c r="K23" s="18"/>
      <c r="L23" s="17"/>
      <c r="M23" s="18"/>
      <c r="N23" s="17"/>
      <c r="O23" s="18"/>
      <c r="P23" s="18"/>
      <c r="Q23" s="18"/>
      <c r="R23" s="18"/>
      <c r="S23" s="18"/>
      <c r="T23" s="18"/>
      <c r="U23" s="96"/>
    </row>
    <row r="24" spans="1:22" ht="9" customHeight="1" x14ac:dyDescent="0.45">
      <c r="A24" s="21"/>
      <c r="B24" s="25"/>
      <c r="C24" s="25"/>
      <c r="D24" s="25"/>
      <c r="E24" s="25"/>
      <c r="F24" s="25"/>
      <c r="G24" s="23"/>
      <c r="H24" s="22"/>
      <c r="I24" s="23"/>
      <c r="J24" s="22"/>
      <c r="K24" s="23"/>
      <c r="L24" s="22"/>
      <c r="M24" s="23"/>
      <c r="N24" s="22"/>
      <c r="O24" s="23"/>
      <c r="P24" s="23"/>
      <c r="Q24" s="23"/>
      <c r="R24" s="23"/>
      <c r="S24" s="23"/>
      <c r="T24" s="23"/>
      <c r="U24" s="48"/>
    </row>
    <row r="25" spans="1:22" s="6" customFormat="1" ht="16.5" customHeight="1" x14ac:dyDescent="0.45">
      <c r="A25" s="16"/>
      <c r="B25" s="118" t="s">
        <v>28</v>
      </c>
      <c r="C25" s="41">
        <f t="shared" ref="C25:E25" si="11">+C8*C17</f>
        <v>37.344589440983867</v>
      </c>
      <c r="D25" s="41"/>
      <c r="E25" s="41">
        <f t="shared" si="11"/>
        <v>33.53180832796324</v>
      </c>
      <c r="F25" s="41"/>
      <c r="G25" s="41">
        <f>+G8*G17</f>
        <v>32.72298943184478</v>
      </c>
      <c r="H25" s="42"/>
      <c r="I25" s="41">
        <f>+I8*I17</f>
        <v>32.005029828895331</v>
      </c>
      <c r="J25" s="42"/>
      <c r="K25" s="41">
        <f>+K8*K17</f>
        <v>32.914977870570951</v>
      </c>
      <c r="L25" s="42"/>
      <c r="M25" s="41">
        <f>+M8*M17</f>
        <v>33.678538454355326</v>
      </c>
      <c r="N25" s="42"/>
      <c r="O25" s="41">
        <f>+O8*O17</f>
        <v>34.621508287952118</v>
      </c>
      <c r="P25" s="41"/>
      <c r="Q25" s="41">
        <f t="shared" ref="Q25:S25" si="12">+Q8*Q17</f>
        <v>36.082216461801387</v>
      </c>
      <c r="R25" s="41"/>
      <c r="S25" s="41">
        <f t="shared" si="12"/>
        <v>38.249204836447575</v>
      </c>
      <c r="T25" s="55">
        <f>(S25/I25)^(1/($S$3-$I$3))-1</f>
        <v>3.6288872856012677E-2</v>
      </c>
      <c r="U25" s="96"/>
    </row>
    <row r="26" spans="1:22" s="6" customFormat="1" ht="16.5" customHeight="1" x14ac:dyDescent="0.45">
      <c r="A26" s="16"/>
      <c r="B26" s="118" t="s">
        <v>1</v>
      </c>
      <c r="C26" s="41">
        <f t="shared" ref="C26" si="13">+C9*C18</f>
        <v>4.775482785605015</v>
      </c>
      <c r="D26" s="118"/>
      <c r="E26" s="41">
        <f t="shared" ref="E26" si="14">+E9*E18</f>
        <v>5.678756300534566</v>
      </c>
      <c r="F26" s="118"/>
      <c r="G26" s="41">
        <f>+G9*G18</f>
        <v>6.3538663968900622</v>
      </c>
      <c r="H26" s="42"/>
      <c r="I26" s="41">
        <f>+I9*I18</f>
        <v>5.9639701711046671</v>
      </c>
      <c r="J26" s="42"/>
      <c r="K26" s="41">
        <f>+K9*K18</f>
        <v>6.4195274828055648</v>
      </c>
      <c r="L26" s="42"/>
      <c r="M26" s="41">
        <f>+M9*M18</f>
        <v>6.9066648170988509</v>
      </c>
      <c r="N26" s="42"/>
      <c r="O26" s="41">
        <f>+O9*O18</f>
        <v>7.4444282495901168</v>
      </c>
      <c r="P26" s="41"/>
      <c r="Q26" s="41">
        <f t="shared" ref="Q26:S26" si="15">+Q9*Q18</f>
        <v>8.2177270497542505</v>
      </c>
      <c r="R26" s="41"/>
      <c r="S26" s="41">
        <f t="shared" si="15"/>
        <v>9.2427279141092065</v>
      </c>
      <c r="T26" s="55">
        <f t="shared" ref="T26:T27" si="16">(S26/I26)^(1/($S$3-$I$3))-1</f>
        <v>9.1573392841306944E-2</v>
      </c>
      <c r="U26" s="96"/>
    </row>
    <row r="27" spans="1:22" s="6" customFormat="1" ht="16.5" customHeight="1" x14ac:dyDescent="0.45">
      <c r="A27" s="16"/>
      <c r="B27" s="118" t="s">
        <v>2</v>
      </c>
      <c r="C27" s="41">
        <f t="shared" ref="C27" si="17">+C10*C19</f>
        <v>4.8596115996666667</v>
      </c>
      <c r="D27" s="118"/>
      <c r="E27" s="41">
        <f t="shared" ref="E27" si="18">+E10*E19</f>
        <v>5.909652204056278</v>
      </c>
      <c r="F27" s="118"/>
      <c r="G27" s="41">
        <f>+G10*G19</f>
        <v>7.1953892985187142</v>
      </c>
      <c r="H27" s="42"/>
      <c r="I27" s="41">
        <f>+I10*I19</f>
        <v>6.6740000000000004</v>
      </c>
      <c r="J27" s="42"/>
      <c r="K27" s="41">
        <f>+K10*K19</f>
        <v>7.8152361870523679</v>
      </c>
      <c r="L27" s="42"/>
      <c r="M27" s="41">
        <f>+M10*M19</f>
        <v>9.0633700538350972</v>
      </c>
      <c r="N27" s="42"/>
      <c r="O27" s="41">
        <f>+O10*O19</f>
        <v>10.421493104954786</v>
      </c>
      <c r="P27" s="41"/>
      <c r="Q27" s="41">
        <f t="shared" ref="Q27:S27" si="19">+Q10*Q19</f>
        <v>11.928719300280308</v>
      </c>
      <c r="R27" s="41"/>
      <c r="S27" s="41">
        <f t="shared" si="19"/>
        <v>13.549399093422373</v>
      </c>
      <c r="T27" s="55">
        <f t="shared" si="16"/>
        <v>0.15214401068152705</v>
      </c>
      <c r="U27" s="96"/>
    </row>
    <row r="28" spans="1:22" ht="16.5" customHeight="1" x14ac:dyDescent="0.45">
      <c r="A28" s="21"/>
      <c r="B28" s="88" t="s">
        <v>7</v>
      </c>
      <c r="C28" s="93">
        <f t="shared" ref="C28:E28" si="20">SUM(C25:C27)</f>
        <v>46.979683826255545</v>
      </c>
      <c r="D28" s="93"/>
      <c r="E28" s="93">
        <f t="shared" si="20"/>
        <v>45.120216832554085</v>
      </c>
      <c r="F28" s="93"/>
      <c r="G28" s="93">
        <f>SUM(G25:G27)</f>
        <v>46.272245127253555</v>
      </c>
      <c r="H28" s="94"/>
      <c r="I28" s="93">
        <f>SUM(I25:I27)</f>
        <v>44.643000000000001</v>
      </c>
      <c r="J28" s="94"/>
      <c r="K28" s="93">
        <f>SUM(K25:K27)</f>
        <v>47.149741540428884</v>
      </c>
      <c r="L28" s="94"/>
      <c r="M28" s="93">
        <f>SUM(M25:M27)</f>
        <v>49.648573325289277</v>
      </c>
      <c r="N28" s="94"/>
      <c r="O28" s="93">
        <f>SUM(O25:O27)</f>
        <v>52.48742964249702</v>
      </c>
      <c r="P28" s="93"/>
      <c r="Q28" s="93">
        <f t="shared" ref="Q28:S28" si="21">SUM(Q25:Q27)</f>
        <v>56.228662811835946</v>
      </c>
      <c r="R28" s="93"/>
      <c r="S28" s="93">
        <f t="shared" si="21"/>
        <v>61.041331843979158</v>
      </c>
      <c r="T28" s="92">
        <f>(S28/I28)^(1/($S$3-$I$3))-1</f>
        <v>6.4569760900765161E-2</v>
      </c>
      <c r="U28" s="48"/>
    </row>
    <row r="29" spans="1:22" ht="16.5" customHeight="1" x14ac:dyDescent="0.45">
      <c r="A29" s="21"/>
      <c r="B29" s="17"/>
      <c r="C29" s="17"/>
      <c r="D29" s="17"/>
      <c r="E29" s="17"/>
      <c r="F29" s="17"/>
      <c r="G29" s="41"/>
      <c r="H29" s="42"/>
      <c r="I29" s="41"/>
      <c r="J29" s="42"/>
      <c r="K29" s="41"/>
      <c r="L29" s="42"/>
      <c r="M29" s="41"/>
      <c r="N29" s="42"/>
      <c r="O29" s="41"/>
      <c r="P29" s="41"/>
      <c r="Q29" s="41"/>
      <c r="R29" s="41"/>
      <c r="S29" s="41"/>
      <c r="T29" s="55"/>
      <c r="U29" s="48"/>
    </row>
    <row r="30" spans="1:22" ht="16.5" customHeight="1" x14ac:dyDescent="0.45">
      <c r="A30" s="21"/>
      <c r="B30" s="88" t="s">
        <v>37</v>
      </c>
      <c r="C30" s="95">
        <f t="shared" ref="C30:E30" si="22">+C28/C11</f>
        <v>0.21673002188773621</v>
      </c>
      <c r="D30" s="95"/>
      <c r="E30" s="95">
        <f t="shared" si="22"/>
        <v>0.19944635797875249</v>
      </c>
      <c r="F30" s="95"/>
      <c r="G30" s="95">
        <f>+G28/G11</f>
        <v>0.1981366973323796</v>
      </c>
      <c r="H30" s="95"/>
      <c r="I30" s="95">
        <f>+I28/I11</f>
        <v>0.19442902802755715</v>
      </c>
      <c r="J30" s="95"/>
      <c r="K30" s="95">
        <f>+K28/K11</f>
        <v>0.19822514825989807</v>
      </c>
      <c r="L30" s="95"/>
      <c r="M30" s="95">
        <f>+M28/M11</f>
        <v>0.20258940976079098</v>
      </c>
      <c r="N30" s="95"/>
      <c r="O30" s="95">
        <f>+O28/O11</f>
        <v>0.20815886371728073</v>
      </c>
      <c r="P30" s="95"/>
      <c r="Q30" s="95">
        <f t="shared" ref="Q30" si="23">+Q28/Q11</f>
        <v>0.21666862413280119</v>
      </c>
      <c r="R30" s="95"/>
      <c r="S30" s="95">
        <f>+S28/S11</f>
        <v>0.22869965276110665</v>
      </c>
      <c r="T30" s="35"/>
      <c r="U30" s="48"/>
    </row>
    <row r="31" spans="1:22" ht="9" customHeight="1" x14ac:dyDescent="0.45">
      <c r="A31" s="26"/>
      <c r="B31" s="5"/>
      <c r="C31" s="5"/>
      <c r="D31" s="5"/>
      <c r="E31" s="5"/>
      <c r="F31" s="5"/>
      <c r="G31" s="5"/>
      <c r="H31" s="5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50"/>
    </row>
    <row r="32" spans="1:22" ht="16.5" customHeight="1" x14ac:dyDescent="0.45"/>
    <row r="33" ht="16.5" customHeight="1" x14ac:dyDescent="0.45"/>
    <row r="34" ht="16.5" customHeight="1" x14ac:dyDescent="0.45"/>
    <row r="35" ht="16.5" customHeight="1" x14ac:dyDescent="0.45"/>
    <row r="36" ht="16.5" customHeight="1" x14ac:dyDescent="0.45"/>
    <row r="37" ht="16.5" customHeight="1" x14ac:dyDescent="0.45"/>
    <row r="38" ht="16.5" customHeight="1" x14ac:dyDescent="0.45"/>
    <row r="39" ht="16.5" customHeight="1" x14ac:dyDescent="0.45"/>
    <row r="40" ht="16.5" customHeight="1" x14ac:dyDescent="0.45"/>
    <row r="41" ht="16.5" customHeight="1" x14ac:dyDescent="0.45"/>
    <row r="42" ht="16.5" customHeight="1" x14ac:dyDescent="0.45"/>
    <row r="43" ht="16.5" customHeight="1" x14ac:dyDescent="0.45"/>
    <row r="44" ht="16.5" customHeight="1" x14ac:dyDescent="0.45"/>
    <row r="45" ht="16.5" customHeight="1" x14ac:dyDescent="0.45"/>
    <row r="46" ht="16.5" customHeight="1" x14ac:dyDescent="0.45"/>
    <row r="47" ht="16.5" customHeight="1" x14ac:dyDescent="0.45"/>
    <row r="48" ht="16.5" customHeight="1" x14ac:dyDescent="0.45"/>
    <row r="49" ht="16.5" customHeight="1" x14ac:dyDescent="0.45"/>
    <row r="50" ht="16.5" customHeight="1" x14ac:dyDescent="0.45"/>
  </sheetData>
  <mergeCells count="1">
    <mergeCell ref="B1:T1"/>
  </mergeCells>
  <printOptions horizontalCentered="1"/>
  <pageMargins left="0.25" right="0.25" top="0.75" bottom="0.75" header="0.3" footer="0.3"/>
  <pageSetup paperSize="9" scale="82" orientation="portrait" r:id="rId1"/>
  <ignoredErrors>
    <ignoredError sqref="K17 K18:K19 J20:N20 E17:E20 M18:M19 M17 L19 N1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  <pageSetUpPr fitToPage="1"/>
  </sheetPr>
  <dimension ref="A1:V69"/>
  <sheetViews>
    <sheetView showGridLines="0" workbookViewId="0">
      <selection activeCell="S22" sqref="S22"/>
    </sheetView>
  </sheetViews>
  <sheetFormatPr baseColWidth="10" defaultColWidth="11.3984375" defaultRowHeight="14.25" outlineLevelRow="1" x14ac:dyDescent="0.45"/>
  <cols>
    <col min="1" max="1" width="2.59765625" customWidth="1"/>
    <col min="2" max="2" width="30.3984375" customWidth="1"/>
    <col min="3" max="3" width="8.59765625" customWidth="1"/>
    <col min="4" max="4" width="4.59765625" customWidth="1"/>
    <col min="5" max="5" width="8.59765625" customWidth="1"/>
    <col min="6" max="6" width="4.59765625" customWidth="1"/>
    <col min="7" max="7" width="8.59765625" customWidth="1"/>
    <col min="8" max="8" width="4.59765625" customWidth="1"/>
    <col min="9" max="9" width="8.59765625" customWidth="1"/>
    <col min="10" max="10" width="4.59765625" customWidth="1"/>
    <col min="11" max="11" width="8.59765625" customWidth="1"/>
    <col min="12" max="12" width="4.59765625" customWidth="1"/>
    <col min="13" max="13" width="8.59765625" customWidth="1"/>
    <col min="14" max="14" width="4.59765625" customWidth="1"/>
    <col min="15" max="19" width="8.59765625" customWidth="1"/>
    <col min="20" max="20" width="11.265625" customWidth="1"/>
    <col min="21" max="21" width="1.59765625" customWidth="1"/>
  </cols>
  <sheetData>
    <row r="1" spans="1:21" s="6" customFormat="1" ht="24" customHeight="1" thickBot="1" x14ac:dyDescent="0.5">
      <c r="A1" s="63"/>
      <c r="B1" s="311" t="s">
        <v>85</v>
      </c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3"/>
    </row>
    <row r="3" spans="1:21" ht="19.5" customHeight="1" x14ac:dyDescent="0.45">
      <c r="A3" s="9"/>
      <c r="B3" s="9"/>
      <c r="C3" s="190">
        <v>2017</v>
      </c>
      <c r="D3" s="139"/>
      <c r="E3" s="139">
        <v>2018</v>
      </c>
      <c r="F3" s="139"/>
      <c r="G3" s="139">
        <v>2019</v>
      </c>
      <c r="H3" s="140"/>
      <c r="I3" s="139">
        <f>G3+1</f>
        <v>2020</v>
      </c>
      <c r="J3" s="140"/>
      <c r="K3" s="139">
        <f>I3+1</f>
        <v>2021</v>
      </c>
      <c r="L3" s="140"/>
      <c r="M3" s="139">
        <f>K3+1</f>
        <v>2022</v>
      </c>
      <c r="N3" s="140"/>
      <c r="O3" s="139">
        <f t="shared" ref="O3" si="0">M3+1</f>
        <v>2023</v>
      </c>
      <c r="P3" s="139"/>
      <c r="Q3" s="139">
        <f>O3+1</f>
        <v>2024</v>
      </c>
      <c r="R3" s="139"/>
      <c r="S3" s="139">
        <f t="shared" ref="S3" si="1">Q3+1</f>
        <v>2025</v>
      </c>
      <c r="T3" s="139" t="s">
        <v>98</v>
      </c>
      <c r="U3" s="141"/>
    </row>
    <row r="4" spans="1:21" ht="9" hidden="1" customHeight="1" outlineLevel="1" x14ac:dyDescent="0.45">
      <c r="A4" s="12"/>
      <c r="B4" s="13"/>
      <c r="C4" s="13"/>
      <c r="D4" s="13"/>
      <c r="E4" s="13"/>
      <c r="F4" s="13"/>
      <c r="G4" s="14"/>
      <c r="H4" s="30"/>
      <c r="I4" s="14"/>
      <c r="J4" s="30"/>
      <c r="K4" s="14"/>
      <c r="L4" s="30"/>
      <c r="M4" s="14"/>
      <c r="N4" s="30"/>
      <c r="O4" s="14"/>
      <c r="P4" s="14"/>
      <c r="Q4" s="14"/>
      <c r="R4" s="14"/>
      <c r="S4" s="14"/>
      <c r="T4" s="14"/>
      <c r="U4" s="15"/>
    </row>
    <row r="5" spans="1:21" ht="16.5" hidden="1" customHeight="1" outlineLevel="1" x14ac:dyDescent="0.45">
      <c r="A5" s="21"/>
      <c r="B5" s="25" t="s">
        <v>13</v>
      </c>
      <c r="C5" s="191"/>
      <c r="D5" s="191"/>
      <c r="E5" s="191"/>
      <c r="F5" s="191"/>
      <c r="G5" s="23"/>
      <c r="H5" s="22"/>
      <c r="I5" s="23"/>
      <c r="J5" s="22"/>
      <c r="K5" s="23"/>
      <c r="L5" s="22"/>
      <c r="M5" s="23"/>
      <c r="N5" s="22"/>
      <c r="O5" s="23"/>
      <c r="P5" s="23"/>
      <c r="Q5" s="23"/>
      <c r="R5" s="23"/>
      <c r="S5" s="23"/>
      <c r="T5" s="23"/>
      <c r="U5" s="24"/>
    </row>
    <row r="6" spans="1:21" ht="9" hidden="1" customHeight="1" outlineLevel="1" x14ac:dyDescent="0.45">
      <c r="A6" s="21"/>
      <c r="B6" s="25"/>
      <c r="C6" s="191"/>
      <c r="D6" s="191"/>
      <c r="E6" s="191"/>
      <c r="F6" s="191"/>
      <c r="G6" s="23"/>
      <c r="H6" s="22"/>
      <c r="I6" s="23"/>
      <c r="J6" s="22"/>
      <c r="K6" s="23"/>
      <c r="L6" s="22"/>
      <c r="M6" s="23"/>
      <c r="N6" s="22"/>
      <c r="O6" s="23"/>
      <c r="P6" s="23"/>
      <c r="Q6" s="23"/>
      <c r="R6" s="23"/>
      <c r="S6" s="23"/>
      <c r="T6" s="23"/>
      <c r="U6" s="24"/>
    </row>
    <row r="7" spans="1:21" ht="16.5" hidden="1" customHeight="1" outlineLevel="1" x14ac:dyDescent="0.45">
      <c r="A7" s="16"/>
      <c r="B7" s="17" t="s">
        <v>0</v>
      </c>
      <c r="C7" s="191"/>
      <c r="D7" s="191"/>
      <c r="E7" s="191"/>
      <c r="F7" s="191"/>
      <c r="G7" s="32"/>
      <c r="H7" s="17"/>
      <c r="I7" s="32"/>
      <c r="J7" s="17"/>
      <c r="K7" s="32"/>
      <c r="L7" s="17"/>
      <c r="M7" s="32"/>
      <c r="N7" s="17"/>
      <c r="O7" s="32"/>
      <c r="P7" s="32"/>
      <c r="Q7" s="32"/>
      <c r="R7" s="32"/>
      <c r="S7" s="32"/>
      <c r="T7" s="55" t="e">
        <f>(O7/G7)^(1/($O$3-$G$3))-1</f>
        <v>#DIV/0!</v>
      </c>
      <c r="U7" s="33"/>
    </row>
    <row r="8" spans="1:21" ht="16.5" hidden="1" customHeight="1" outlineLevel="1" x14ac:dyDescent="0.45">
      <c r="A8" s="16"/>
      <c r="B8" s="17" t="s">
        <v>1</v>
      </c>
      <c r="C8" s="191"/>
      <c r="D8" s="191"/>
      <c r="E8" s="191"/>
      <c r="F8" s="191"/>
      <c r="G8" s="32"/>
      <c r="H8" s="17"/>
      <c r="I8" s="32"/>
      <c r="J8" s="17"/>
      <c r="K8" s="32"/>
      <c r="L8" s="17"/>
      <c r="M8" s="32"/>
      <c r="N8" s="17"/>
      <c r="O8" s="32"/>
      <c r="P8" s="32"/>
      <c r="Q8" s="32"/>
      <c r="R8" s="32"/>
      <c r="S8" s="32"/>
      <c r="T8" s="55" t="e">
        <f t="shared" ref="T8:T10" si="2">(O8/G8)^(1/($O$3-$G$3))-1</f>
        <v>#DIV/0!</v>
      </c>
      <c r="U8" s="33"/>
    </row>
    <row r="9" spans="1:21" ht="16.5" hidden="1" customHeight="1" outlineLevel="1" x14ac:dyDescent="0.45">
      <c r="A9" s="16"/>
      <c r="B9" s="17" t="s">
        <v>2</v>
      </c>
      <c r="C9" s="17"/>
      <c r="D9" s="17"/>
      <c r="E9" s="17"/>
      <c r="F9" s="17"/>
      <c r="G9" s="32"/>
      <c r="H9" s="17"/>
      <c r="I9" s="32"/>
      <c r="J9" s="17"/>
      <c r="K9" s="32"/>
      <c r="L9" s="17"/>
      <c r="M9" s="32"/>
      <c r="N9" s="17"/>
      <c r="O9" s="32"/>
      <c r="P9" s="32"/>
      <c r="Q9" s="32"/>
      <c r="R9" s="32"/>
      <c r="S9" s="32"/>
      <c r="T9" s="55" t="e">
        <f t="shared" si="2"/>
        <v>#DIV/0!</v>
      </c>
      <c r="U9" s="33"/>
    </row>
    <row r="10" spans="1:21" ht="16.5" hidden="1" customHeight="1" outlineLevel="1" x14ac:dyDescent="0.45">
      <c r="A10" s="34"/>
      <c r="B10" s="20" t="s">
        <v>14</v>
      </c>
      <c r="C10" s="20"/>
      <c r="D10" s="20"/>
      <c r="E10" s="20"/>
      <c r="F10" s="20"/>
      <c r="G10" s="36">
        <f>SUM(G7:G9)</f>
        <v>0</v>
      </c>
      <c r="H10" s="29"/>
      <c r="I10" s="36">
        <f>SUM(I7:I9)</f>
        <v>0</v>
      </c>
      <c r="J10" s="29"/>
      <c r="K10" s="36">
        <f>SUM(K7:K9)</f>
        <v>0</v>
      </c>
      <c r="L10" s="29"/>
      <c r="M10" s="36">
        <f>SUM(M7:M9)</f>
        <v>0</v>
      </c>
      <c r="N10" s="29"/>
      <c r="O10" s="36">
        <f>SUM(O7:O9)</f>
        <v>0</v>
      </c>
      <c r="P10" s="36"/>
      <c r="Q10" s="36"/>
      <c r="R10" s="36"/>
      <c r="S10" s="36"/>
      <c r="T10" s="56" t="e">
        <f t="shared" si="2"/>
        <v>#DIV/0!</v>
      </c>
      <c r="U10" s="37"/>
    </row>
    <row r="11" spans="1:21" ht="9" hidden="1" customHeight="1" outlineLevel="1" x14ac:dyDescent="0.45">
      <c r="A11" s="26"/>
      <c r="B11" s="5"/>
      <c r="C11" s="5"/>
      <c r="D11" s="5"/>
      <c r="E11" s="5"/>
      <c r="F11" s="5"/>
      <c r="G11" s="27"/>
      <c r="H11" s="5"/>
      <c r="I11" s="27"/>
      <c r="J11" s="5"/>
      <c r="K11" s="27"/>
      <c r="L11" s="5"/>
      <c r="M11" s="27"/>
      <c r="N11" s="5"/>
      <c r="O11" s="27"/>
      <c r="P11" s="27"/>
      <c r="Q11" s="27"/>
      <c r="R11" s="27"/>
      <c r="S11" s="27"/>
      <c r="T11" s="27"/>
      <c r="U11" s="28"/>
    </row>
    <row r="12" spans="1:21" ht="16.5" hidden="1" customHeight="1" outlineLevel="1" x14ac:dyDescent="0.45">
      <c r="A12" s="22"/>
      <c r="B12" s="22"/>
      <c r="C12" s="22"/>
      <c r="D12" s="22"/>
      <c r="E12" s="22"/>
      <c r="F12" s="22"/>
      <c r="G12" s="23"/>
      <c r="H12" s="22"/>
      <c r="I12" s="23"/>
      <c r="J12" s="22"/>
      <c r="K12" s="23"/>
      <c r="L12" s="22"/>
      <c r="M12" s="23"/>
      <c r="N12" s="22"/>
      <c r="O12" s="23"/>
      <c r="P12" s="23"/>
      <c r="Q12" s="23"/>
      <c r="R12" s="23"/>
      <c r="S12" s="23"/>
      <c r="T12" s="23"/>
      <c r="U12" s="23"/>
    </row>
    <row r="13" spans="1:21" ht="9" hidden="1" customHeight="1" outlineLevel="1" x14ac:dyDescent="0.45">
      <c r="A13" s="12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47"/>
    </row>
    <row r="14" spans="1:21" ht="16.5" hidden="1" customHeight="1" outlineLevel="1" x14ac:dyDescent="0.45">
      <c r="A14" s="21"/>
      <c r="B14" s="40" t="s">
        <v>16</v>
      </c>
      <c r="C14" s="191"/>
      <c r="D14" s="191"/>
      <c r="E14" s="191"/>
      <c r="F14" s="191"/>
      <c r="G14" s="23"/>
      <c r="H14" s="22"/>
      <c r="I14" s="23"/>
      <c r="J14" s="22"/>
      <c r="K14" s="23"/>
      <c r="L14" s="22"/>
      <c r="M14" s="23"/>
      <c r="N14" s="22"/>
      <c r="O14" s="23"/>
      <c r="P14" s="23"/>
      <c r="Q14" s="23"/>
      <c r="R14" s="23"/>
      <c r="S14" s="23"/>
      <c r="T14" s="23"/>
      <c r="U14" s="48"/>
    </row>
    <row r="15" spans="1:21" ht="16.5" hidden="1" customHeight="1" outlineLevel="1" x14ac:dyDescent="0.45">
      <c r="A15" s="21"/>
      <c r="B15" s="17" t="s">
        <v>0</v>
      </c>
      <c r="C15" s="191"/>
      <c r="D15" s="191"/>
      <c r="E15" s="191"/>
      <c r="F15" s="191"/>
      <c r="G15" s="31">
        <v>0</v>
      </c>
      <c r="H15" s="31"/>
      <c r="I15" s="31">
        <v>0</v>
      </c>
      <c r="J15" s="31"/>
      <c r="K15" s="31">
        <v>0</v>
      </c>
      <c r="L15" s="31"/>
      <c r="M15" s="31">
        <v>0</v>
      </c>
      <c r="N15" s="31"/>
      <c r="O15" s="31">
        <v>0</v>
      </c>
      <c r="P15" s="31"/>
      <c r="Q15" s="31"/>
      <c r="R15" s="31"/>
      <c r="S15" s="31"/>
      <c r="T15" s="23"/>
      <c r="U15" s="48"/>
    </row>
    <row r="16" spans="1:21" ht="16.5" hidden="1" customHeight="1" outlineLevel="1" x14ac:dyDescent="0.45">
      <c r="A16" s="21"/>
      <c r="B16" s="17" t="s">
        <v>1</v>
      </c>
      <c r="C16" s="191"/>
      <c r="D16" s="191"/>
      <c r="E16" s="191"/>
      <c r="F16" s="191"/>
      <c r="G16" s="31">
        <v>0</v>
      </c>
      <c r="H16" s="22"/>
      <c r="I16" s="31">
        <f t="shared" ref="I16:I17" si="3">+H16+G16</f>
        <v>0</v>
      </c>
      <c r="J16" s="22"/>
      <c r="K16" s="31">
        <f t="shared" ref="K16:K17" si="4">+J16+I16</f>
        <v>0</v>
      </c>
      <c r="L16" s="22"/>
      <c r="M16" s="31">
        <f t="shared" ref="M16:M17" si="5">+L16+K16</f>
        <v>0</v>
      </c>
      <c r="N16" s="22"/>
      <c r="O16" s="31">
        <f t="shared" ref="O16:O17" si="6">+N16+M16</f>
        <v>0</v>
      </c>
      <c r="P16" s="31"/>
      <c r="Q16" s="31"/>
      <c r="R16" s="31"/>
      <c r="S16" s="31"/>
      <c r="T16" s="31"/>
      <c r="U16" s="24"/>
    </row>
    <row r="17" spans="1:22" ht="16.5" hidden="1" customHeight="1" outlineLevel="1" x14ac:dyDescent="0.45">
      <c r="A17" s="21"/>
      <c r="B17" s="17" t="s">
        <v>2</v>
      </c>
      <c r="C17" s="191"/>
      <c r="D17" s="191"/>
      <c r="E17" s="191"/>
      <c r="F17" s="191"/>
      <c r="G17" s="31">
        <v>0</v>
      </c>
      <c r="H17" s="22"/>
      <c r="I17" s="31">
        <f t="shared" si="3"/>
        <v>0</v>
      </c>
      <c r="J17" s="22"/>
      <c r="K17" s="31">
        <f t="shared" si="4"/>
        <v>0</v>
      </c>
      <c r="L17" s="22"/>
      <c r="M17" s="31">
        <f t="shared" si="5"/>
        <v>0</v>
      </c>
      <c r="N17" s="22"/>
      <c r="O17" s="31">
        <f t="shared" si="6"/>
        <v>0</v>
      </c>
      <c r="P17" s="31"/>
      <c r="Q17" s="31"/>
      <c r="R17" s="31"/>
      <c r="S17" s="31"/>
      <c r="T17" s="31"/>
      <c r="U17" s="24"/>
    </row>
    <row r="18" spans="1:22" ht="9" hidden="1" customHeight="1" outlineLevel="1" x14ac:dyDescent="0.45">
      <c r="A18" s="26"/>
      <c r="B18" s="51"/>
      <c r="C18" s="51"/>
      <c r="D18" s="51"/>
      <c r="E18" s="51"/>
      <c r="F18" s="51"/>
      <c r="G18" s="52"/>
      <c r="H18" s="51"/>
      <c r="I18" s="52"/>
      <c r="J18" s="51"/>
      <c r="K18" s="52"/>
      <c r="L18" s="51"/>
      <c r="M18" s="52"/>
      <c r="N18" s="51"/>
      <c r="O18" s="52"/>
      <c r="P18" s="52"/>
      <c r="Q18" s="52"/>
      <c r="R18" s="52"/>
      <c r="S18" s="52"/>
      <c r="T18" s="52"/>
      <c r="U18" s="28"/>
    </row>
    <row r="19" spans="1:22" ht="16.5" customHeight="1" collapsed="1" x14ac:dyDescent="0.45">
      <c r="B19" s="20"/>
      <c r="C19" s="20"/>
      <c r="D19" s="20"/>
      <c r="E19" s="20"/>
      <c r="F19" s="20"/>
      <c r="G19" s="36"/>
      <c r="H19" s="20"/>
      <c r="I19" s="36"/>
      <c r="J19" s="20"/>
      <c r="K19" s="36"/>
      <c r="L19" s="20"/>
      <c r="M19" s="36"/>
      <c r="N19" s="20"/>
      <c r="O19" s="36"/>
      <c r="P19" s="36"/>
      <c r="Q19" s="36"/>
      <c r="R19" s="36"/>
      <c r="S19" s="36"/>
    </row>
    <row r="20" spans="1:22" ht="9" customHeight="1" x14ac:dyDescent="0.45">
      <c r="A20" s="12"/>
      <c r="B20" s="30"/>
      <c r="C20" s="30"/>
      <c r="D20" s="30"/>
      <c r="E20" s="30"/>
      <c r="F20" s="30"/>
      <c r="G20" s="46"/>
      <c r="H20" s="30"/>
      <c r="I20" s="46"/>
      <c r="J20" s="30"/>
      <c r="K20" s="46"/>
      <c r="L20" s="30"/>
      <c r="M20" s="46"/>
      <c r="N20" s="30"/>
      <c r="O20" s="46"/>
      <c r="P20" s="46"/>
      <c r="Q20" s="46"/>
      <c r="R20" s="46"/>
      <c r="S20" s="46"/>
      <c r="T20" s="46"/>
      <c r="U20" s="47"/>
    </row>
    <row r="21" spans="1:22" ht="16.5" customHeight="1" x14ac:dyDescent="0.45">
      <c r="A21" s="21"/>
      <c r="B21" s="25" t="s">
        <v>42</v>
      </c>
      <c r="C21" s="25"/>
      <c r="D21" s="25"/>
      <c r="E21" s="25"/>
      <c r="F21" s="25"/>
      <c r="G21" s="23"/>
      <c r="H21" s="22"/>
      <c r="I21" s="23"/>
      <c r="J21" s="22"/>
      <c r="K21" s="23"/>
      <c r="L21" s="22"/>
      <c r="M21" s="23"/>
      <c r="N21" s="22"/>
      <c r="O21" s="23"/>
      <c r="P21" s="23"/>
      <c r="Q21" s="23"/>
      <c r="R21" s="23"/>
      <c r="S21" s="23"/>
      <c r="T21" s="23"/>
      <c r="U21" s="48"/>
    </row>
    <row r="22" spans="1:22" ht="16.5" customHeight="1" x14ac:dyDescent="0.45">
      <c r="A22" s="21"/>
      <c r="B22" s="118" t="s">
        <v>28</v>
      </c>
      <c r="C22" s="233">
        <f>'Synthèse Altarès'!X67</f>
        <v>0.84599999999999997</v>
      </c>
      <c r="D22" s="237"/>
      <c r="E22" s="237">
        <f>'Synthèse Altarès'!Y67</f>
        <v>0.93300000000000005</v>
      </c>
      <c r="F22" s="237"/>
      <c r="G22" s="237">
        <f>'Synthèse Altarès'!Z67</f>
        <v>1.359</v>
      </c>
      <c r="H22" s="237"/>
      <c r="I22" s="237">
        <f>'Synthèse Altarès'!AA67</f>
        <v>1.474</v>
      </c>
      <c r="J22" s="32"/>
      <c r="K22" s="41">
        <f>+K28/$B$27</f>
        <v>1.5929203539823011</v>
      </c>
      <c r="L22" s="32"/>
      <c r="M22" s="41">
        <f>+M28/$B$27</f>
        <v>1.7699115044247788</v>
      </c>
      <c r="N22" s="32"/>
      <c r="O22" s="41">
        <f>+O28/$B$27</f>
        <v>1.946902654867257</v>
      </c>
      <c r="P22" s="41"/>
      <c r="Q22" s="41">
        <f>+Q28/$B$27</f>
        <v>1.946902654867257</v>
      </c>
      <c r="R22" s="41"/>
      <c r="S22" s="41">
        <f t="shared" ref="S22" si="7">+S28/$B$27</f>
        <v>1.946902654867257</v>
      </c>
      <c r="T22" s="55">
        <f>(S22/I22)^(1/($S$3-$I$3))-1</f>
        <v>5.7229689792586136E-2</v>
      </c>
      <c r="U22" s="48"/>
    </row>
    <row r="23" spans="1:22" ht="16.5" customHeight="1" x14ac:dyDescent="0.45">
      <c r="A23" s="21"/>
      <c r="B23" s="118" t="s">
        <v>1</v>
      </c>
      <c r="C23" s="233">
        <f>'Synthèse Altarès'!X68</f>
        <v>0</v>
      </c>
      <c r="D23" s="236"/>
      <c r="E23" s="237">
        <f>'Synthèse Altarès'!Y68</f>
        <v>0</v>
      </c>
      <c r="F23" s="236"/>
      <c r="G23" s="237">
        <f>'Synthèse Altarès'!Z68</f>
        <v>0</v>
      </c>
      <c r="H23" s="227"/>
      <c r="I23" s="237">
        <f>'Synthèse Altarès'!AA68</f>
        <v>0</v>
      </c>
      <c r="J23" s="32"/>
      <c r="K23" s="41">
        <f t="shared" ref="K23:K24" si="8">+K29/$B$27</f>
        <v>0</v>
      </c>
      <c r="L23" s="32"/>
      <c r="M23" s="41">
        <f t="shared" ref="M23:M24" si="9">+M29/$B$27</f>
        <v>0</v>
      </c>
      <c r="N23" s="32"/>
      <c r="O23" s="41">
        <f>+O29/$B$27</f>
        <v>0</v>
      </c>
      <c r="P23" s="41"/>
      <c r="Q23" s="41">
        <f t="shared" ref="Q23:Q24" si="10">+Q29/$B$27</f>
        <v>0</v>
      </c>
      <c r="R23" s="41"/>
      <c r="S23" s="41">
        <f t="shared" ref="S23" si="11">+S29/$B$27</f>
        <v>0</v>
      </c>
      <c r="T23" s="55"/>
      <c r="U23" s="48"/>
    </row>
    <row r="24" spans="1:22" ht="16.5" customHeight="1" x14ac:dyDescent="0.45">
      <c r="A24" s="21"/>
      <c r="B24" s="118" t="s">
        <v>2</v>
      </c>
      <c r="C24" s="233">
        <f>'Synthèse Altarès'!X69</f>
        <v>0</v>
      </c>
      <c r="D24" s="236"/>
      <c r="E24" s="237">
        <f>'Synthèse Altarès'!Y69</f>
        <v>0</v>
      </c>
      <c r="F24" s="236"/>
      <c r="G24" s="237">
        <f>'Synthèse Altarès'!Z69</f>
        <v>0</v>
      </c>
      <c r="H24" s="227"/>
      <c r="I24" s="237">
        <f>'Synthèse Altarès'!AA69</f>
        <v>0</v>
      </c>
      <c r="J24" s="32"/>
      <c r="K24" s="41">
        <f t="shared" si="8"/>
        <v>0</v>
      </c>
      <c r="L24" s="32"/>
      <c r="M24" s="41">
        <f t="shared" si="9"/>
        <v>0</v>
      </c>
      <c r="N24" s="32"/>
      <c r="O24" s="41">
        <f t="shared" ref="O24" si="12">+O30/$B$27</f>
        <v>0</v>
      </c>
      <c r="P24" s="41"/>
      <c r="Q24" s="41">
        <f t="shared" si="10"/>
        <v>0</v>
      </c>
      <c r="R24" s="41"/>
      <c r="S24" s="41">
        <f t="shared" ref="S24" si="13">+S30/$B$27</f>
        <v>0</v>
      </c>
      <c r="T24" s="55"/>
      <c r="U24" s="48"/>
    </row>
    <row r="25" spans="1:22" ht="16.5" customHeight="1" x14ac:dyDescent="0.45">
      <c r="A25" s="21"/>
      <c r="B25" s="20" t="s">
        <v>15</v>
      </c>
      <c r="C25" s="20"/>
      <c r="D25" s="20"/>
      <c r="E25" s="20"/>
      <c r="F25" s="20"/>
      <c r="G25" s="43">
        <f>SUM(G22:G24)</f>
        <v>1.359</v>
      </c>
      <c r="H25" s="43"/>
      <c r="I25" s="43">
        <f>SUM(I22:I24)</f>
        <v>1.474</v>
      </c>
      <c r="J25" s="43"/>
      <c r="K25" s="43">
        <f>SUM(K22:K24)</f>
        <v>1.5929203539823011</v>
      </c>
      <c r="L25" s="43"/>
      <c r="M25" s="43">
        <f>SUM(M22:M24)</f>
        <v>1.7699115044247788</v>
      </c>
      <c r="N25" s="43"/>
      <c r="O25" s="43">
        <f>SUM(O22:O24)</f>
        <v>1.946902654867257</v>
      </c>
      <c r="P25" s="43"/>
      <c r="Q25" s="43">
        <f t="shared" ref="Q25:S25" si="14">SUM(Q22:Q24)</f>
        <v>1.946902654867257</v>
      </c>
      <c r="R25" s="43"/>
      <c r="S25" s="43">
        <f t="shared" si="14"/>
        <v>1.946902654867257</v>
      </c>
      <c r="T25" s="55">
        <f>(S25/I25)^(1/($S$3-$I$3))-1</f>
        <v>5.7229689792586136E-2</v>
      </c>
      <c r="U25" s="48"/>
    </row>
    <row r="26" spans="1:22" ht="9" customHeight="1" x14ac:dyDescent="0.45">
      <c r="A26" s="26"/>
      <c r="B26" s="5"/>
      <c r="C26" s="5"/>
      <c r="D26" s="5"/>
      <c r="E26" s="5"/>
      <c r="F26" s="5"/>
      <c r="G26" s="5"/>
      <c r="H26" s="5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50"/>
    </row>
    <row r="27" spans="1:22" ht="16.5" customHeight="1" x14ac:dyDescent="0.45">
      <c r="B27" s="243">
        <v>1.1299999999999999</v>
      </c>
      <c r="C27" s="2"/>
      <c r="D27" s="2"/>
      <c r="E27" s="2"/>
      <c r="F27" s="2"/>
      <c r="T27" s="55"/>
      <c r="U27" s="55"/>
      <c r="V27" s="55"/>
    </row>
    <row r="28" spans="1:22" ht="16.5" customHeight="1" x14ac:dyDescent="0.45">
      <c r="A28" s="21"/>
      <c r="B28" s="17"/>
      <c r="C28" s="17"/>
      <c r="D28" s="17"/>
      <c r="E28" s="17"/>
      <c r="F28" s="17"/>
      <c r="G28" s="122">
        <v>1.2</v>
      </c>
      <c r="H28" s="123"/>
      <c r="I28" s="122">
        <v>1.6</v>
      </c>
      <c r="J28" s="123"/>
      <c r="K28" s="244">
        <v>1.8</v>
      </c>
      <c r="L28" s="123"/>
      <c r="M28" s="244">
        <v>2</v>
      </c>
      <c r="N28" s="123"/>
      <c r="O28" s="244">
        <v>2.2000000000000002</v>
      </c>
      <c r="P28" s="244"/>
      <c r="Q28" s="244">
        <v>2.2000000000000002</v>
      </c>
      <c r="R28" s="244"/>
      <c r="S28" s="244">
        <v>2.2000000000000002</v>
      </c>
      <c r="T28" s="55">
        <f>(S28/G28)^(1/($S$3-$G$3))-1</f>
        <v>0.10630168143308016</v>
      </c>
    </row>
    <row r="29" spans="1:22" ht="16.5" customHeight="1" x14ac:dyDescent="0.45"/>
    <row r="30" spans="1:22" ht="16.5" customHeight="1" x14ac:dyDescent="0.45"/>
    <row r="31" spans="1:22" ht="16.5" customHeight="1" x14ac:dyDescent="0.45"/>
    <row r="32" spans="1:22" ht="16.5" customHeight="1" x14ac:dyDescent="0.45"/>
    <row r="33" ht="16.5" customHeight="1" x14ac:dyDescent="0.45"/>
    <row r="34" ht="16.5" customHeight="1" x14ac:dyDescent="0.45"/>
    <row r="35" ht="16.5" customHeight="1" x14ac:dyDescent="0.45"/>
    <row r="36" ht="16.5" customHeight="1" x14ac:dyDescent="0.45"/>
    <row r="37" ht="16.5" customHeight="1" x14ac:dyDescent="0.45"/>
    <row r="38" ht="16.5" customHeight="1" x14ac:dyDescent="0.45"/>
    <row r="39" ht="16.5" customHeight="1" x14ac:dyDescent="0.45"/>
    <row r="40" ht="16.5" customHeight="1" x14ac:dyDescent="0.45"/>
    <row r="41" ht="16.5" customHeight="1" x14ac:dyDescent="0.45"/>
    <row r="42" ht="16.5" customHeight="1" x14ac:dyDescent="0.45"/>
    <row r="43" ht="16.5" customHeight="1" x14ac:dyDescent="0.45"/>
    <row r="44" ht="16.5" customHeight="1" x14ac:dyDescent="0.45"/>
    <row r="45" ht="16.5" customHeight="1" x14ac:dyDescent="0.45"/>
    <row r="46" ht="16.5" customHeight="1" x14ac:dyDescent="0.45"/>
    <row r="47" ht="16.5" customHeight="1" x14ac:dyDescent="0.45"/>
    <row r="48" ht="16.5" customHeight="1" x14ac:dyDescent="0.45"/>
    <row r="49" ht="16.5" customHeight="1" x14ac:dyDescent="0.45"/>
    <row r="50" ht="16.5" customHeight="1" x14ac:dyDescent="0.45"/>
    <row r="51" ht="16.5" customHeight="1" x14ac:dyDescent="0.45"/>
    <row r="52" ht="16.5" customHeight="1" x14ac:dyDescent="0.45"/>
    <row r="53" ht="16.5" customHeight="1" x14ac:dyDescent="0.45"/>
    <row r="54" ht="16.5" customHeight="1" x14ac:dyDescent="0.45"/>
    <row r="55" ht="16.5" customHeight="1" x14ac:dyDescent="0.45"/>
    <row r="56" ht="16.5" customHeight="1" x14ac:dyDescent="0.45"/>
    <row r="57" ht="16.5" customHeight="1" x14ac:dyDescent="0.45"/>
    <row r="58" ht="16.5" customHeight="1" x14ac:dyDescent="0.45"/>
    <row r="59" ht="16.5" customHeight="1" x14ac:dyDescent="0.45"/>
    <row r="60" ht="16.5" customHeight="1" x14ac:dyDescent="0.45"/>
    <row r="61" ht="16.5" customHeight="1" x14ac:dyDescent="0.45"/>
    <row r="62" ht="16.5" customHeight="1" x14ac:dyDescent="0.45"/>
    <row r="63" ht="16.5" customHeight="1" x14ac:dyDescent="0.45"/>
    <row r="64" ht="16.5" customHeight="1" x14ac:dyDescent="0.45"/>
    <row r="65" ht="16.5" customHeight="1" x14ac:dyDescent="0.45"/>
    <row r="66" ht="16.5" customHeight="1" x14ac:dyDescent="0.45"/>
    <row r="67" ht="16.5" customHeight="1" x14ac:dyDescent="0.45"/>
    <row r="68" ht="16.5" customHeight="1" x14ac:dyDescent="0.45"/>
    <row r="69" ht="16.5" customHeight="1" x14ac:dyDescent="0.45"/>
  </sheetData>
  <mergeCells count="1">
    <mergeCell ref="B1:T1"/>
  </mergeCells>
  <printOptions horizontalCentered="1"/>
  <pageMargins left="0.25" right="0.25" top="0.75" bottom="0.75" header="0.3" footer="0.3"/>
  <pageSetup paperSize="9" scale="8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  <pageSetUpPr fitToPage="1"/>
  </sheetPr>
  <dimension ref="A1:AD103"/>
  <sheetViews>
    <sheetView showGridLines="0" zoomScale="96" zoomScaleNormal="96" workbookViewId="0">
      <selection activeCell="S14" sqref="S14"/>
    </sheetView>
  </sheetViews>
  <sheetFormatPr baseColWidth="10" defaultColWidth="11.3984375" defaultRowHeight="14.25" x14ac:dyDescent="0.45"/>
  <cols>
    <col min="1" max="1" width="2.59765625" customWidth="1"/>
    <col min="2" max="2" width="30.59765625" customWidth="1"/>
    <col min="3" max="3" width="10.59765625" customWidth="1"/>
    <col min="4" max="4" width="1.59765625" customWidth="1"/>
    <col min="5" max="5" width="10.59765625" customWidth="1"/>
    <col min="6" max="6" width="1.59765625" customWidth="1"/>
    <col min="7" max="7" width="10.59765625" customWidth="1"/>
    <col min="8" max="8" width="1.59765625" customWidth="1"/>
    <col min="9" max="9" width="10.59765625" customWidth="1"/>
    <col min="10" max="10" width="6.86328125" customWidth="1"/>
    <col min="11" max="11" width="10.59765625" customWidth="1"/>
    <col min="12" max="12" width="1.59765625" customWidth="1"/>
    <col min="13" max="13" width="10.59765625" customWidth="1"/>
    <col min="14" max="14" width="1" customWidth="1"/>
    <col min="15" max="15" width="10.59765625" customWidth="1"/>
    <col min="16" max="16" width="1.265625" customWidth="1"/>
    <col min="17" max="17" width="10.59765625" customWidth="1"/>
    <col min="18" max="18" width="1.59765625" customWidth="1"/>
    <col min="19" max="19" width="10.59765625" customWidth="1"/>
    <col min="20" max="20" width="11.3984375" customWidth="1"/>
    <col min="21" max="21" width="1.59765625" customWidth="1"/>
    <col min="24" max="24" width="13.265625" bestFit="1" customWidth="1"/>
  </cols>
  <sheetData>
    <row r="1" spans="1:30" ht="24.75" customHeight="1" x14ac:dyDescent="0.55000000000000004">
      <c r="A1" s="4"/>
      <c r="B1" s="314" t="s">
        <v>32</v>
      </c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  <c r="S1" s="314"/>
      <c r="T1" s="314"/>
      <c r="U1" s="314"/>
    </row>
    <row r="2" spans="1:30" x14ac:dyDescent="0.45"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1:30" ht="19.5" customHeight="1" x14ac:dyDescent="0.45">
      <c r="A3" s="9"/>
      <c r="B3" s="104" t="s">
        <v>31</v>
      </c>
      <c r="C3" s="104">
        <v>2017</v>
      </c>
      <c r="D3" s="104"/>
      <c r="E3" s="104">
        <v>2018</v>
      </c>
      <c r="F3" s="104"/>
      <c r="G3" s="104">
        <f>2019</f>
        <v>2019</v>
      </c>
      <c r="H3" s="113"/>
      <c r="I3" s="104">
        <f>G3+1</f>
        <v>2020</v>
      </c>
      <c r="J3" s="113"/>
      <c r="K3" s="104">
        <f>I3+1</f>
        <v>2021</v>
      </c>
      <c r="L3" s="113"/>
      <c r="M3" s="104">
        <f t="shared" ref="M3" si="0">K3+1</f>
        <v>2022</v>
      </c>
      <c r="N3" s="113"/>
      <c r="O3" s="104">
        <f t="shared" ref="O3" si="1">M3+1</f>
        <v>2023</v>
      </c>
      <c r="P3" s="104"/>
      <c r="Q3" s="104">
        <f t="shared" ref="Q3" si="2">O3+1</f>
        <v>2024</v>
      </c>
      <c r="R3" s="104"/>
      <c r="S3" s="104">
        <f t="shared" ref="S3" si="3">Q3+1</f>
        <v>2025</v>
      </c>
      <c r="T3" s="104" t="s">
        <v>48</v>
      </c>
      <c r="U3" s="130"/>
      <c r="W3" t="s">
        <v>83</v>
      </c>
      <c r="X3" t="s">
        <v>111</v>
      </c>
      <c r="Y3" t="s">
        <v>110</v>
      </c>
    </row>
    <row r="4" spans="1:30" x14ac:dyDescent="0.45">
      <c r="A4" s="9"/>
      <c r="B4" s="25"/>
      <c r="C4" s="25"/>
      <c r="D4" s="25"/>
      <c r="E4" s="25"/>
      <c r="F4" s="25"/>
      <c r="G4" s="23"/>
      <c r="H4" s="22"/>
      <c r="I4" s="23"/>
      <c r="J4" s="22"/>
      <c r="K4" s="23"/>
      <c r="L4" s="22"/>
      <c r="M4" s="23"/>
      <c r="N4" s="22"/>
      <c r="O4" s="23"/>
      <c r="P4" s="23"/>
      <c r="Q4" s="23"/>
      <c r="R4" s="23"/>
      <c r="S4" s="23"/>
      <c r="T4" s="23"/>
      <c r="U4" s="23"/>
    </row>
    <row r="5" spans="1:30" ht="9" customHeight="1" x14ac:dyDescent="0.45">
      <c r="A5" s="9"/>
      <c r="B5" s="116"/>
      <c r="C5" s="116"/>
      <c r="D5" s="116"/>
      <c r="E5" s="116"/>
      <c r="F5" s="116"/>
      <c r="G5" s="131"/>
      <c r="H5" s="116"/>
      <c r="I5" s="131"/>
      <c r="J5" s="116"/>
      <c r="K5" s="131"/>
      <c r="L5" s="116"/>
      <c r="M5" s="131"/>
      <c r="N5" s="116"/>
      <c r="O5" s="131"/>
      <c r="P5" s="131"/>
      <c r="Q5" s="131"/>
      <c r="R5" s="131"/>
      <c r="S5" s="131"/>
      <c r="T5" s="131"/>
      <c r="U5" s="116"/>
    </row>
    <row r="6" spans="1:30" s="64" customFormat="1" ht="16.5" customHeight="1" x14ac:dyDescent="0.5">
      <c r="A6" s="9"/>
      <c r="B6" s="103" t="s">
        <v>27</v>
      </c>
      <c r="C6" s="115"/>
      <c r="D6" s="115"/>
      <c r="E6" s="115"/>
      <c r="F6" s="115"/>
      <c r="G6" s="115"/>
      <c r="H6" s="114"/>
      <c r="I6" s="115"/>
      <c r="J6" s="114"/>
      <c r="K6" s="115"/>
      <c r="L6" s="114"/>
      <c r="M6" s="115"/>
      <c r="N6" s="114"/>
      <c r="O6" s="115"/>
      <c r="P6" s="115"/>
      <c r="Q6" s="115"/>
      <c r="R6" s="115"/>
      <c r="S6" s="115"/>
      <c r="T6" s="115"/>
      <c r="U6" s="114"/>
    </row>
    <row r="7" spans="1:30" s="64" customFormat="1" ht="18" customHeight="1" x14ac:dyDescent="0.5">
      <c r="A7" s="9"/>
      <c r="B7" s="118" t="s">
        <v>28</v>
      </c>
      <c r="C7" s="119">
        <f>+C23+C36+C49</f>
        <v>73.116168381495498</v>
      </c>
      <c r="D7" s="119"/>
      <c r="E7" s="119">
        <f>+E23+E36+E49</f>
        <v>68.243158633728171</v>
      </c>
      <c r="F7" s="119"/>
      <c r="G7" s="119">
        <f>+G23+G36+G49</f>
        <v>66.292004650782772</v>
      </c>
      <c r="H7" s="120"/>
      <c r="I7" s="119">
        <f>+I23+I36+I49</f>
        <v>64.117529588052122</v>
      </c>
      <c r="J7" s="120"/>
      <c r="K7" s="119">
        <f>+K23+K36+K49</f>
        <v>65.534385984914252</v>
      </c>
      <c r="L7" s="120"/>
      <c r="M7" s="119">
        <f>+M23+M36+M49</f>
        <v>66.815534978016771</v>
      </c>
      <c r="N7" s="120"/>
      <c r="O7" s="119">
        <f>+O23+O36+O49</f>
        <v>68.43954110514521</v>
      </c>
      <c r="P7" s="119"/>
      <c r="Q7" s="119">
        <f>+Q23+Q36+Q49</f>
        <v>70.735634382950792</v>
      </c>
      <c r="R7" s="119"/>
      <c r="S7" s="119">
        <f>+S23+S36+S49</f>
        <v>74.22903686284927</v>
      </c>
      <c r="T7" s="128">
        <f>(S7/I7)^(1/($S$3-$I$3))-1</f>
        <v>2.9720618620825867E-2</v>
      </c>
      <c r="U7" s="114"/>
      <c r="W7" s="297">
        <f t="shared" ref="W7:W12" si="4">(I7/C7)^(1/(I$3-C$3))-1</f>
        <v>-4.2832849293402586E-2</v>
      </c>
      <c r="X7" s="298">
        <f>(O7/I7)^(1/($O$3-$I$3))-1</f>
        <v>2.1982445439573617E-2</v>
      </c>
      <c r="Y7" s="298">
        <f>(S7/I7)^(1/($S$3-$I$3))-1</f>
        <v>2.9720618620825867E-2</v>
      </c>
      <c r="Z7" s="238"/>
      <c r="AA7" s="238"/>
      <c r="AB7" s="238"/>
      <c r="AC7" s="238"/>
      <c r="AD7" s="238"/>
    </row>
    <row r="8" spans="1:30" s="64" customFormat="1" ht="18" customHeight="1" x14ac:dyDescent="0.5">
      <c r="A8" s="9"/>
      <c r="B8" s="118" t="s">
        <v>1</v>
      </c>
      <c r="C8" s="119">
        <f>+C24+C37+C50</f>
        <v>17.756228170359865</v>
      </c>
      <c r="D8" s="118"/>
      <c r="E8" s="119">
        <f>+E24+E37+E50</f>
        <v>19.582881917735804</v>
      </c>
      <c r="F8" s="118"/>
      <c r="G8" s="119">
        <f>+G24+G37+G50</f>
        <v>20.791886560033625</v>
      </c>
      <c r="H8" s="120"/>
      <c r="I8" s="119">
        <f>+I24+I37+I50</f>
        <v>19.11050592445773</v>
      </c>
      <c r="J8" s="120"/>
      <c r="K8" s="119">
        <f>+K24+K37+K50</f>
        <v>20.568175738893341</v>
      </c>
      <c r="L8" s="120"/>
      <c r="M8" s="119">
        <f>+M24+M37+M50</f>
        <v>22.164530868551896</v>
      </c>
      <c r="N8" s="120"/>
      <c r="O8" s="119">
        <f>+O24+O37+O50</f>
        <v>23.985655376130346</v>
      </c>
      <c r="P8" s="119"/>
      <c r="Q8" s="119">
        <f>+Q24+Q37+Q50</f>
        <v>26.531352721326897</v>
      </c>
      <c r="R8" s="119"/>
      <c r="S8" s="119">
        <f>+S24+S37+S50</f>
        <v>29.688571641584215</v>
      </c>
      <c r="T8" s="128">
        <f t="shared" ref="T8:T9" si="5">(S8/I8)^(1/($S$3-$I$3))-1</f>
        <v>9.2102556653656187E-2</v>
      </c>
      <c r="U8" s="114"/>
      <c r="W8" s="297">
        <f t="shared" si="4"/>
        <v>2.4803238447437037E-2</v>
      </c>
      <c r="X8" s="298">
        <f>(O8/I8)^(1/($O$3-$I$3))-1</f>
        <v>7.8681262988100409E-2</v>
      </c>
      <c r="Y8" s="298">
        <f>(S8/I8)^(1/($S$3-$I$3))-1</f>
        <v>9.2102556653656187E-2</v>
      </c>
      <c r="Z8" s="238"/>
      <c r="AA8" s="238"/>
      <c r="AB8" s="238"/>
      <c r="AC8" s="238"/>
      <c r="AD8" s="238"/>
    </row>
    <row r="9" spans="1:30" s="64" customFormat="1" ht="18" customHeight="1" x14ac:dyDescent="0.5">
      <c r="A9" s="9"/>
      <c r="B9" s="118" t="s">
        <v>2</v>
      </c>
      <c r="C9" s="119">
        <f>+C25+C38+C51</f>
        <v>7.1670478144001812</v>
      </c>
      <c r="D9" s="118"/>
      <c r="E9" s="119">
        <f>+E25+E38+E51</f>
        <v>7.6118051310901214</v>
      </c>
      <c r="F9" s="118"/>
      <c r="G9" s="119">
        <f>+G25+G38+G51</f>
        <v>10.035899276437155</v>
      </c>
      <c r="H9" s="120"/>
      <c r="I9" s="119">
        <f>+I25+I38+I51</f>
        <v>10.969176905542302</v>
      </c>
      <c r="J9" s="120"/>
      <c r="K9" s="119">
        <f>+K25+K38+K51</f>
        <v>13.142965851131319</v>
      </c>
      <c r="L9" s="120"/>
      <c r="M9" s="119">
        <f>+M25+M38+M51</f>
        <v>15.447142450316047</v>
      </c>
      <c r="N9" s="120"/>
      <c r="O9" s="119">
        <f>+O25+O38+O51</f>
        <v>17.866230259372646</v>
      </c>
      <c r="P9" s="119"/>
      <c r="Q9" s="119">
        <f>+Q25+Q38+Q51</f>
        <v>20.487354227103232</v>
      </c>
      <c r="R9" s="119"/>
      <c r="S9" s="119">
        <f>+S25+S38+S51</f>
        <v>23.306592693729918</v>
      </c>
      <c r="T9" s="128">
        <f t="shared" si="5"/>
        <v>0.16268200043732084</v>
      </c>
      <c r="U9" s="114"/>
      <c r="W9" s="297">
        <f t="shared" si="4"/>
        <v>0.1524212193102279</v>
      </c>
      <c r="X9" s="298">
        <f>(O9/I9)^(1/($O$3-$I$3))-1</f>
        <v>0.17657503395501384</v>
      </c>
      <c r="Y9" s="298">
        <f>(S9/I9)^(1/($S$3-$I$3))-1</f>
        <v>0.16268200043732084</v>
      </c>
      <c r="Z9" s="238"/>
      <c r="AA9" s="238"/>
      <c r="AB9" s="238"/>
      <c r="AC9" s="238"/>
      <c r="AD9" s="238"/>
    </row>
    <row r="10" spans="1:30" s="64" customFormat="1" ht="18" customHeight="1" x14ac:dyDescent="0.5">
      <c r="A10" s="9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20"/>
      <c r="O10" s="119"/>
      <c r="P10" s="119"/>
      <c r="Q10" s="119"/>
      <c r="R10" s="119"/>
      <c r="S10" s="119"/>
      <c r="T10" s="128"/>
      <c r="U10" s="114"/>
      <c r="W10" s="297"/>
      <c r="X10" s="298"/>
      <c r="Y10" s="298"/>
      <c r="Z10" s="238"/>
      <c r="AA10" s="238"/>
      <c r="AB10" s="238"/>
      <c r="AC10" s="238"/>
      <c r="AD10" s="238"/>
    </row>
    <row r="11" spans="1:30" s="64" customFormat="1" ht="18" customHeight="1" x14ac:dyDescent="0.5">
      <c r="A11" s="9"/>
      <c r="B11" s="104" t="s">
        <v>29</v>
      </c>
      <c r="C11" s="105">
        <f t="shared" ref="C11:E11" si="6">SUM(C7:C10)</f>
        <v>98.039444366255537</v>
      </c>
      <c r="D11" s="105"/>
      <c r="E11" s="105">
        <f t="shared" si="6"/>
        <v>95.437845682554098</v>
      </c>
      <c r="F11" s="105"/>
      <c r="G11" s="105">
        <f>SUM(G7:G10)</f>
        <v>97.119790487253553</v>
      </c>
      <c r="H11" s="106"/>
      <c r="I11" s="105">
        <f>SUM(I7:I10)</f>
        <v>94.197212418052146</v>
      </c>
      <c r="J11" s="106"/>
      <c r="K11" s="105">
        <f>SUM(K7:K10)</f>
        <v>99.245527574938919</v>
      </c>
      <c r="L11" s="106"/>
      <c r="M11" s="105">
        <f>SUM(M7:M10)</f>
        <v>104.42720829688471</v>
      </c>
      <c r="N11" s="106"/>
      <c r="O11" s="105">
        <f>SUM(O7:O10)</f>
        <v>110.29142674064819</v>
      </c>
      <c r="P11" s="105"/>
      <c r="Q11" s="105">
        <f t="shared" ref="Q11:S11" si="7">SUM(Q7:Q10)</f>
        <v>117.75434133138091</v>
      </c>
      <c r="R11" s="105"/>
      <c r="S11" s="105">
        <f t="shared" si="7"/>
        <v>127.2242011981634</v>
      </c>
      <c r="T11" s="129">
        <f>(S11/I11)^(1/($S$3-$I$3))-1</f>
        <v>6.1955543639957256E-2</v>
      </c>
      <c r="U11" s="105"/>
      <c r="W11" s="297">
        <f t="shared" si="4"/>
        <v>-1.3238030297318515E-2</v>
      </c>
      <c r="X11" s="298">
        <f>(O11/I11)^(1/($O$3-$I$3))-1</f>
        <v>5.3985334451716049E-2</v>
      </c>
      <c r="Y11" s="298">
        <f>(S11/I11)^(1/($S$3-$I$3))-1</f>
        <v>6.1955543639957256E-2</v>
      </c>
      <c r="Z11" s="238"/>
      <c r="AA11" s="238"/>
      <c r="AB11" s="238"/>
      <c r="AC11" s="238"/>
      <c r="AD11" s="238"/>
    </row>
    <row r="12" spans="1:30" ht="15.75" x14ac:dyDescent="0.5">
      <c r="A12" s="9"/>
      <c r="B12" s="246" t="s">
        <v>92</v>
      </c>
      <c r="C12" s="247">
        <f>'Synthèse Altarès'!X72</f>
        <v>-1.021504</v>
      </c>
      <c r="D12" s="247"/>
      <c r="E12" s="247">
        <f>'Synthèse Altarès'!Y72</f>
        <v>-0.998</v>
      </c>
      <c r="F12" s="247"/>
      <c r="G12" s="247">
        <f>'Synthèse Altarès'!Z72</f>
        <v>-2.2850000000000001</v>
      </c>
      <c r="H12" s="247"/>
      <c r="I12" s="247">
        <f>'Synthèse Altarès'!AA72</f>
        <v>-2.153</v>
      </c>
      <c r="J12" s="247"/>
      <c r="K12" s="247">
        <f>K11*I12/I11</f>
        <v>-2.268385819322762</v>
      </c>
      <c r="L12" s="247"/>
      <c r="M12" s="247">
        <f>M11*K12/K11</f>
        <v>-2.386819882369529</v>
      </c>
      <c r="N12" s="247"/>
      <c r="O12" s="247">
        <f>O11*M12/M11</f>
        <v>-2.5208542341865385</v>
      </c>
      <c r="P12" s="247"/>
      <c r="Q12" s="247">
        <f t="shared" ref="Q12:S12" si="8">Q11*O12/O11</f>
        <v>-2.6914288690551209</v>
      </c>
      <c r="R12" s="247"/>
      <c r="S12" s="247">
        <f t="shared" si="8"/>
        <v>-2.9078748526442846</v>
      </c>
      <c r="T12" s="248"/>
      <c r="U12" s="117"/>
      <c r="W12" s="297">
        <f t="shared" si="4"/>
        <v>0.28213764795538987</v>
      </c>
      <c r="X12" s="298">
        <f>(O12/I12)^(1/($O$3-$I$3))-1</f>
        <v>5.3985334451716049E-2</v>
      </c>
      <c r="Y12" s="298">
        <f>(S12/I12)^(1/($S$3-$I$3))-1</f>
        <v>6.1955543639957256E-2</v>
      </c>
      <c r="Z12" s="234"/>
      <c r="AA12" s="234"/>
      <c r="AB12" s="234"/>
      <c r="AC12" s="234"/>
      <c r="AD12" s="234"/>
    </row>
    <row r="13" spans="1:30" s="64" customFormat="1" ht="18.75" customHeight="1" x14ac:dyDescent="0.5">
      <c r="A13" s="9"/>
      <c r="B13" s="118" t="s">
        <v>45</v>
      </c>
      <c r="C13" s="119">
        <f>+C29+C42</f>
        <v>17.881137053912255</v>
      </c>
      <c r="D13" s="119"/>
      <c r="E13" s="119">
        <f>+E29+E42</f>
        <v>18.658297611955447</v>
      </c>
      <c r="F13" s="119"/>
      <c r="G13" s="119">
        <f>+G29+G42</f>
        <v>20.747893503285276</v>
      </c>
      <c r="H13" s="119"/>
      <c r="I13" s="119">
        <f>+I29+I42</f>
        <v>23.113430430000001</v>
      </c>
      <c r="J13" s="119"/>
      <c r="K13" s="119">
        <f>+K29+K42</f>
        <v>23.922400495049999</v>
      </c>
      <c r="L13" s="119"/>
      <c r="M13" s="119">
        <f>+M29+M42</f>
        <v>24.759684512376744</v>
      </c>
      <c r="N13" s="119"/>
      <c r="O13" s="119">
        <f>+O29+O42</f>
        <v>25.626273470309933</v>
      </c>
      <c r="P13" s="119"/>
      <c r="Q13" s="119">
        <f>+Q29+Q42</f>
        <v>26.523193041770774</v>
      </c>
      <c r="R13" s="119"/>
      <c r="S13" s="119">
        <f>+S29+S42</f>
        <v>27.451504798232754</v>
      </c>
      <c r="T13" s="128">
        <f>(S13/I13)^(1/($S$3-$I$3))-1</f>
        <v>3.499999999999992E-2</v>
      </c>
      <c r="U13" s="114"/>
      <c r="W13" s="297">
        <f>(I13/C13)^(1/(I$3-C$3))-1</f>
        <v>8.9322376925515146E-2</v>
      </c>
      <c r="X13" s="298">
        <f>(O13/I13)^(1/($O$3-$I$3))-1</f>
        <v>3.499999999999992E-2</v>
      </c>
      <c r="Y13" s="298">
        <f>(S13/I13)^(1/($S$3-$I$3))-1</f>
        <v>3.499999999999992E-2</v>
      </c>
      <c r="Z13" s="238"/>
      <c r="AA13" s="239"/>
      <c r="AB13" s="238"/>
      <c r="AC13" s="238"/>
      <c r="AD13" s="238"/>
    </row>
    <row r="14" spans="1:30" s="64" customFormat="1" ht="18.75" customHeight="1" x14ac:dyDescent="0.5">
      <c r="A14" s="9"/>
      <c r="B14" s="104" t="s">
        <v>30</v>
      </c>
      <c r="C14" s="105">
        <f t="shared" ref="C14:S14" si="9">C11+C13+C12</f>
        <v>114.8990774201678</v>
      </c>
      <c r="D14" s="105">
        <f t="shared" si="9"/>
        <v>0</v>
      </c>
      <c r="E14" s="105">
        <f t="shared" si="9"/>
        <v>113.09814329450954</v>
      </c>
      <c r="F14" s="105">
        <f t="shared" si="9"/>
        <v>0</v>
      </c>
      <c r="G14" s="105">
        <f t="shared" si="9"/>
        <v>115.58268399053884</v>
      </c>
      <c r="H14" s="241">
        <f t="shared" si="9"/>
        <v>0</v>
      </c>
      <c r="I14" s="105">
        <f>I11+I13+I12</f>
        <v>115.15764284805213</v>
      </c>
      <c r="J14" s="241">
        <f>J11+J13+J12</f>
        <v>0</v>
      </c>
      <c r="K14" s="105">
        <f>K11+K13+K12</f>
        <v>120.89954225066616</v>
      </c>
      <c r="L14" s="241">
        <f t="shared" si="9"/>
        <v>0</v>
      </c>
      <c r="M14" s="105">
        <f t="shared" si="9"/>
        <v>126.80007292689193</v>
      </c>
      <c r="N14" s="241">
        <f t="shared" si="9"/>
        <v>0</v>
      </c>
      <c r="O14" s="105">
        <f t="shared" si="9"/>
        <v>133.39684597677157</v>
      </c>
      <c r="P14" s="105"/>
      <c r="Q14" s="105">
        <f>Q11+Q13+Q12</f>
        <v>141.58610550409657</v>
      </c>
      <c r="R14" s="105"/>
      <c r="S14" s="105">
        <f t="shared" si="9"/>
        <v>151.76783114375186</v>
      </c>
      <c r="T14" s="242">
        <f>(S14/I14)^(1/($S$3-$I$3))-1</f>
        <v>5.6762496584853439E-2</v>
      </c>
      <c r="U14" s="105"/>
      <c r="W14" s="297">
        <f>(I14/C14)^(1/(I$3-C$3))-1</f>
        <v>7.4956132475345605E-4</v>
      </c>
      <c r="X14" s="298">
        <f>(O14/I14)^(1/($O$3-$I$3))-1</f>
        <v>5.022962521057095E-2</v>
      </c>
      <c r="Y14" s="298">
        <f>(S14/I14)^(1/($S$3-$I$3))-1</f>
        <v>5.6762496584853439E-2</v>
      </c>
      <c r="Z14" s="238"/>
      <c r="AA14" s="238"/>
      <c r="AB14" s="238"/>
      <c r="AC14" s="238"/>
      <c r="AD14" s="238"/>
    </row>
    <row r="15" spans="1:30" s="125" customFormat="1" x14ac:dyDescent="0.45">
      <c r="A15" s="9"/>
      <c r="B15" s="261"/>
      <c r="C15" s="124"/>
      <c r="D15" s="124"/>
      <c r="E15" s="124"/>
      <c r="F15" s="124"/>
      <c r="H15"/>
      <c r="I15" s="264">
        <f>I14-G14</f>
        <v>-0.42504114248670533</v>
      </c>
      <c r="J15" s="264"/>
      <c r="K15" s="264">
        <f>K14-I14</f>
        <v>5.741899402614024</v>
      </c>
      <c r="L15" s="265"/>
      <c r="M15" s="264">
        <f>M14-K14</f>
        <v>5.9005306762257703</v>
      </c>
      <c r="N15" s="265"/>
      <c r="O15" s="264">
        <f>O14-M14</f>
        <v>6.5967730498796442</v>
      </c>
      <c r="P15" s="266"/>
      <c r="Q15" s="264">
        <f>Q14-O14</f>
        <v>8.1892595273249924</v>
      </c>
      <c r="R15" s="188"/>
      <c r="S15" s="264">
        <f>S14-Q14</f>
        <v>10.181725639655298</v>
      </c>
      <c r="T15" s="127"/>
      <c r="U15" s="124"/>
      <c r="X15" s="240"/>
      <c r="Y15" s="240"/>
      <c r="Z15" s="240"/>
      <c r="AA15" s="240"/>
      <c r="AB15" s="240"/>
      <c r="AC15" s="240"/>
      <c r="AD15" s="240"/>
    </row>
    <row r="16" spans="1:30" s="125" customFormat="1" x14ac:dyDescent="0.45">
      <c r="A16" s="9"/>
      <c r="C16" s="124"/>
      <c r="D16" s="124"/>
      <c r="E16" s="124"/>
      <c r="F16" s="124"/>
      <c r="G16" s="263" t="s">
        <v>99</v>
      </c>
      <c r="H16"/>
      <c r="I16" s="259">
        <v>115.15764284805213</v>
      </c>
      <c r="J16" s="259">
        <v>0</v>
      </c>
      <c r="K16" s="259">
        <v>120.97054478059191</v>
      </c>
      <c r="L16" s="260">
        <v>0</v>
      </c>
      <c r="M16" s="188">
        <v>126.45780868378168</v>
      </c>
      <c r="N16" s="260">
        <v>0</v>
      </c>
      <c r="O16" s="188">
        <v>132.11824471749037</v>
      </c>
      <c r="P16" s="188"/>
      <c r="Q16" s="188">
        <v>138.16324059628155</v>
      </c>
      <c r="R16" s="188"/>
      <c r="S16" s="188">
        <v>144.76852996790672</v>
      </c>
      <c r="T16" s="127"/>
      <c r="U16" s="124"/>
      <c r="X16" s="240"/>
      <c r="Y16" s="240"/>
      <c r="Z16" s="240"/>
      <c r="AA16" s="240"/>
      <c r="AB16" s="240"/>
      <c r="AC16" s="240"/>
      <c r="AD16" s="240"/>
    </row>
    <row r="17" spans="1:30" s="125" customFormat="1" ht="16.5" customHeight="1" x14ac:dyDescent="0.45">
      <c r="A17" s="9"/>
      <c r="B17" s="222" t="s">
        <v>96</v>
      </c>
      <c r="C17" s="214"/>
      <c r="D17" s="214"/>
      <c r="E17" s="214"/>
      <c r="F17" s="214"/>
      <c r="G17" s="222"/>
      <c r="H17" s="222"/>
      <c r="I17" s="222"/>
      <c r="J17" s="222"/>
      <c r="K17" s="222">
        <v>122.2</v>
      </c>
      <c r="L17" s="222"/>
      <c r="M17" s="222">
        <v>127.9</v>
      </c>
      <c r="N17" s="222"/>
      <c r="O17" s="267">
        <v>134.9</v>
      </c>
      <c r="P17" s="222"/>
      <c r="Q17" s="222"/>
      <c r="R17" s="222"/>
      <c r="S17" s="222"/>
      <c r="T17" s="127"/>
      <c r="U17" s="124"/>
      <c r="X17" s="240"/>
      <c r="Y17" s="240"/>
      <c r="Z17" s="240"/>
      <c r="AA17" s="240"/>
      <c r="AB17" s="240"/>
      <c r="AC17" s="240"/>
      <c r="AD17" s="240"/>
    </row>
    <row r="18" spans="1:30" s="125" customFormat="1" ht="16.5" customHeight="1" x14ac:dyDescent="0.45">
      <c r="A18" s="9"/>
      <c r="B18" s="222"/>
      <c r="C18" s="214"/>
      <c r="D18" s="214"/>
      <c r="E18" s="214"/>
      <c r="F18" s="214"/>
      <c r="G18" s="222"/>
      <c r="H18" s="222"/>
      <c r="I18" s="222"/>
      <c r="J18" s="222"/>
      <c r="K18" s="222">
        <f>+K14-K17</f>
        <v>-1.3004577493338445</v>
      </c>
      <c r="L18" s="222">
        <f>+L14-L17</f>
        <v>0</v>
      </c>
      <c r="M18" s="222">
        <f>+M14-M17</f>
        <v>-1.099927073108077</v>
      </c>
      <c r="N18" s="222">
        <f>+N14-N17</f>
        <v>0</v>
      </c>
      <c r="O18" s="222">
        <f>+O14-O17</f>
        <v>-1.5031540232284328</v>
      </c>
      <c r="P18" s="222"/>
      <c r="Q18" s="222"/>
      <c r="R18" s="222"/>
      <c r="S18" s="222"/>
      <c r="T18" s="127"/>
      <c r="U18" s="124"/>
      <c r="X18" s="240"/>
      <c r="Y18" s="240"/>
      <c r="Z18" s="240"/>
      <c r="AA18" s="240"/>
      <c r="AB18" s="240"/>
      <c r="AC18" s="240"/>
      <c r="AD18" s="240"/>
    </row>
    <row r="19" spans="1:30" s="125" customFormat="1" ht="16.5" customHeight="1" x14ac:dyDescent="0.45">
      <c r="A19" s="9"/>
      <c r="B19" s="222" t="s">
        <v>94</v>
      </c>
      <c r="C19" s="214"/>
      <c r="D19" s="214"/>
      <c r="E19" s="214"/>
      <c r="F19" s="214"/>
      <c r="G19" s="222">
        <v>115.6</v>
      </c>
      <c r="H19" s="222"/>
      <c r="I19" s="222">
        <v>115.2</v>
      </c>
      <c r="J19" s="222"/>
      <c r="K19" s="222">
        <v>120.4</v>
      </c>
      <c r="L19" s="222">
        <v>121.4</v>
      </c>
      <c r="M19" s="222">
        <v>125.8</v>
      </c>
      <c r="N19" s="222">
        <v>123.4</v>
      </c>
      <c r="O19" s="267">
        <v>132.19999999999999</v>
      </c>
      <c r="P19" s="222"/>
      <c r="Q19" s="222"/>
      <c r="R19" s="222"/>
      <c r="S19" s="222"/>
      <c r="T19" s="127"/>
      <c r="U19" s="124"/>
      <c r="X19" s="240"/>
      <c r="Y19" s="240"/>
      <c r="Z19" s="240"/>
      <c r="AA19" s="240"/>
      <c r="AB19" s="240"/>
      <c r="AC19" s="240"/>
      <c r="AD19" s="240"/>
    </row>
    <row r="20" spans="1:30" s="126" customFormat="1" x14ac:dyDescent="0.45">
      <c r="A20" s="9"/>
      <c r="C20" s="132"/>
      <c r="D20" s="132"/>
      <c r="E20" s="132"/>
      <c r="F20" s="132"/>
      <c r="G20" s="222">
        <f t="shared" ref="G20:O20" si="10">-G14+G19</f>
        <v>1.7316009461154636E-2</v>
      </c>
      <c r="H20" s="222">
        <f t="shared" si="10"/>
        <v>0</v>
      </c>
      <c r="I20" s="222">
        <f t="shared" si="10"/>
        <v>4.2357151947868488E-2</v>
      </c>
      <c r="J20" s="222">
        <f t="shared" si="10"/>
        <v>0</v>
      </c>
      <c r="K20" s="222">
        <f t="shared" si="10"/>
        <v>-0.49954225066615265</v>
      </c>
      <c r="L20" s="222">
        <f t="shared" si="10"/>
        <v>121.4</v>
      </c>
      <c r="M20" s="222">
        <f t="shared" si="10"/>
        <v>-1.0000729268919315</v>
      </c>
      <c r="N20" s="222">
        <f t="shared" si="10"/>
        <v>123.4</v>
      </c>
      <c r="O20" s="222">
        <f t="shared" si="10"/>
        <v>-1.1968459767715842</v>
      </c>
      <c r="P20" s="222"/>
      <c r="Q20" s="222"/>
      <c r="R20" s="222"/>
      <c r="S20" s="222"/>
      <c r="T20" s="132"/>
      <c r="U20" s="133"/>
    </row>
    <row r="21" spans="1:30" ht="16.5" customHeight="1" x14ac:dyDescent="0.45">
      <c r="A21" s="22"/>
      <c r="B21" s="81" t="s">
        <v>19</v>
      </c>
    </row>
    <row r="22" spans="1:30" ht="9" customHeight="1" x14ac:dyDescent="0.45">
      <c r="A22" s="22"/>
      <c r="B22" s="25"/>
      <c r="C22" s="25"/>
      <c r="D22" s="25"/>
      <c r="E22" s="25"/>
      <c r="F22" s="25"/>
      <c r="G22" s="23"/>
      <c r="H22" s="22"/>
      <c r="I22" s="23"/>
      <c r="J22" s="22"/>
      <c r="K22" s="23"/>
      <c r="L22" s="22"/>
      <c r="M22" s="23"/>
      <c r="N22" s="22"/>
      <c r="O22" s="23"/>
      <c r="P22" s="23"/>
      <c r="Q22" s="23"/>
      <c r="R22" s="23"/>
      <c r="S22" s="23"/>
      <c r="T22" s="23"/>
      <c r="U22" s="22"/>
    </row>
    <row r="23" spans="1:30" ht="16.5" customHeight="1" x14ac:dyDescent="0.45">
      <c r="A23" s="22"/>
      <c r="B23" s="17" t="s">
        <v>0</v>
      </c>
      <c r="C23" s="41">
        <f>+'BP France'!C25</f>
        <v>34.925578940511635</v>
      </c>
      <c r="D23" s="41"/>
      <c r="E23" s="41">
        <f>+'BP France'!E25</f>
        <v>33.778350305764924</v>
      </c>
      <c r="F23" s="41"/>
      <c r="G23" s="41">
        <f>+'BP France'!G25</f>
        <v>32.21001521893799</v>
      </c>
      <c r="H23" s="42"/>
      <c r="I23" s="41">
        <f>+'BP France'!I25</f>
        <v>30.638499759156783</v>
      </c>
      <c r="J23" s="42"/>
      <c r="K23" s="41">
        <f>+'BP France'!K25</f>
        <v>31.026487760361</v>
      </c>
      <c r="L23" s="42"/>
      <c r="M23" s="41">
        <f>+'BP France'!M25</f>
        <v>31.367085019236665</v>
      </c>
      <c r="N23" s="42"/>
      <c r="O23" s="41">
        <f>+'BP France'!O25</f>
        <v>31.871130162325827</v>
      </c>
      <c r="P23" s="41"/>
      <c r="Q23" s="41">
        <f>+'BP France'!Q25</f>
        <v>32.706515266282146</v>
      </c>
      <c r="R23" s="41"/>
      <c r="S23" s="41">
        <f>+'BP France'!S25</f>
        <v>34.032929371534429</v>
      </c>
      <c r="T23" s="55">
        <f>(S23/I23)^(1/($S$3-$I$3))-1</f>
        <v>2.1236591214319755E-2</v>
      </c>
      <c r="U23" s="22"/>
    </row>
    <row r="24" spans="1:30" ht="16.5" customHeight="1" x14ac:dyDescent="0.45">
      <c r="A24" s="22"/>
      <c r="B24" s="17" t="s">
        <v>1</v>
      </c>
      <c r="C24" s="41">
        <f>+'BP France'!C26</f>
        <v>12.980745384754849</v>
      </c>
      <c r="D24" s="41"/>
      <c r="E24" s="41">
        <f>+'BP France'!E26</f>
        <v>13.904125617201236</v>
      </c>
      <c r="F24" s="41"/>
      <c r="G24" s="41">
        <f>+'BP France'!G26</f>
        <v>14.438020163143564</v>
      </c>
      <c r="H24" s="42"/>
      <c r="I24" s="41">
        <f>+'BP France'!I26</f>
        <v>13.146535753353062</v>
      </c>
      <c r="J24" s="42"/>
      <c r="K24" s="41">
        <f>+'BP France'!K26</f>
        <v>14.148648256087776</v>
      </c>
      <c r="L24" s="42"/>
      <c r="M24" s="41">
        <f>+'BP France'!M26</f>
        <v>15.257866051453046</v>
      </c>
      <c r="N24" s="42"/>
      <c r="O24" s="41">
        <f>+'BP France'!O26</f>
        <v>16.541227126540228</v>
      </c>
      <c r="P24" s="41"/>
      <c r="Q24" s="41">
        <f>+'BP France'!Q26</f>
        <v>18.313625671572645</v>
      </c>
      <c r="R24" s="41"/>
      <c r="S24" s="41">
        <f>+'BP France'!S26</f>
        <v>20.445843727475008</v>
      </c>
      <c r="T24" s="55">
        <f t="shared" ref="T24:T25" si="11">(S24/I24)^(1/($S$3-$I$3))-1</f>
        <v>9.2342275816197139E-2</v>
      </c>
      <c r="U24" s="22"/>
    </row>
    <row r="25" spans="1:30" ht="16.5" customHeight="1" x14ac:dyDescent="0.45">
      <c r="A25" s="22"/>
      <c r="B25" s="17" t="s">
        <v>2</v>
      </c>
      <c r="C25" s="41">
        <f>+'BP France'!C27</f>
        <v>2.3074362147335146</v>
      </c>
      <c r="D25" s="41"/>
      <c r="E25" s="41">
        <f>+'BP France'!E27</f>
        <v>1.7021529270338434</v>
      </c>
      <c r="F25" s="41"/>
      <c r="G25" s="41">
        <f>+'BP France'!G27</f>
        <v>2.8405099779184404</v>
      </c>
      <c r="H25" s="42"/>
      <c r="I25" s="41">
        <f>+'BP France'!I27</f>
        <v>4.2951769055423004</v>
      </c>
      <c r="J25" s="42"/>
      <c r="K25" s="41">
        <f>+'BP France'!K27</f>
        <v>5.3277296640789498</v>
      </c>
      <c r="L25" s="42"/>
      <c r="M25" s="41">
        <f>+'BP France'!M27</f>
        <v>6.3837723964809499</v>
      </c>
      <c r="N25" s="42"/>
      <c r="O25" s="41">
        <f>+'BP France'!O27</f>
        <v>7.4447371544178589</v>
      </c>
      <c r="P25" s="41"/>
      <c r="Q25" s="41">
        <f>+'BP France'!Q27</f>
        <v>8.558634926822922</v>
      </c>
      <c r="R25" s="41"/>
      <c r="S25" s="41">
        <f>+'BP France'!S27</f>
        <v>9.7571936003075432</v>
      </c>
      <c r="T25" s="55">
        <f t="shared" si="11"/>
        <v>0.17833498804850834</v>
      </c>
      <c r="U25" s="22"/>
    </row>
    <row r="26" spans="1:30" ht="16.5" customHeight="1" x14ac:dyDescent="0.45">
      <c r="A26" s="22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42"/>
      <c r="O26" s="41"/>
      <c r="P26" s="41"/>
      <c r="Q26" s="41"/>
      <c r="R26" s="41"/>
      <c r="S26" s="41"/>
      <c r="T26" s="55"/>
      <c r="U26" s="22"/>
    </row>
    <row r="27" spans="1:30" ht="16.5" customHeight="1" x14ac:dyDescent="0.45">
      <c r="A27" s="22"/>
      <c r="B27" s="81" t="s">
        <v>3</v>
      </c>
      <c r="C27" s="87">
        <f t="shared" ref="C27:E27" si="12">SUM(C23:C26)</f>
        <v>50.213760539999996</v>
      </c>
      <c r="D27" s="87"/>
      <c r="E27" s="87">
        <f t="shared" si="12"/>
        <v>49.384628850000006</v>
      </c>
      <c r="F27" s="87"/>
      <c r="G27" s="87">
        <f>SUM(G23:G26)</f>
        <v>49.488545359999989</v>
      </c>
      <c r="H27" s="86"/>
      <c r="I27" s="87">
        <f>SUM(I23:I26)</f>
        <v>48.080212418052142</v>
      </c>
      <c r="J27" s="86"/>
      <c r="K27" s="87">
        <f>SUM(K23:K26)</f>
        <v>50.502865680527727</v>
      </c>
      <c r="L27" s="86"/>
      <c r="M27" s="87">
        <f>SUM(M23:M26)</f>
        <v>53.008723467170661</v>
      </c>
      <c r="N27" s="86"/>
      <c r="O27" s="87">
        <f>SUM(O23:O26)</f>
        <v>55.857094443283913</v>
      </c>
      <c r="P27" s="87"/>
      <c r="Q27" s="87">
        <f t="shared" ref="Q27:S27" si="13">SUM(Q23:Q26)</f>
        <v>59.578775864677709</v>
      </c>
      <c r="R27" s="87"/>
      <c r="S27" s="87">
        <f t="shared" si="13"/>
        <v>64.235966699316975</v>
      </c>
      <c r="T27" s="84">
        <f>(S27/I27)^(1/($S$3-$I$3))-1</f>
        <v>5.9649841043065255E-2</v>
      </c>
      <c r="U27" s="22"/>
    </row>
    <row r="28" spans="1:30" ht="9" customHeight="1" x14ac:dyDescent="0.45">
      <c r="A28" s="22"/>
      <c r="B28" s="20"/>
      <c r="C28" s="20"/>
      <c r="D28" s="20"/>
      <c r="E28" s="20"/>
      <c r="F28" s="20"/>
      <c r="G28" s="43"/>
      <c r="H28" s="44"/>
      <c r="I28" s="43"/>
      <c r="J28" s="44"/>
      <c r="K28" s="43"/>
      <c r="L28" s="44"/>
      <c r="M28" s="43"/>
      <c r="N28" s="44"/>
      <c r="O28" s="43"/>
      <c r="P28" s="43"/>
      <c r="Q28" s="43"/>
      <c r="R28" s="43"/>
      <c r="S28" s="43"/>
      <c r="T28" s="56"/>
      <c r="U28" s="22"/>
    </row>
    <row r="29" spans="1:30" ht="16.5" customHeight="1" x14ac:dyDescent="0.45">
      <c r="A29" s="22"/>
      <c r="B29" s="17" t="s">
        <v>22</v>
      </c>
      <c r="C29" s="41">
        <f>'Synthèse Altarès'!X12</f>
        <v>10.68398388</v>
      </c>
      <c r="D29" s="41"/>
      <c r="E29" s="41">
        <f>'Synthèse Altarès'!Y12</f>
        <v>10.647371150000001</v>
      </c>
      <c r="F29" s="41"/>
      <c r="G29" s="41">
        <f>'Synthèse Altarès'!Z12</f>
        <v>13.105311950000001</v>
      </c>
      <c r="H29" s="42"/>
      <c r="I29" s="41">
        <f>'Synthèse Altarès'!AA12</f>
        <v>13.806430429999999</v>
      </c>
      <c r="J29" s="268">
        <v>3.5000000000000003E-2</v>
      </c>
      <c r="K29" s="41">
        <f>+I29*(1+$J29)</f>
        <v>14.289655495049997</v>
      </c>
      <c r="L29" s="41"/>
      <c r="M29" s="41">
        <f>+K29*(1+$J29)</f>
        <v>14.789793437376746</v>
      </c>
      <c r="N29" s="41"/>
      <c r="O29" s="41">
        <f>+M29*(1+$J29)</f>
        <v>15.307436207684932</v>
      </c>
      <c r="P29" s="41"/>
      <c r="Q29" s="41">
        <f>+O29*(1+$J29)</f>
        <v>15.843196474953903</v>
      </c>
      <c r="R29" s="41"/>
      <c r="S29" s="41">
        <f>+Q29*(1+$J29)</f>
        <v>16.39770835157729</v>
      </c>
      <c r="T29" s="55">
        <f>(S29/I29)^(1/($S$3-$I$3))-1</f>
        <v>3.499999999999992E-2</v>
      </c>
      <c r="U29" s="22"/>
    </row>
    <row r="30" spans="1:30" ht="16.5" customHeight="1" x14ac:dyDescent="0.45">
      <c r="A30" s="22"/>
      <c r="B30" s="81" t="s">
        <v>18</v>
      </c>
      <c r="C30" s="87">
        <f t="shared" ref="C30:E30" si="14">+C27+C29</f>
        <v>60.897744419999995</v>
      </c>
      <c r="D30" s="87"/>
      <c r="E30" s="87">
        <f t="shared" si="14"/>
        <v>60.032000000000011</v>
      </c>
      <c r="F30" s="87"/>
      <c r="G30" s="87">
        <f>+G27+G29</f>
        <v>62.59385730999999</v>
      </c>
      <c r="H30" s="101"/>
      <c r="I30" s="87">
        <f>+I27+I29</f>
        <v>61.886642848052141</v>
      </c>
      <c r="J30" s="101"/>
      <c r="K30" s="87">
        <f>+K27+K29</f>
        <v>64.792521175577718</v>
      </c>
      <c r="L30" s="101"/>
      <c r="M30" s="87">
        <f>+M27+M29</f>
        <v>67.798516904547412</v>
      </c>
      <c r="N30" s="101"/>
      <c r="O30" s="87">
        <f>+O27+O29</f>
        <v>71.164530650968842</v>
      </c>
      <c r="P30" s="87"/>
      <c r="Q30" s="87">
        <f t="shared" ref="Q30:S30" si="15">+Q27+Q29</f>
        <v>75.421972339631608</v>
      </c>
      <c r="R30" s="87"/>
      <c r="S30" s="87">
        <f t="shared" si="15"/>
        <v>80.633675050894269</v>
      </c>
      <c r="T30" s="84">
        <f>(S30/G30)^(1/($S$3-$G$3))-1</f>
        <v>4.3111635394503356E-2</v>
      </c>
      <c r="U30" s="22"/>
    </row>
    <row r="31" spans="1:30" ht="16.5" customHeight="1" x14ac:dyDescent="0.45">
      <c r="A31" s="22"/>
      <c r="B31" s="22"/>
      <c r="C31" s="22"/>
      <c r="D31" s="22"/>
      <c r="E31" s="22"/>
      <c r="F31" s="22"/>
      <c r="G31" s="261"/>
      <c r="H31" s="22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69"/>
      <c r="U31" s="22"/>
    </row>
    <row r="32" spans="1:30" ht="16.5" customHeight="1" x14ac:dyDescent="0.45">
      <c r="A32" s="22"/>
      <c r="B32" s="22"/>
      <c r="C32" s="22"/>
      <c r="D32" s="22"/>
      <c r="E32" s="22"/>
      <c r="F32" s="22"/>
      <c r="G32" s="263" t="s">
        <v>99</v>
      </c>
      <c r="H32" s="22"/>
      <c r="I32" s="187">
        <v>61.886642848052141</v>
      </c>
      <c r="J32" s="187"/>
      <c r="K32" s="187">
        <v>64.82744337310622</v>
      </c>
      <c r="L32" s="187"/>
      <c r="M32" s="187">
        <v>67.632846329459383</v>
      </c>
      <c r="N32" s="187"/>
      <c r="O32" s="187">
        <v>70.815324752845044</v>
      </c>
      <c r="P32" s="187"/>
      <c r="Q32" s="187">
        <v>74.41892238509827</v>
      </c>
      <c r="R32" s="187"/>
      <c r="S32" s="187">
        <v>78.492651112623236</v>
      </c>
      <c r="T32" s="69"/>
      <c r="U32" s="22"/>
    </row>
    <row r="33" spans="1:21" ht="9" customHeight="1" x14ac:dyDescent="0.4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spans="1:21" ht="16.5" customHeight="1" x14ac:dyDescent="0.45">
      <c r="A34" s="22"/>
      <c r="B34" s="89" t="s">
        <v>20</v>
      </c>
      <c r="C34" s="23"/>
      <c r="D34" s="23"/>
      <c r="E34" s="23"/>
      <c r="F34" s="23"/>
      <c r="G34" s="23"/>
      <c r="H34" s="22"/>
      <c r="I34" s="23"/>
      <c r="J34" s="22"/>
      <c r="K34" s="23"/>
      <c r="L34" s="22"/>
      <c r="M34" s="23"/>
      <c r="N34" s="22"/>
      <c r="O34" s="23"/>
      <c r="P34" s="23"/>
      <c r="Q34" s="23"/>
      <c r="R34" s="23"/>
      <c r="S34" s="23"/>
      <c r="T34" s="23"/>
      <c r="U34" s="22"/>
    </row>
    <row r="35" spans="1:21" ht="9" customHeight="1" x14ac:dyDescent="0.45">
      <c r="A35" s="22"/>
      <c r="B35" s="25"/>
      <c r="C35" s="25"/>
      <c r="D35" s="25"/>
      <c r="E35" s="25"/>
      <c r="F35" s="25"/>
      <c r="G35" s="23"/>
      <c r="H35" s="22"/>
      <c r="I35" s="23"/>
      <c r="J35" s="22"/>
      <c r="K35" s="23"/>
      <c r="L35" s="22"/>
      <c r="M35" s="23"/>
      <c r="N35" s="22"/>
      <c r="O35" s="23"/>
      <c r="P35" s="23"/>
      <c r="Q35" s="23"/>
      <c r="R35" s="23"/>
      <c r="S35" s="23"/>
      <c r="T35" s="23"/>
      <c r="U35" s="22"/>
    </row>
    <row r="36" spans="1:21" ht="16.5" customHeight="1" x14ac:dyDescent="0.45">
      <c r="A36" s="22"/>
      <c r="B36" s="17" t="s">
        <v>0</v>
      </c>
      <c r="C36" s="41">
        <f>+'BP Benelux'!C25</f>
        <v>37.344589440983867</v>
      </c>
      <c r="D36" s="41"/>
      <c r="E36" s="41">
        <f>+'BP Benelux'!E25</f>
        <v>33.53180832796324</v>
      </c>
      <c r="F36" s="41"/>
      <c r="G36" s="41">
        <f>+'BP Benelux'!G25</f>
        <v>32.72298943184478</v>
      </c>
      <c r="H36" s="42"/>
      <c r="I36" s="41">
        <f>+'BP Benelux'!I25</f>
        <v>32.005029828895331</v>
      </c>
      <c r="J36" s="42"/>
      <c r="K36" s="41">
        <f>+'BP Benelux'!K25</f>
        <v>32.914977870570951</v>
      </c>
      <c r="L36" s="42"/>
      <c r="M36" s="41">
        <f>+'BP Benelux'!M25</f>
        <v>33.678538454355326</v>
      </c>
      <c r="N36" s="42"/>
      <c r="O36" s="41">
        <f>+'BP Benelux'!O25</f>
        <v>34.621508287952118</v>
      </c>
      <c r="P36" s="41"/>
      <c r="Q36" s="41">
        <f>+'BP Benelux'!Q25</f>
        <v>36.082216461801387</v>
      </c>
      <c r="R36" s="41"/>
      <c r="S36" s="41">
        <f>+'BP Benelux'!S25</f>
        <v>38.249204836447575</v>
      </c>
      <c r="T36" s="55">
        <f>(S36/I36)^(1/($S$3-$I$3))-1</f>
        <v>3.6288872856012677E-2</v>
      </c>
      <c r="U36" s="22"/>
    </row>
    <row r="37" spans="1:21" ht="16.5" customHeight="1" x14ac:dyDescent="0.45">
      <c r="A37" s="22"/>
      <c r="B37" s="17" t="s">
        <v>1</v>
      </c>
      <c r="C37" s="41">
        <f>+'BP Benelux'!C26</f>
        <v>4.775482785605015</v>
      </c>
      <c r="D37" s="41"/>
      <c r="E37" s="41">
        <f>+'BP Benelux'!E26</f>
        <v>5.678756300534566</v>
      </c>
      <c r="F37" s="41"/>
      <c r="G37" s="41">
        <f>+'BP Benelux'!G26</f>
        <v>6.3538663968900622</v>
      </c>
      <c r="H37" s="42"/>
      <c r="I37" s="41">
        <f>+'BP Benelux'!I26</f>
        <v>5.9639701711046671</v>
      </c>
      <c r="J37" s="42"/>
      <c r="K37" s="41">
        <f>+'BP Benelux'!K26</f>
        <v>6.4195274828055648</v>
      </c>
      <c r="L37" s="42"/>
      <c r="M37" s="41">
        <f>+'BP Benelux'!M26</f>
        <v>6.9066648170988509</v>
      </c>
      <c r="N37" s="42"/>
      <c r="O37" s="41">
        <f>+'BP Benelux'!O26</f>
        <v>7.4444282495901168</v>
      </c>
      <c r="P37" s="41"/>
      <c r="Q37" s="41">
        <f>+'BP Benelux'!Q26</f>
        <v>8.2177270497542505</v>
      </c>
      <c r="R37" s="41"/>
      <c r="S37" s="41">
        <f>+'BP Benelux'!S26</f>
        <v>9.2427279141092065</v>
      </c>
      <c r="T37" s="55">
        <f t="shared" ref="T37:T38" si="16">(S37/I37)^(1/($S$3-$I$3))-1</f>
        <v>9.1573392841306944E-2</v>
      </c>
      <c r="U37" s="22"/>
    </row>
    <row r="38" spans="1:21" ht="16.5" customHeight="1" x14ac:dyDescent="0.45">
      <c r="A38" s="22"/>
      <c r="B38" s="17" t="s">
        <v>2</v>
      </c>
      <c r="C38" s="41">
        <f>+'BP Benelux'!C27</f>
        <v>4.8596115996666667</v>
      </c>
      <c r="D38" s="41"/>
      <c r="E38" s="41">
        <f>+'BP Benelux'!E27</f>
        <v>5.909652204056278</v>
      </c>
      <c r="F38" s="41"/>
      <c r="G38" s="41">
        <f>+'BP Benelux'!G27</f>
        <v>7.1953892985187142</v>
      </c>
      <c r="H38" s="42"/>
      <c r="I38" s="41">
        <f>+'BP Benelux'!I27</f>
        <v>6.6740000000000004</v>
      </c>
      <c r="J38" s="42"/>
      <c r="K38" s="41">
        <f>+'BP Benelux'!K27</f>
        <v>7.8152361870523679</v>
      </c>
      <c r="L38" s="42"/>
      <c r="M38" s="41">
        <f>+'BP Benelux'!M27</f>
        <v>9.0633700538350972</v>
      </c>
      <c r="N38" s="42"/>
      <c r="O38" s="41">
        <f>+'BP Benelux'!O27</f>
        <v>10.421493104954786</v>
      </c>
      <c r="P38" s="41"/>
      <c r="Q38" s="41">
        <f>+'BP Benelux'!Q27</f>
        <v>11.928719300280308</v>
      </c>
      <c r="R38" s="41"/>
      <c r="S38" s="41">
        <f>+'BP Benelux'!S27</f>
        <v>13.549399093422373</v>
      </c>
      <c r="T38" s="55">
        <f t="shared" si="16"/>
        <v>0.15214401068152705</v>
      </c>
      <c r="U38" s="22"/>
    </row>
    <row r="39" spans="1:21" ht="16.5" customHeight="1" x14ac:dyDescent="0.45">
      <c r="A39" s="22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41"/>
      <c r="P39" s="41"/>
      <c r="Q39" s="41"/>
      <c r="R39" s="41"/>
      <c r="S39" s="41"/>
      <c r="T39" s="55"/>
      <c r="U39" s="22"/>
    </row>
    <row r="40" spans="1:21" ht="16.5" customHeight="1" x14ac:dyDescent="0.45">
      <c r="A40" s="22"/>
      <c r="B40" s="88" t="s">
        <v>7</v>
      </c>
      <c r="C40" s="93">
        <f t="shared" ref="C40:E40" si="17">SUM(C36:C39)</f>
        <v>46.979683826255545</v>
      </c>
      <c r="D40" s="93"/>
      <c r="E40" s="93">
        <f t="shared" si="17"/>
        <v>45.120216832554085</v>
      </c>
      <c r="F40" s="93"/>
      <c r="G40" s="93">
        <f>SUM(G36:G39)</f>
        <v>46.272245127253555</v>
      </c>
      <c r="H40" s="94"/>
      <c r="I40" s="93">
        <f>SUM(I36:I39)</f>
        <v>44.643000000000001</v>
      </c>
      <c r="J40" s="94"/>
      <c r="K40" s="93">
        <f>SUM(K36:K39)</f>
        <v>47.149741540428884</v>
      </c>
      <c r="L40" s="94"/>
      <c r="M40" s="93">
        <f>SUM(M36:M39)</f>
        <v>49.648573325289277</v>
      </c>
      <c r="N40" s="94"/>
      <c r="O40" s="93">
        <f>SUM(O36:O39)</f>
        <v>52.48742964249702</v>
      </c>
      <c r="P40" s="93"/>
      <c r="Q40" s="93">
        <f t="shared" ref="Q40:S40" si="18">SUM(Q36:Q39)</f>
        <v>56.228662811835946</v>
      </c>
      <c r="R40" s="93"/>
      <c r="S40" s="93">
        <f t="shared" si="18"/>
        <v>61.041331843979158</v>
      </c>
      <c r="T40" s="92">
        <f>(S40/I40)^(1/($S$3-$I$3))-1</f>
        <v>6.4569760900765161E-2</v>
      </c>
      <c r="U40" s="22"/>
    </row>
    <row r="41" spans="1:21" ht="9" customHeight="1" x14ac:dyDescent="0.45">
      <c r="A41" s="22"/>
      <c r="B41" s="20"/>
      <c r="C41" s="20"/>
      <c r="D41" s="20"/>
      <c r="E41" s="20"/>
      <c r="F41" s="20"/>
      <c r="G41" s="43"/>
      <c r="H41" s="44"/>
      <c r="I41" s="43"/>
      <c r="J41" s="44"/>
      <c r="K41" s="43"/>
      <c r="L41" s="44"/>
      <c r="M41" s="43"/>
      <c r="N41" s="44"/>
      <c r="O41" s="43"/>
      <c r="P41" s="43"/>
      <c r="Q41" s="43"/>
      <c r="R41" s="43"/>
      <c r="S41" s="43"/>
      <c r="T41" s="56"/>
      <c r="U41" s="22"/>
    </row>
    <row r="42" spans="1:21" ht="16.5" customHeight="1" x14ac:dyDescent="0.45">
      <c r="A42" s="22"/>
      <c r="B42" s="17" t="s">
        <v>22</v>
      </c>
      <c r="C42" s="41">
        <f>'Synthèse Altarès'!X59</f>
        <v>7.1971531739122545</v>
      </c>
      <c r="D42" s="41"/>
      <c r="E42" s="41">
        <f>'Synthèse Altarès'!Y59</f>
        <v>8.0109264619554459</v>
      </c>
      <c r="F42" s="41"/>
      <c r="G42" s="41">
        <f>'Synthèse Altarès'!Z59</f>
        <v>7.6425815532852734</v>
      </c>
      <c r="H42" s="41">
        <f>'Synthèse Altarès'!AC59</f>
        <v>0</v>
      </c>
      <c r="I42" s="41">
        <f>'Synthèse Altarès'!AA59</f>
        <v>9.3070000000000004</v>
      </c>
      <c r="J42" s="268">
        <v>3.5000000000000003E-2</v>
      </c>
      <c r="K42" s="41">
        <f>+I42*(1+$J42)</f>
        <v>9.6327449999999999</v>
      </c>
      <c r="L42" s="41"/>
      <c r="M42" s="41">
        <f t="shared" ref="M42" si="19">+K42*(1+$J42)</f>
        <v>9.9698910749999996</v>
      </c>
      <c r="N42" s="41"/>
      <c r="O42" s="41">
        <f>+M42*(1+$J42)</f>
        <v>10.318837262624999</v>
      </c>
      <c r="P42" s="41"/>
      <c r="Q42" s="41">
        <f>+O42*(1+$J42)</f>
        <v>10.679996566816873</v>
      </c>
      <c r="R42" s="41"/>
      <c r="S42" s="41">
        <f>+Q42*(1+$J42)</f>
        <v>11.053796446655463</v>
      </c>
      <c r="T42" s="55">
        <f>(S42/I42)^(1/($S$3-$I$3))-1</f>
        <v>3.499999999999992E-2</v>
      </c>
      <c r="U42" s="22"/>
    </row>
    <row r="43" spans="1:21" ht="16.5" customHeight="1" x14ac:dyDescent="0.45">
      <c r="A43" s="22"/>
      <c r="B43" s="88" t="s">
        <v>23</v>
      </c>
      <c r="C43" s="93">
        <f t="shared" ref="C43:E43" si="20">+C40+C42</f>
        <v>54.176837000167801</v>
      </c>
      <c r="D43" s="93"/>
      <c r="E43" s="93">
        <f t="shared" si="20"/>
        <v>53.131143294509528</v>
      </c>
      <c r="F43" s="93"/>
      <c r="G43" s="93">
        <f>+G40+G42</f>
        <v>53.91482668053883</v>
      </c>
      <c r="H43" s="102"/>
      <c r="I43" s="93">
        <f>+I40+I42</f>
        <v>53.95</v>
      </c>
      <c r="J43" s="102"/>
      <c r="K43" s="93">
        <f>+K40+K42</f>
        <v>56.782486540428884</v>
      </c>
      <c r="L43" s="102"/>
      <c r="M43" s="93">
        <f>+M40+M42</f>
        <v>59.618464400289277</v>
      </c>
      <c r="N43" s="102"/>
      <c r="O43" s="93">
        <f>+O40+O42</f>
        <v>62.806266905122015</v>
      </c>
      <c r="P43" s="93"/>
      <c r="Q43" s="93">
        <f t="shared" ref="Q43:S43" si="21">+Q40+Q42</f>
        <v>66.908659378652814</v>
      </c>
      <c r="R43" s="93"/>
      <c r="S43" s="93">
        <f t="shared" si="21"/>
        <v>72.095128290634619</v>
      </c>
      <c r="T43" s="92">
        <f>(S43/I43)^(1/($S$3-$I$3))-1</f>
        <v>5.9699901559401969E-2</v>
      </c>
      <c r="U43" s="22"/>
    </row>
    <row r="44" spans="1:21" x14ac:dyDescent="0.45">
      <c r="A44" s="22"/>
      <c r="B44" s="22"/>
      <c r="C44" s="22"/>
      <c r="D44" s="22"/>
      <c r="E44" s="22"/>
      <c r="F44" s="22"/>
      <c r="G44" s="261"/>
      <c r="H44" s="22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69"/>
      <c r="U44" s="22"/>
    </row>
    <row r="45" spans="1:21" x14ac:dyDescent="0.45">
      <c r="A45" s="22"/>
      <c r="B45" s="22"/>
      <c r="C45" s="22"/>
      <c r="D45" s="22"/>
      <c r="E45" s="22"/>
      <c r="F45" s="22"/>
      <c r="G45" s="263" t="s">
        <v>99</v>
      </c>
      <c r="H45" s="22"/>
      <c r="I45" s="187">
        <v>53.95</v>
      </c>
      <c r="J45" s="187"/>
      <c r="K45" s="187">
        <v>56.83419962423865</v>
      </c>
      <c r="L45" s="187"/>
      <c r="M45" s="187">
        <v>59.462395122807251</v>
      </c>
      <c r="N45" s="187"/>
      <c r="O45" s="187">
        <v>61.890660887915644</v>
      </c>
      <c r="P45" s="187"/>
      <c r="Q45" s="187">
        <v>64.468275417371743</v>
      </c>
      <c r="R45" s="187"/>
      <c r="S45" s="187">
        <v>67.149078696723961</v>
      </c>
      <c r="T45" s="69"/>
      <c r="U45" s="22"/>
    </row>
    <row r="46" spans="1:21" ht="9" customHeight="1" x14ac:dyDescent="0.4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</row>
    <row r="47" spans="1:21" ht="16.5" customHeight="1" x14ac:dyDescent="0.45">
      <c r="A47" s="22"/>
      <c r="B47" s="107" t="s">
        <v>21</v>
      </c>
      <c r="C47" s="23"/>
      <c r="D47" s="23"/>
      <c r="E47" s="23"/>
      <c r="F47" s="23"/>
      <c r="G47" s="23"/>
      <c r="H47" s="22"/>
      <c r="I47" s="23"/>
      <c r="J47" s="22"/>
      <c r="K47" s="23"/>
      <c r="L47" s="22"/>
      <c r="M47" s="23"/>
      <c r="N47" s="22"/>
      <c r="O47" s="23"/>
      <c r="P47" s="23"/>
      <c r="Q47" s="23"/>
      <c r="R47" s="23"/>
      <c r="S47" s="23"/>
      <c r="T47" s="23"/>
      <c r="U47" s="22"/>
    </row>
    <row r="48" spans="1:21" ht="9" customHeight="1" x14ac:dyDescent="0.45">
      <c r="A48" s="22"/>
      <c r="B48" s="25"/>
      <c r="C48" s="25"/>
      <c r="D48" s="25"/>
      <c r="E48" s="25"/>
      <c r="F48" s="25"/>
      <c r="G48" s="23"/>
      <c r="H48" s="22"/>
      <c r="I48" s="23"/>
      <c r="J48" s="22"/>
      <c r="K48" s="23"/>
      <c r="L48" s="22"/>
      <c r="M48" s="23"/>
      <c r="N48" s="22"/>
      <c r="O48" s="23"/>
      <c r="P48" s="23"/>
      <c r="Q48" s="23"/>
      <c r="R48" s="23"/>
      <c r="S48" s="23"/>
      <c r="T48" s="23"/>
      <c r="U48" s="22"/>
    </row>
    <row r="49" spans="1:21" ht="16.5" customHeight="1" x14ac:dyDescent="0.45">
      <c r="A49" s="22"/>
      <c r="B49" s="17" t="s">
        <v>0</v>
      </c>
      <c r="C49" s="41">
        <f>'BP Maghreb'!C22</f>
        <v>0.84599999999999997</v>
      </c>
      <c r="D49" s="41"/>
      <c r="E49" s="41">
        <f>'BP Maghreb'!E22</f>
        <v>0.93300000000000005</v>
      </c>
      <c r="F49" s="41"/>
      <c r="G49" s="41">
        <f>'BP Maghreb'!G22</f>
        <v>1.359</v>
      </c>
      <c r="H49" s="42"/>
      <c r="I49" s="41">
        <f>'BP Maghreb'!I22</f>
        <v>1.474</v>
      </c>
      <c r="J49" s="42"/>
      <c r="K49" s="41">
        <f>'BP Maghreb'!K22</f>
        <v>1.5929203539823011</v>
      </c>
      <c r="L49" s="42"/>
      <c r="M49" s="41">
        <f>'BP Maghreb'!M22</f>
        <v>1.7699115044247788</v>
      </c>
      <c r="N49" s="42"/>
      <c r="O49" s="41">
        <f>'BP Maghreb'!O22</f>
        <v>1.946902654867257</v>
      </c>
      <c r="P49" s="41"/>
      <c r="Q49" s="41">
        <f>'BP Maghreb'!Q22</f>
        <v>1.946902654867257</v>
      </c>
      <c r="R49" s="41"/>
      <c r="S49" s="41">
        <f>'BP Maghreb'!S22</f>
        <v>1.946902654867257</v>
      </c>
      <c r="T49" s="55">
        <f>(S49/I49)^(1/($S$3-$I$3))-1</f>
        <v>5.7229689792586136E-2</v>
      </c>
      <c r="U49" s="22"/>
    </row>
    <row r="50" spans="1:21" ht="16.5" customHeight="1" x14ac:dyDescent="0.45">
      <c r="A50" s="22"/>
      <c r="B50" s="17" t="s">
        <v>1</v>
      </c>
      <c r="C50" s="41">
        <f>'BP Maghreb'!C23</f>
        <v>0</v>
      </c>
      <c r="D50" s="17"/>
      <c r="E50" s="41">
        <f>'BP Maghreb'!E23</f>
        <v>0</v>
      </c>
      <c r="F50" s="17"/>
      <c r="G50" s="41">
        <f>'BP Maghreb'!G23</f>
        <v>0</v>
      </c>
      <c r="H50" s="42"/>
      <c r="I50" s="41">
        <f>'BP Maghreb'!I23</f>
        <v>0</v>
      </c>
      <c r="J50" s="42"/>
      <c r="K50" s="41">
        <f>'BP Maghreb'!K23</f>
        <v>0</v>
      </c>
      <c r="L50" s="42"/>
      <c r="M50" s="41">
        <f>'BP Maghreb'!M23</f>
        <v>0</v>
      </c>
      <c r="N50" s="42"/>
      <c r="O50" s="41">
        <f>'BP Maghreb'!O23</f>
        <v>0</v>
      </c>
      <c r="P50" s="41"/>
      <c r="Q50" s="41">
        <f>'BP Maghreb'!Q23</f>
        <v>0</v>
      </c>
      <c r="R50" s="41"/>
      <c r="S50" s="41">
        <f>'BP Maghreb'!S23</f>
        <v>0</v>
      </c>
      <c r="T50" s="55"/>
      <c r="U50" s="22"/>
    </row>
    <row r="51" spans="1:21" ht="16.5" customHeight="1" x14ac:dyDescent="0.45">
      <c r="A51" s="22"/>
      <c r="B51" s="17" t="s">
        <v>2</v>
      </c>
      <c r="C51" s="41">
        <f>'BP Maghreb'!C24</f>
        <v>0</v>
      </c>
      <c r="D51" s="17"/>
      <c r="E51" s="41">
        <f>'BP Maghreb'!E24</f>
        <v>0</v>
      </c>
      <c r="F51" s="17"/>
      <c r="G51" s="41">
        <f>'BP Maghreb'!G24</f>
        <v>0</v>
      </c>
      <c r="H51" s="42"/>
      <c r="I51" s="41">
        <f>'BP Maghreb'!I24</f>
        <v>0</v>
      </c>
      <c r="J51" s="42"/>
      <c r="K51" s="41">
        <f>'BP Maghreb'!K24</f>
        <v>0</v>
      </c>
      <c r="L51" s="42"/>
      <c r="M51" s="41">
        <f>'BP Maghreb'!M24</f>
        <v>0</v>
      </c>
      <c r="N51" s="42"/>
      <c r="O51" s="41">
        <f>'BP Maghreb'!O24</f>
        <v>0</v>
      </c>
      <c r="P51" s="41"/>
      <c r="Q51" s="41">
        <f>'BP Maghreb'!Q24</f>
        <v>0</v>
      </c>
      <c r="R51" s="41"/>
      <c r="S51" s="41">
        <f>'BP Maghreb'!S24</f>
        <v>0</v>
      </c>
      <c r="T51" s="55"/>
      <c r="U51" s="22"/>
    </row>
    <row r="52" spans="1:21" ht="16.5" customHeight="1" x14ac:dyDescent="0.45">
      <c r="A52" s="22"/>
      <c r="B52" s="17"/>
      <c r="C52" s="17"/>
      <c r="D52" s="17"/>
      <c r="E52" s="17"/>
      <c r="F52" s="17"/>
      <c r="G52" s="41"/>
      <c r="H52" s="42"/>
      <c r="I52" s="41"/>
      <c r="J52" s="42"/>
      <c r="K52" s="41"/>
      <c r="L52" s="42"/>
      <c r="M52" s="41"/>
      <c r="N52" s="42"/>
      <c r="O52" s="41"/>
      <c r="P52" s="41"/>
      <c r="Q52" s="41"/>
      <c r="R52" s="41"/>
      <c r="S52" s="41"/>
      <c r="T52" s="55"/>
      <c r="U52" s="22"/>
    </row>
    <row r="53" spans="1:21" ht="16.5" customHeight="1" x14ac:dyDescent="0.45">
      <c r="A53" s="22"/>
      <c r="B53" s="108" t="s">
        <v>14</v>
      </c>
      <c r="C53" s="109">
        <f t="shared" ref="C53:E53" si="22">SUM(C49:C52)</f>
        <v>0.84599999999999997</v>
      </c>
      <c r="D53" s="109"/>
      <c r="E53" s="109">
        <f t="shared" si="22"/>
        <v>0.93300000000000005</v>
      </c>
      <c r="F53" s="109"/>
      <c r="G53" s="109">
        <f>SUM(G49:G52)</f>
        <v>1.359</v>
      </c>
      <c r="H53" s="110"/>
      <c r="I53" s="109">
        <f>SUM(I49:I52)</f>
        <v>1.474</v>
      </c>
      <c r="J53" s="110"/>
      <c r="K53" s="109">
        <f>SUM(K49:K52)</f>
        <v>1.5929203539823011</v>
      </c>
      <c r="L53" s="110"/>
      <c r="M53" s="109">
        <f>SUM(M49:M52)</f>
        <v>1.7699115044247788</v>
      </c>
      <c r="N53" s="110"/>
      <c r="O53" s="109">
        <f>SUM(O49:O52)</f>
        <v>1.946902654867257</v>
      </c>
      <c r="P53" s="109"/>
      <c r="Q53" s="109">
        <f t="shared" ref="Q53:S53" si="23">SUM(Q49:Q52)</f>
        <v>1.946902654867257</v>
      </c>
      <c r="R53" s="109"/>
      <c r="S53" s="109">
        <f t="shared" si="23"/>
        <v>1.946902654867257</v>
      </c>
      <c r="T53" s="111">
        <f>(S53/I53)^(1/($S$3-$I$3))-1</f>
        <v>5.7229689792586136E-2</v>
      </c>
      <c r="U53" s="22"/>
    </row>
    <row r="54" spans="1:21" ht="9" customHeight="1" x14ac:dyDescent="0.45">
      <c r="A54" s="22"/>
      <c r="B54" s="20"/>
      <c r="C54" s="20"/>
      <c r="D54" s="20"/>
      <c r="E54" s="20"/>
      <c r="F54" s="20"/>
      <c r="G54" s="43"/>
      <c r="H54" s="44"/>
      <c r="I54" s="43"/>
      <c r="J54" s="44"/>
      <c r="K54" s="43"/>
      <c r="L54" s="44"/>
      <c r="M54" s="43"/>
      <c r="N54" s="44"/>
      <c r="O54" s="43"/>
      <c r="P54" s="43"/>
      <c r="Q54" s="43"/>
      <c r="R54" s="43"/>
      <c r="S54" s="43"/>
      <c r="T54" s="56"/>
      <c r="U54" s="22"/>
    </row>
    <row r="55" spans="1:21" ht="16.5" customHeight="1" x14ac:dyDescent="0.45">
      <c r="A55" s="22"/>
      <c r="B55" s="17" t="s">
        <v>22</v>
      </c>
      <c r="C55" s="17"/>
      <c r="D55" s="17"/>
      <c r="E55" s="17"/>
      <c r="F55" s="17"/>
      <c r="G55" s="41"/>
      <c r="H55" s="42"/>
      <c r="I55" s="41"/>
      <c r="J55" s="42"/>
      <c r="K55" s="41"/>
      <c r="L55" s="42"/>
      <c r="M55" s="41"/>
      <c r="N55" s="42"/>
      <c r="O55" s="41"/>
      <c r="P55" s="41"/>
      <c r="Q55" s="41"/>
      <c r="R55" s="41"/>
      <c r="S55" s="41"/>
      <c r="T55" s="55"/>
      <c r="U55" s="22"/>
    </row>
    <row r="56" spans="1:21" ht="16.5" customHeight="1" x14ac:dyDescent="0.45">
      <c r="A56" s="22"/>
      <c r="B56" s="108" t="s">
        <v>15</v>
      </c>
      <c r="C56" s="109">
        <f t="shared" ref="C56:E56" si="24">+C53+C55</f>
        <v>0.84599999999999997</v>
      </c>
      <c r="D56" s="109"/>
      <c r="E56" s="109">
        <f t="shared" si="24"/>
        <v>0.93300000000000005</v>
      </c>
      <c r="F56" s="109"/>
      <c r="G56" s="109">
        <f>+G53+G55</f>
        <v>1.359</v>
      </c>
      <c r="H56" s="112"/>
      <c r="I56" s="109">
        <f>+I53+I55</f>
        <v>1.474</v>
      </c>
      <c r="J56" s="112"/>
      <c r="K56" s="109">
        <f>+K53+K55</f>
        <v>1.5929203539823011</v>
      </c>
      <c r="L56" s="112"/>
      <c r="M56" s="109">
        <f>+M53+M55</f>
        <v>1.7699115044247788</v>
      </c>
      <c r="N56" s="112"/>
      <c r="O56" s="109">
        <f>+O53+O55</f>
        <v>1.946902654867257</v>
      </c>
      <c r="P56" s="109"/>
      <c r="Q56" s="109">
        <f t="shared" ref="Q56:S56" si="25">+Q53+Q55</f>
        <v>1.946902654867257</v>
      </c>
      <c r="R56" s="109"/>
      <c r="S56" s="109">
        <f t="shared" si="25"/>
        <v>1.946902654867257</v>
      </c>
      <c r="T56" s="111">
        <f>(S56/I56)^(1/($S$3-$I$3))-1</f>
        <v>5.7229689792586136E-2</v>
      </c>
      <c r="U56" s="22"/>
    </row>
    <row r="57" spans="1:21" ht="9" customHeight="1" x14ac:dyDescent="0.45">
      <c r="A57" s="22"/>
      <c r="B57" s="22"/>
      <c r="C57" s="22"/>
      <c r="D57" s="22"/>
      <c r="E57" s="22"/>
      <c r="F57" s="22"/>
      <c r="G57" s="22"/>
      <c r="H57" s="22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22"/>
    </row>
    <row r="58" spans="1:21" ht="16.5" customHeight="1" x14ac:dyDescent="0.4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</row>
    <row r="59" spans="1:21" ht="9" customHeight="1" x14ac:dyDescent="0.45">
      <c r="A59" s="12"/>
      <c r="B59" s="13"/>
      <c r="C59" s="13"/>
      <c r="D59" s="13"/>
      <c r="E59" s="13"/>
      <c r="F59" s="13"/>
      <c r="G59" s="14"/>
      <c r="H59" s="30"/>
      <c r="I59" s="14"/>
      <c r="J59" s="30"/>
      <c r="K59" s="14"/>
      <c r="L59" s="30"/>
      <c r="M59" s="14"/>
      <c r="N59" s="30"/>
      <c r="O59" s="14"/>
      <c r="P59" s="14"/>
      <c r="Q59" s="14"/>
      <c r="R59" s="14"/>
      <c r="S59" s="14"/>
      <c r="T59" s="14"/>
      <c r="U59" s="15"/>
    </row>
    <row r="60" spans="1:21" ht="16.5" customHeight="1" x14ac:dyDescent="0.45">
      <c r="A60" s="21"/>
      <c r="B60" s="40" t="s">
        <v>25</v>
      </c>
      <c r="C60" s="40"/>
      <c r="D60" s="40"/>
      <c r="E60" s="40"/>
      <c r="F60" s="40"/>
      <c r="G60" s="23"/>
      <c r="H60" s="22"/>
      <c r="I60" s="23"/>
      <c r="J60" s="22"/>
      <c r="K60" s="23"/>
      <c r="L60" s="22"/>
      <c r="M60" s="23"/>
      <c r="N60" s="22"/>
      <c r="O60" s="23"/>
      <c r="P60" s="23"/>
      <c r="Q60" s="23"/>
      <c r="R60" s="23"/>
      <c r="S60" s="23"/>
      <c r="T60" s="23"/>
      <c r="U60" s="24"/>
    </row>
    <row r="61" spans="1:21" ht="9" customHeight="1" x14ac:dyDescent="0.45">
      <c r="A61" s="21"/>
      <c r="B61" s="25"/>
      <c r="C61" s="25"/>
      <c r="D61" s="25"/>
      <c r="E61" s="25"/>
      <c r="F61" s="25"/>
      <c r="G61" s="23"/>
      <c r="H61" s="22"/>
      <c r="I61" s="23"/>
      <c r="J61" s="22"/>
      <c r="K61" s="23"/>
      <c r="L61" s="22"/>
      <c r="M61" s="23"/>
      <c r="N61" s="22"/>
      <c r="O61" s="23"/>
      <c r="P61" s="23"/>
      <c r="Q61" s="23"/>
      <c r="R61" s="23"/>
      <c r="S61" s="23"/>
      <c r="T61" s="23"/>
      <c r="U61" s="24"/>
    </row>
    <row r="62" spans="1:21" ht="16.5" customHeight="1" x14ac:dyDescent="0.45">
      <c r="A62" s="16"/>
      <c r="B62" s="17" t="s">
        <v>0</v>
      </c>
      <c r="C62" s="32">
        <f>+'BP France'!C8+'BP Benelux'!C8</f>
        <v>340.23921568627452</v>
      </c>
      <c r="D62" s="32"/>
      <c r="E62" s="32">
        <f>+'BP France'!E8+'BP Benelux'!E8</f>
        <v>341.79339008712867</v>
      </c>
      <c r="F62" s="32"/>
      <c r="G62" s="32">
        <f>+'BP France'!G8+'BP Benelux'!G8</f>
        <v>341.33697598800001</v>
      </c>
      <c r="H62" s="17"/>
      <c r="I62" s="32">
        <f>+'BP France'!I8+'BP Benelux'!I8</f>
        <v>337.596975988</v>
      </c>
      <c r="J62" s="17"/>
      <c r="K62" s="32">
        <f>+'BP France'!K8+'BP Benelux'!K8</f>
        <v>339.57944574787996</v>
      </c>
      <c r="L62" s="17"/>
      <c r="M62" s="32">
        <f>+'BP France'!M8+'BP Benelux'!M8</f>
        <v>339.54715347661931</v>
      </c>
      <c r="N62" s="17"/>
      <c r="O62" s="32">
        <f>+'BP France'!O8+'BP Benelux'!O8</f>
        <v>339.57591698200247</v>
      </c>
      <c r="P62" s="32"/>
      <c r="Q62" s="32">
        <f>+'BP France'!Q8+'BP Benelux'!Q8</f>
        <v>339.66603944497643</v>
      </c>
      <c r="R62" s="32"/>
      <c r="S62" s="32">
        <f>+'BP France'!S8+'BP Benelux'!S8</f>
        <v>339.81783877272915</v>
      </c>
      <c r="T62" s="55">
        <f>(S62/I62)^(1/($S$3-$I$3))-1</f>
        <v>1.3122403187344478E-3</v>
      </c>
      <c r="U62" s="33"/>
    </row>
    <row r="63" spans="1:21" ht="16.5" customHeight="1" x14ac:dyDescent="0.45">
      <c r="A63" s="16"/>
      <c r="B63" s="17" t="s">
        <v>1</v>
      </c>
      <c r="C63" s="32">
        <f>+'BP France'!C9+'BP Benelux'!C9</f>
        <v>125.0002637547849</v>
      </c>
      <c r="D63" s="17"/>
      <c r="E63" s="32">
        <f>+'BP France'!E9+'BP Benelux'!E9</f>
        <v>135.20264794483259</v>
      </c>
      <c r="F63" s="17"/>
      <c r="G63" s="32">
        <f>+'BP France'!G9+'BP Benelux'!G9</f>
        <v>146</v>
      </c>
      <c r="H63" s="17"/>
      <c r="I63" s="32">
        <f>+'BP France'!I9+'BP Benelux'!I9</f>
        <v>131.47</v>
      </c>
      <c r="J63" s="17"/>
      <c r="K63" s="32">
        <f>+'BP France'!K9+'BP Benelux'!K9</f>
        <v>139.9529</v>
      </c>
      <c r="L63" s="17"/>
      <c r="M63" s="32">
        <f>+'BP France'!M9+'BP Benelux'!M9</f>
        <v>147.620653</v>
      </c>
      <c r="N63" s="17"/>
      <c r="O63" s="32">
        <f>+'BP France'!O9+'BP Benelux'!O9</f>
        <v>155.33181011000002</v>
      </c>
      <c r="P63" s="32"/>
      <c r="Q63" s="32">
        <f>+'BP France'!Q9+'BP Benelux'!Q9</f>
        <v>163.49910517690003</v>
      </c>
      <c r="R63" s="32"/>
      <c r="S63" s="32">
        <f>+'BP France'!S9+'BP Benelux'!S9</f>
        <v>172.06177272310964</v>
      </c>
      <c r="T63" s="55">
        <f t="shared" ref="T63:T64" si="26">(S63/I63)^(1/($S$3-$I$3))-1</f>
        <v>5.5289327571367508E-2</v>
      </c>
      <c r="U63" s="33"/>
    </row>
    <row r="64" spans="1:21" ht="16.5" customHeight="1" x14ac:dyDescent="0.45">
      <c r="A64" s="16"/>
      <c r="B64" s="17" t="s">
        <v>2</v>
      </c>
      <c r="C64" s="32">
        <f>+'BP France'!C10+'BP Benelux'!C10</f>
        <v>21.026446280991735</v>
      </c>
      <c r="D64" s="17"/>
      <c r="E64" s="32">
        <f>+'BP France'!E10+'BP Benelux'!E10</f>
        <v>26.709090909090911</v>
      </c>
      <c r="F64" s="17"/>
      <c r="G64" s="32">
        <f>+'BP France'!G10+'BP Benelux'!G10</f>
        <v>32.700000000000003</v>
      </c>
      <c r="H64" s="17"/>
      <c r="I64" s="32">
        <f>+'BP France'!I10+'BP Benelux'!I10</f>
        <v>38.523300000000006</v>
      </c>
      <c r="J64" s="17"/>
      <c r="K64" s="32">
        <f>+'BP France'!K10+'BP Benelux'!K10</f>
        <v>44.165524500000004</v>
      </c>
      <c r="L64" s="17"/>
      <c r="M64" s="32">
        <f>+'BP France'!M10+'BP Benelux'!M10</f>
        <v>49.624489372500008</v>
      </c>
      <c r="N64" s="17"/>
      <c r="O64" s="32">
        <f>+'BP France'!O10+'BP Benelux'!O10</f>
        <v>54.865786299673019</v>
      </c>
      <c r="P64" s="32"/>
      <c r="Q64" s="32">
        <f>+'BP France'!Q10+'BP Benelux'!Q10</f>
        <v>59.889990660508374</v>
      </c>
      <c r="R64" s="32"/>
      <c r="S64" s="32">
        <f>+'BP France'!S10+'BP Benelux'!S10</f>
        <v>64.509738659712283</v>
      </c>
      <c r="T64" s="55">
        <f t="shared" si="26"/>
        <v>0.10861400310690561</v>
      </c>
      <c r="U64" s="33"/>
    </row>
    <row r="65" spans="1:21" ht="16.5" customHeight="1" x14ac:dyDescent="0.45">
      <c r="A65" s="21"/>
      <c r="B65" s="17"/>
      <c r="C65" s="17"/>
      <c r="D65" s="17"/>
      <c r="E65" s="17"/>
      <c r="F65" s="17"/>
      <c r="G65" s="10"/>
      <c r="H65" s="45"/>
      <c r="I65" s="10"/>
      <c r="J65" s="45"/>
      <c r="K65" s="10"/>
      <c r="L65" s="45"/>
      <c r="M65" s="10"/>
      <c r="N65" s="45"/>
      <c r="O65" s="10"/>
      <c r="P65" s="32"/>
      <c r="Q65" s="32"/>
      <c r="R65" s="32"/>
      <c r="S65" s="32"/>
      <c r="T65" s="55"/>
      <c r="U65" s="48"/>
    </row>
    <row r="66" spans="1:21" ht="16.5" customHeight="1" x14ac:dyDescent="0.45">
      <c r="A66" s="34"/>
      <c r="B66" s="20" t="s">
        <v>26</v>
      </c>
      <c r="C66" s="189">
        <f t="shared" ref="C66:E66" si="27">SUM(C62:C65)</f>
        <v>486.26592572205118</v>
      </c>
      <c r="D66" s="36"/>
      <c r="E66" s="189">
        <f t="shared" si="27"/>
        <v>503.70512894105212</v>
      </c>
      <c r="F66" s="36"/>
      <c r="G66" s="36">
        <f>SUM(G62:G65)</f>
        <v>520.03697598799999</v>
      </c>
      <c r="H66" s="29"/>
      <c r="I66" s="36">
        <f>SUM(I62:I65)</f>
        <v>507.59027598799997</v>
      </c>
      <c r="J66" s="29"/>
      <c r="K66" s="36">
        <f>SUM(K62:K65)</f>
        <v>523.69787024788002</v>
      </c>
      <c r="L66" s="29"/>
      <c r="M66" s="36">
        <f>SUM(M62:M65)</f>
        <v>536.79229584911934</v>
      </c>
      <c r="N66" s="29"/>
      <c r="O66" s="36">
        <f>SUM(O62:O65)</f>
        <v>549.77351339167546</v>
      </c>
      <c r="P66" s="36">
        <f t="shared" ref="P66:S66" si="28">SUM(P62:P65)</f>
        <v>0</v>
      </c>
      <c r="Q66" s="189">
        <f t="shared" si="28"/>
        <v>563.05513528238487</v>
      </c>
      <c r="R66" s="36">
        <f t="shared" si="28"/>
        <v>0</v>
      </c>
      <c r="S66" s="189">
        <f t="shared" si="28"/>
        <v>576.38935015555103</v>
      </c>
      <c r="T66" s="56">
        <f>(S66/I66)^(1/($S$3-$I$3))-1</f>
        <v>2.5747650410465672E-2</v>
      </c>
      <c r="U66" s="37"/>
    </row>
    <row r="67" spans="1:21" ht="9" customHeight="1" x14ac:dyDescent="0.45">
      <c r="A67" s="21"/>
      <c r="B67" s="22"/>
      <c r="C67" s="22"/>
      <c r="D67" s="22"/>
      <c r="E67" s="22"/>
      <c r="F67" s="22"/>
      <c r="G67" s="23"/>
      <c r="H67" s="22"/>
      <c r="I67" s="23"/>
      <c r="J67" s="22"/>
      <c r="K67" s="23"/>
      <c r="L67" s="22"/>
      <c r="M67" s="23"/>
      <c r="N67" s="22"/>
      <c r="O67" s="23"/>
      <c r="P67" s="23"/>
      <c r="Q67" s="23"/>
      <c r="R67" s="23"/>
      <c r="S67" s="23"/>
      <c r="T67" s="23"/>
      <c r="U67" s="24"/>
    </row>
    <row r="68" spans="1:21" ht="9" customHeight="1" x14ac:dyDescent="0.45">
      <c r="A68" s="21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48"/>
    </row>
    <row r="69" spans="1:21" ht="16.5" customHeight="1" x14ac:dyDescent="0.45">
      <c r="A69" s="21"/>
      <c r="B69" s="53" t="s">
        <v>24</v>
      </c>
      <c r="C69" s="53"/>
      <c r="D69" s="53"/>
      <c r="E69" s="53"/>
      <c r="F69" s="53"/>
      <c r="G69" s="23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48"/>
    </row>
    <row r="70" spans="1:21" ht="9" customHeight="1" x14ac:dyDescent="0.45">
      <c r="A70" s="21"/>
      <c r="B70" s="22"/>
      <c r="C70" s="22"/>
      <c r="D70" s="22"/>
      <c r="E70" s="22"/>
      <c r="F70" s="22"/>
      <c r="G70" s="23"/>
      <c r="H70" s="22"/>
      <c r="I70" s="23"/>
      <c r="J70" s="22"/>
      <c r="K70" s="23"/>
      <c r="L70" s="22"/>
      <c r="M70" s="23"/>
      <c r="N70" s="22"/>
      <c r="O70" s="23"/>
      <c r="P70" s="23"/>
      <c r="Q70" s="23"/>
      <c r="R70" s="23"/>
      <c r="S70" s="23"/>
      <c r="T70" s="23"/>
      <c r="U70" s="24"/>
    </row>
    <row r="71" spans="1:21" ht="16.5" customHeight="1" x14ac:dyDescent="0.45">
      <c r="A71" s="21"/>
      <c r="B71" s="17" t="s">
        <v>0</v>
      </c>
      <c r="C71" s="31">
        <f>+C7/C62</f>
        <v>0.21489635824023873</v>
      </c>
      <c r="D71" s="31"/>
      <c r="E71" s="31">
        <f>+E7/E62</f>
        <v>0.19966201984284099</v>
      </c>
      <c r="F71" s="31"/>
      <c r="G71" s="31">
        <f>+G7/G62</f>
        <v>0.19421278476760551</v>
      </c>
      <c r="H71" s="59"/>
      <c r="I71" s="31">
        <f>+I7/I62</f>
        <v>0.18992329359707061</v>
      </c>
      <c r="J71" s="67"/>
      <c r="K71" s="31">
        <f t="shared" ref="K71:S71" si="29">+K7/K62</f>
        <v>0.19298690425912915</v>
      </c>
      <c r="L71" s="31" t="e">
        <f t="shared" si="29"/>
        <v>#DIV/0!</v>
      </c>
      <c r="M71" s="31">
        <f t="shared" si="29"/>
        <v>0.19677836875937052</v>
      </c>
      <c r="N71" s="31" t="e">
        <f t="shared" si="29"/>
        <v>#DIV/0!</v>
      </c>
      <c r="O71" s="31">
        <f t="shared" si="29"/>
        <v>0.20154415458376723</v>
      </c>
      <c r="P71" s="31" t="e">
        <f t="shared" si="29"/>
        <v>#DIV/0!</v>
      </c>
      <c r="Q71" s="31">
        <f t="shared" si="29"/>
        <v>0.20825053484456305</v>
      </c>
      <c r="R71" s="31" t="e">
        <f t="shared" si="29"/>
        <v>#DIV/0!</v>
      </c>
      <c r="S71" s="31">
        <f t="shared" si="29"/>
        <v>0.21843772866937042</v>
      </c>
      <c r="T71" s="31"/>
      <c r="U71" s="24"/>
    </row>
    <row r="72" spans="1:21" ht="16.5" customHeight="1" x14ac:dyDescent="0.45">
      <c r="A72" s="21"/>
      <c r="B72" s="17" t="s">
        <v>1</v>
      </c>
      <c r="C72" s="31">
        <f>+C8/C63</f>
        <v>0.14204952563294229</v>
      </c>
      <c r="D72" s="31"/>
      <c r="E72" s="31">
        <f>+E8/E63</f>
        <v>0.14484096439979716</v>
      </c>
      <c r="F72" s="31"/>
      <c r="G72" s="31">
        <f>+G8/G63</f>
        <v>0.14241018191803853</v>
      </c>
      <c r="H72" s="59"/>
      <c r="I72" s="31">
        <f>+I8/I63</f>
        <v>0.14536020327418978</v>
      </c>
      <c r="J72" s="67"/>
      <c r="K72" s="31">
        <f>+K8/K63</f>
        <v>0.14696498421178369</v>
      </c>
      <c r="L72" s="67"/>
      <c r="M72" s="31">
        <f>+M8/M63</f>
        <v>0.15014518915962183</v>
      </c>
      <c r="N72" s="59"/>
      <c r="O72" s="31">
        <f>+O8/O63</f>
        <v>0.15441560462821252</v>
      </c>
      <c r="P72" s="31"/>
      <c r="Q72" s="31">
        <f>+Q8/Q63</f>
        <v>0.16227215857004812</v>
      </c>
      <c r="R72" s="31"/>
      <c r="S72" s="31">
        <f>+S8/S63</f>
        <v>0.17254600584268384</v>
      </c>
      <c r="T72" s="31"/>
      <c r="U72" s="24"/>
    </row>
    <row r="73" spans="1:21" ht="16.5" customHeight="1" x14ac:dyDescent="0.45">
      <c r="A73" s="21"/>
      <c r="B73" s="17" t="s">
        <v>2</v>
      </c>
      <c r="C73" s="31">
        <f>+C9/C64</f>
        <v>0.34085873183807169</v>
      </c>
      <c r="D73" s="31"/>
      <c r="E73" s="31">
        <f>+E9/E64</f>
        <v>0.28498930034714542</v>
      </c>
      <c r="F73" s="31"/>
      <c r="G73" s="31">
        <f>+G9/G64</f>
        <v>0.30690823475342977</v>
      </c>
      <c r="H73" s="59"/>
      <c r="I73" s="31">
        <f>+I9/I64</f>
        <v>0.28474136186521665</v>
      </c>
      <c r="J73" s="67"/>
      <c r="K73" s="31">
        <f>+K9/K64</f>
        <v>0.29758428095043493</v>
      </c>
      <c r="L73" s="67"/>
      <c r="M73" s="31">
        <f>+M9/M64</f>
        <v>0.31128063272075224</v>
      </c>
      <c r="N73" s="67"/>
      <c r="O73" s="31">
        <f>+O9/O64</f>
        <v>0.32563518112706102</v>
      </c>
      <c r="P73" s="31"/>
      <c r="Q73" s="31">
        <f>+Q9/Q64</f>
        <v>0.34208310940032671</v>
      </c>
      <c r="R73" s="31"/>
      <c r="S73" s="31">
        <f>+S9/S64</f>
        <v>0.36128797260630335</v>
      </c>
      <c r="T73" s="31"/>
      <c r="U73" s="24"/>
    </row>
    <row r="74" spans="1:21" ht="16.5" customHeight="1" x14ac:dyDescent="0.45">
      <c r="A74" s="21"/>
      <c r="B74" s="17"/>
      <c r="C74" s="17"/>
      <c r="D74" s="17"/>
      <c r="E74" s="17"/>
      <c r="F74" s="17"/>
      <c r="G74" s="121"/>
      <c r="H74" s="59"/>
      <c r="I74" s="121"/>
      <c r="J74" s="67"/>
      <c r="K74" s="121"/>
      <c r="L74" s="67"/>
      <c r="M74" s="121"/>
      <c r="N74" s="59"/>
      <c r="O74" s="121"/>
      <c r="P74" s="31"/>
      <c r="Q74" s="31"/>
      <c r="R74" s="31"/>
      <c r="S74" s="31"/>
      <c r="T74" s="31"/>
      <c r="U74" s="24"/>
    </row>
    <row r="75" spans="1:21" ht="16.5" customHeight="1" x14ac:dyDescent="0.45">
      <c r="A75" s="21"/>
      <c r="B75" s="20" t="s">
        <v>26</v>
      </c>
      <c r="C75" s="192">
        <f>+C11/C66</f>
        <v>0.20161693258822894</v>
      </c>
      <c r="D75" s="35"/>
      <c r="E75" s="192">
        <f>+E11/E66</f>
        <v>0.18947165752152398</v>
      </c>
      <c r="F75" s="35"/>
      <c r="G75" s="35">
        <f>+G11/G66</f>
        <v>0.18675554810836109</v>
      </c>
      <c r="H75" s="35"/>
      <c r="I75" s="35">
        <f>+I11/I66</f>
        <v>0.18557725960116517</v>
      </c>
      <c r="J75" s="35"/>
      <c r="K75" s="35">
        <f>+K11/K66</f>
        <v>0.18950912962079336</v>
      </c>
      <c r="L75" s="35"/>
      <c r="M75" s="35">
        <f>+M11/M66</f>
        <v>0.1945393201511911</v>
      </c>
      <c r="N75" s="35"/>
      <c r="O75" s="35">
        <f>+O11/O66</f>
        <v>0.20061247778241584</v>
      </c>
      <c r="P75" s="35"/>
      <c r="Q75" s="192">
        <f>+Q11/Q66</f>
        <v>0.20913465476577964</v>
      </c>
      <c r="R75" s="35" t="e">
        <f>+R11/R66</f>
        <v>#DIV/0!</v>
      </c>
      <c r="S75" s="192">
        <f>+S11/S66</f>
        <v>0.22072614832982118</v>
      </c>
      <c r="T75" s="31"/>
      <c r="U75" s="24"/>
    </row>
    <row r="76" spans="1:21" ht="16.5" customHeight="1" x14ac:dyDescent="0.45">
      <c r="A76" s="21"/>
      <c r="B76" s="17"/>
      <c r="C76" s="17"/>
      <c r="D76" s="17"/>
      <c r="E76" s="17"/>
      <c r="F76" s="17"/>
      <c r="G76" s="31"/>
      <c r="H76" s="59"/>
      <c r="I76" s="31"/>
      <c r="J76" s="67"/>
      <c r="K76" s="31"/>
      <c r="L76" s="67"/>
      <c r="M76" s="31"/>
      <c r="N76" s="59"/>
      <c r="O76" s="31"/>
      <c r="P76" s="31"/>
      <c r="Q76" s="31"/>
      <c r="R76" s="31"/>
      <c r="S76" s="31"/>
      <c r="T76" s="31"/>
      <c r="U76" s="24"/>
    </row>
    <row r="77" spans="1:21" ht="9" customHeight="1" x14ac:dyDescent="0.45">
      <c r="A77" s="26"/>
      <c r="B77" s="51"/>
      <c r="C77" s="51"/>
      <c r="D77" s="51"/>
      <c r="E77" s="51"/>
      <c r="F77" s="51"/>
      <c r="G77" s="52"/>
      <c r="H77" s="51"/>
      <c r="I77" s="52"/>
      <c r="J77" s="51"/>
      <c r="K77" s="52"/>
      <c r="L77" s="51"/>
      <c r="M77" s="52"/>
      <c r="N77" s="51"/>
      <c r="O77" s="52"/>
      <c r="P77" s="52"/>
      <c r="Q77" s="52"/>
      <c r="R77" s="52"/>
      <c r="S77" s="52"/>
      <c r="T77" s="52"/>
      <c r="U77" s="28"/>
    </row>
    <row r="78" spans="1:21" ht="16.5" customHeight="1" x14ac:dyDescent="0.4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</row>
    <row r="79" spans="1:21" ht="16.5" customHeight="1" x14ac:dyDescent="0.4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</row>
    <row r="80" spans="1:21" ht="16.5" customHeight="1" x14ac:dyDescent="0.4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</row>
    <row r="81" spans="1:21" ht="16.5" customHeight="1" x14ac:dyDescent="0.4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</row>
    <row r="82" spans="1:21" ht="16.5" customHeight="1" x14ac:dyDescent="0.4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</row>
    <row r="83" spans="1:21" ht="16.5" customHeight="1" x14ac:dyDescent="0.4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</row>
    <row r="84" spans="1:21" ht="16.5" customHeight="1" x14ac:dyDescent="0.4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</row>
    <row r="85" spans="1:21" ht="16.5" customHeight="1" x14ac:dyDescent="0.4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</row>
    <row r="86" spans="1:21" ht="16.5" customHeight="1" x14ac:dyDescent="0.4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</row>
    <row r="87" spans="1:21" ht="16.5" customHeight="1" x14ac:dyDescent="0.4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</row>
    <row r="88" spans="1:21" ht="16.5" customHeight="1" x14ac:dyDescent="0.4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</row>
    <row r="89" spans="1:21" ht="16.5" customHeight="1" x14ac:dyDescent="0.4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</row>
    <row r="90" spans="1:21" ht="16.5" customHeight="1" x14ac:dyDescent="0.4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1:21" ht="16.5" customHeight="1" x14ac:dyDescent="0.4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</row>
    <row r="92" spans="1:21" ht="16.5" customHeight="1" x14ac:dyDescent="0.4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</row>
    <row r="93" spans="1:21" ht="16.5" customHeight="1" x14ac:dyDescent="0.4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21" ht="16.5" customHeight="1" x14ac:dyDescent="0.4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</row>
    <row r="95" spans="1:21" ht="16.5" customHeight="1" x14ac:dyDescent="0.4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</row>
    <row r="96" spans="1:21" ht="16.5" customHeight="1" x14ac:dyDescent="0.4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1:21" ht="16.5" customHeight="1" x14ac:dyDescent="0.4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</row>
    <row r="98" spans="1:21" ht="16.5" customHeight="1" x14ac:dyDescent="0.4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</row>
    <row r="99" spans="1:21" ht="16.5" customHeight="1" x14ac:dyDescent="0.4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spans="1:21" ht="16.5" customHeight="1" x14ac:dyDescent="0.4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</row>
    <row r="101" spans="1:21" ht="16.5" customHeight="1" x14ac:dyDescent="0.4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</row>
    <row r="102" spans="1:21" ht="16.5" customHeight="1" x14ac:dyDescent="0.4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</row>
    <row r="103" spans="1:21" ht="16.5" customHeight="1" x14ac:dyDescent="0.45"/>
  </sheetData>
  <mergeCells count="1">
    <mergeCell ref="B1:U1"/>
  </mergeCells>
  <pageMargins left="0.70866141732283472" right="0.70866141732283472" top="0.74803149606299213" bottom="0.74803149606299213" header="0.31496062992125984" footer="0.31496062992125984"/>
  <pageSetup scale="85" fitToHeight="0" orientation="portrait" horizontalDpi="4294967293" r:id="rId1"/>
  <headerFooter>
    <oddFooter>&amp;L&amp;Z&amp;F &amp;A &amp;D &amp;T &amp;P</oddFooter>
  </headerFooter>
  <ignoredErrors>
    <ignoredError sqref="G8:O9 G7:H7 J7:N7 G11:O11 T54 H12 J12" evalError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B1:AG78"/>
  <sheetViews>
    <sheetView zoomScale="70" zoomScaleNormal="70" workbookViewId="0">
      <selection activeCell="C27" sqref="C27"/>
    </sheetView>
  </sheetViews>
  <sheetFormatPr baseColWidth="10" defaultColWidth="11.3984375" defaultRowHeight="14.25" x14ac:dyDescent="0.45"/>
  <cols>
    <col min="1" max="1" width="2.59765625" customWidth="1"/>
    <col min="2" max="2" width="18.3984375" customWidth="1"/>
    <col min="3" max="5" width="9.59765625" customWidth="1"/>
    <col min="6" max="6" width="10.73046875" customWidth="1"/>
    <col min="7" max="7" width="11.59765625" customWidth="1"/>
    <col min="8" max="8" width="14.73046875" customWidth="1"/>
    <col min="9" max="9" width="15.59765625" customWidth="1"/>
    <col min="10" max="12" width="11.3984375" bestFit="1" customWidth="1"/>
    <col min="13" max="13" width="15.73046875" customWidth="1"/>
    <col min="14" max="14" width="11.3984375" customWidth="1"/>
    <col min="15" max="15" width="23.59765625" bestFit="1" customWidth="1"/>
    <col min="16" max="18" width="11.3984375" customWidth="1"/>
    <col min="19" max="19" width="10.59765625" bestFit="1" customWidth="1"/>
    <col min="20" max="22" width="11.3984375" customWidth="1"/>
    <col min="23" max="23" width="25.265625" customWidth="1"/>
    <col min="24" max="26" width="7.59765625" customWidth="1"/>
    <col min="27" max="27" width="22.1328125" customWidth="1"/>
    <col min="29" max="29" width="18.59765625" bestFit="1" customWidth="1"/>
    <col min="30" max="30" width="19.59765625" bestFit="1" customWidth="1"/>
  </cols>
  <sheetData>
    <row r="1" spans="2:27" ht="18" x14ac:dyDescent="0.55000000000000004">
      <c r="B1" s="4" t="s">
        <v>51</v>
      </c>
    </row>
    <row r="2" spans="2:27" ht="18" customHeight="1" x14ac:dyDescent="0.45">
      <c r="B2" s="54"/>
      <c r="W2" s="316" t="s">
        <v>52</v>
      </c>
      <c r="X2" s="317"/>
      <c r="Y2" s="317"/>
      <c r="Z2" s="318"/>
    </row>
    <row r="3" spans="2:27" ht="16.5" customHeight="1" x14ac:dyDescent="0.55000000000000004">
      <c r="B3" s="319" t="s">
        <v>74</v>
      </c>
      <c r="C3" s="319"/>
      <c r="D3" s="319"/>
      <c r="E3" s="319"/>
      <c r="F3" s="178"/>
      <c r="I3" s="315" t="s">
        <v>76</v>
      </c>
      <c r="J3" s="315"/>
      <c r="K3" s="315"/>
      <c r="L3" s="315"/>
      <c r="M3" s="315"/>
      <c r="O3" s="4"/>
      <c r="P3" s="230" t="s">
        <v>75</v>
      </c>
      <c r="Q3" s="231"/>
      <c r="R3" s="231"/>
      <c r="S3" s="231"/>
      <c r="W3" s="320" t="s">
        <v>53</v>
      </c>
      <c r="X3" s="321"/>
      <c r="Y3" s="321"/>
      <c r="Z3" s="322"/>
    </row>
    <row r="4" spans="2:27" x14ac:dyDescent="0.45">
      <c r="B4" s="39"/>
      <c r="C4" s="39"/>
      <c r="D4" s="39"/>
    </row>
    <row r="5" spans="2:27" ht="31.5" x14ac:dyDescent="0.5">
      <c r="C5" s="167">
        <v>2017</v>
      </c>
      <c r="D5" s="167">
        <v>2018</v>
      </c>
      <c r="E5" s="167">
        <v>2019</v>
      </c>
      <c r="F5" s="167" t="s">
        <v>86</v>
      </c>
      <c r="G5" s="250" t="s">
        <v>88</v>
      </c>
      <c r="J5" s="151">
        <v>2017</v>
      </c>
      <c r="K5" s="151">
        <v>2018</v>
      </c>
      <c r="L5" s="151" t="s">
        <v>71</v>
      </c>
      <c r="M5" s="151" t="s">
        <v>86</v>
      </c>
      <c r="N5" s="151"/>
      <c r="P5" s="151">
        <v>2017</v>
      </c>
      <c r="Q5" s="151">
        <v>2018</v>
      </c>
      <c r="R5" s="151">
        <v>2019</v>
      </c>
      <c r="S5" s="151" t="s">
        <v>86</v>
      </c>
      <c r="V5" s="151"/>
      <c r="W5" s="12"/>
      <c r="X5" s="152">
        <v>2017</v>
      </c>
      <c r="Y5" s="152">
        <v>2018</v>
      </c>
      <c r="Z5" s="151">
        <v>2019</v>
      </c>
      <c r="AA5" s="151" t="s">
        <v>86</v>
      </c>
    </row>
    <row r="6" spans="2:27" ht="15.75" x14ac:dyDescent="0.5">
      <c r="B6" s="151" t="s">
        <v>18</v>
      </c>
      <c r="F6" t="s">
        <v>87</v>
      </c>
      <c r="I6" s="151" t="s">
        <v>18</v>
      </c>
      <c r="O6" s="151" t="s">
        <v>18</v>
      </c>
      <c r="W6" s="21"/>
      <c r="X6" s="23"/>
      <c r="Y6" s="23"/>
      <c r="Z6" s="23"/>
      <c r="AA6" s="24"/>
    </row>
    <row r="7" spans="2:27" x14ac:dyDescent="0.45">
      <c r="B7" s="153" t="s">
        <v>54</v>
      </c>
      <c r="C7" s="154">
        <v>25286.572063</v>
      </c>
      <c r="D7" s="154">
        <v>24348.050798</v>
      </c>
      <c r="E7" s="154">
        <v>22469.030610000002</v>
      </c>
      <c r="F7" s="154">
        <v>20736.6675901942</v>
      </c>
      <c r="G7" s="154">
        <v>20736.667590194178</v>
      </c>
      <c r="I7" s="153" t="s">
        <v>54</v>
      </c>
      <c r="J7" s="179">
        <f>$C$10*J13</f>
        <v>8351.7501964331241</v>
      </c>
      <c r="K7" s="179">
        <f>$D$10*K13</f>
        <v>8714.5082531435855</v>
      </c>
      <c r="L7" s="179">
        <f>$E$10*L13</f>
        <v>8652.4375348269277</v>
      </c>
      <c r="M7" s="179">
        <f>$F$10*M13</f>
        <v>8464.4914377677324</v>
      </c>
      <c r="N7" s="179"/>
      <c r="O7" s="153" t="s">
        <v>54</v>
      </c>
      <c r="P7" s="232">
        <f>IF($P$17=1,C7+J7,C7+J22)</f>
        <v>34104.578940511637</v>
      </c>
      <c r="Q7" s="232">
        <f t="shared" ref="P7:S8" si="0">IF($P$17=1,D7+K7,D7+K22)</f>
        <v>33136.350305764921</v>
      </c>
      <c r="R7" s="232">
        <f t="shared" si="0"/>
        <v>31692.015218937991</v>
      </c>
      <c r="S7" s="232">
        <f t="shared" si="0"/>
        <v>30060.499759156784</v>
      </c>
      <c r="V7" s="179"/>
      <c r="W7" s="155" t="s">
        <v>0</v>
      </c>
      <c r="X7" s="180">
        <f>+(P7+C34)/1000</f>
        <v>34.925578940511635</v>
      </c>
      <c r="Y7" s="180">
        <f t="shared" ref="Y7:AA8" si="1">+(Q7+D34)/1000</f>
        <v>33.778350305764924</v>
      </c>
      <c r="Z7" s="180">
        <f t="shared" si="1"/>
        <v>32.21001521893799</v>
      </c>
      <c r="AA7" s="156">
        <f t="shared" si="1"/>
        <v>30.638499759156783</v>
      </c>
    </row>
    <row r="8" spans="2:27" x14ac:dyDescent="0.45">
      <c r="B8" s="153" t="s">
        <v>55</v>
      </c>
      <c r="C8" s="154">
        <v>1438.1062770000001</v>
      </c>
      <c r="D8" s="154">
        <v>1325.897262</v>
      </c>
      <c r="E8" s="154">
        <v>1250.0100399999999</v>
      </c>
      <c r="F8" s="154">
        <v>1143.9151646666667</v>
      </c>
      <c r="G8" s="154">
        <v>1143.9151646666667</v>
      </c>
      <c r="I8" s="153" t="s">
        <v>55</v>
      </c>
      <c r="J8" s="179">
        <f>$C$10*J14</f>
        <v>3164.7811635983353</v>
      </c>
      <c r="K8" s="179">
        <f>$D$10*K14</f>
        <v>3552.0170196082863</v>
      </c>
      <c r="L8" s="179">
        <f>$E$10*L14</f>
        <v>3937.5784309836672</v>
      </c>
      <c r="M8" s="179">
        <f>$F$10*M14</f>
        <v>3648.7094585531249</v>
      </c>
      <c r="N8" s="179"/>
      <c r="O8" s="153" t="s">
        <v>55</v>
      </c>
      <c r="P8" s="232">
        <f t="shared" si="0"/>
        <v>4525.7453847548486</v>
      </c>
      <c r="Q8" s="232">
        <f t="shared" si="0"/>
        <v>5044.1256172012372</v>
      </c>
      <c r="R8" s="232">
        <f t="shared" si="0"/>
        <v>5227.0201631435675</v>
      </c>
      <c r="S8" s="232">
        <f t="shared" si="0"/>
        <v>5102.5357533530623</v>
      </c>
      <c r="V8" s="179"/>
      <c r="W8" s="155" t="s">
        <v>1</v>
      </c>
      <c r="X8" s="180">
        <f>+(P8+C35)/1000</f>
        <v>12.980745384754849</v>
      </c>
      <c r="Y8" s="180">
        <f t="shared" si="1"/>
        <v>13.904125617201236</v>
      </c>
      <c r="Z8" s="180">
        <f t="shared" si="1"/>
        <v>14.438020163143566</v>
      </c>
      <c r="AA8" s="156">
        <f t="shared" si="1"/>
        <v>13.146535753353062</v>
      </c>
    </row>
    <row r="9" spans="2:27" x14ac:dyDescent="0.45">
      <c r="B9" s="153" t="s">
        <v>2</v>
      </c>
      <c r="C9" s="154">
        <v>2043</v>
      </c>
      <c r="D9" s="154">
        <v>1440</v>
      </c>
      <c r="E9" s="154">
        <v>2506.8844400000003</v>
      </c>
      <c r="F9" s="154">
        <f>3861.20792319128+50</f>
        <v>3911.2079231912799</v>
      </c>
      <c r="G9" s="154">
        <v>3861.2079231912826</v>
      </c>
      <c r="I9" s="153" t="s">
        <v>2</v>
      </c>
      <c r="J9" s="179">
        <f>$C$10*J15</f>
        <v>653.55083996854137</v>
      </c>
      <c r="K9" s="179">
        <f>$D$10*K15</f>
        <v>502.15551724813116</v>
      </c>
      <c r="L9" s="179">
        <f>$E$10*L15</f>
        <v>943.60430418940416</v>
      </c>
      <c r="M9" s="179">
        <f>$F$10*M15</f>
        <v>1553.2208436791423</v>
      </c>
      <c r="N9" s="179"/>
      <c r="O9" s="153" t="s">
        <v>2</v>
      </c>
      <c r="P9" s="232">
        <f t="shared" ref="P9" si="2">IF($P$17=1,C9+J9,C9+J24)</f>
        <v>2307.4362147335146</v>
      </c>
      <c r="Q9" s="232">
        <f>IF($P$17=1,D9+K9,D9+K24)</f>
        <v>1702.1529270338433</v>
      </c>
      <c r="R9" s="232">
        <f>IF($P$17=1,E9+L9,E9+L24)</f>
        <v>2840.5099779184402</v>
      </c>
      <c r="S9" s="232">
        <f>IF($P$17=1,F9+M9,F9+M24)</f>
        <v>4295.1769055423001</v>
      </c>
      <c r="V9" s="179"/>
      <c r="W9" s="155" t="s">
        <v>2</v>
      </c>
      <c r="X9" s="180">
        <f>+P9/1000</f>
        <v>2.3074362147335146</v>
      </c>
      <c r="Y9" s="180">
        <f>+Q9/1000</f>
        <v>1.7021529270338434</v>
      </c>
      <c r="Z9" s="180">
        <f>+R9/1000</f>
        <v>2.8405099779184404</v>
      </c>
      <c r="AA9" s="156">
        <f>+S9/1000</f>
        <v>4.2951769055423004</v>
      </c>
    </row>
    <row r="10" spans="2:27" x14ac:dyDescent="0.45">
      <c r="B10" s="153" t="s">
        <v>56</v>
      </c>
      <c r="C10" s="154">
        <v>12170.082200000001</v>
      </c>
      <c r="D10" s="154">
        <v>12768.68079</v>
      </c>
      <c r="E10" s="154">
        <v>13533.620269999999</v>
      </c>
      <c r="F10" s="154">
        <f>13366.42174+300</f>
        <v>13666.42174</v>
      </c>
      <c r="G10" s="154">
        <v>13366.42174</v>
      </c>
      <c r="O10" s="153" t="s">
        <v>57</v>
      </c>
      <c r="P10" s="232">
        <f t="shared" ref="P10:S14" si="3">C11</f>
        <v>502.57080999999999</v>
      </c>
      <c r="Q10" s="232">
        <f t="shared" si="3"/>
        <v>195</v>
      </c>
      <c r="R10" s="232">
        <f t="shared" si="3"/>
        <v>268.33177000000001</v>
      </c>
      <c r="S10" s="232">
        <f t="shared" si="3"/>
        <v>401.43441000000001</v>
      </c>
      <c r="W10" s="155"/>
      <c r="X10" s="180"/>
      <c r="Y10" s="180"/>
      <c r="Z10" s="180"/>
      <c r="AA10" s="156"/>
    </row>
    <row r="11" spans="2:27" x14ac:dyDescent="0.45">
      <c r="B11" s="153" t="s">
        <v>57</v>
      </c>
      <c r="C11" s="154">
        <v>502.57080999999999</v>
      </c>
      <c r="D11" s="154">
        <v>195</v>
      </c>
      <c r="E11" s="154">
        <v>268.33177000000001</v>
      </c>
      <c r="F11" s="154">
        <v>401.43441000000001</v>
      </c>
      <c r="G11" s="154">
        <v>401.43441000000001</v>
      </c>
      <c r="O11" s="153" t="s">
        <v>58</v>
      </c>
      <c r="P11" s="232">
        <f t="shared" si="3"/>
        <v>6564.7319200000002</v>
      </c>
      <c r="Q11" s="232">
        <f t="shared" si="3"/>
        <v>6301.0519400000012</v>
      </c>
      <c r="R11" s="232">
        <f t="shared" si="3"/>
        <v>8150.0219399999996</v>
      </c>
      <c r="S11" s="232">
        <f t="shared" si="3"/>
        <v>9051.1815599999991</v>
      </c>
      <c r="W11" s="157"/>
      <c r="X11" s="182"/>
      <c r="Y11" s="182"/>
      <c r="Z11" s="182"/>
      <c r="AA11" s="158"/>
    </row>
    <row r="12" spans="2:27" ht="15.75" x14ac:dyDescent="0.5">
      <c r="B12" s="153" t="s">
        <v>58</v>
      </c>
      <c r="C12" s="154">
        <v>6564.7319200000002</v>
      </c>
      <c r="D12" s="154">
        <v>6301.0519400000012</v>
      </c>
      <c r="E12" s="154">
        <v>8150.0219399999996</v>
      </c>
      <c r="F12" s="154">
        <v>9051.1815599999991</v>
      </c>
      <c r="G12" s="154">
        <v>9051.1815599999991</v>
      </c>
      <c r="I12" s="179" t="s">
        <v>73</v>
      </c>
      <c r="J12" s="151">
        <v>2017</v>
      </c>
      <c r="K12" s="151">
        <v>2018</v>
      </c>
      <c r="L12" s="151" t="s">
        <v>71</v>
      </c>
      <c r="M12" s="151" t="s">
        <v>86</v>
      </c>
      <c r="N12" s="151"/>
      <c r="O12" s="153" t="s">
        <v>60</v>
      </c>
      <c r="P12" s="232">
        <f t="shared" si="3"/>
        <v>697.61733000000004</v>
      </c>
      <c r="Q12" s="232">
        <f t="shared" si="3"/>
        <v>759.31921000000011</v>
      </c>
      <c r="R12" s="232">
        <f t="shared" si="3"/>
        <v>812.50787000000003</v>
      </c>
      <c r="S12" s="232">
        <f t="shared" si="3"/>
        <v>815.47758999999996</v>
      </c>
      <c r="V12" s="151"/>
      <c r="W12" s="323" t="s">
        <v>59</v>
      </c>
      <c r="X12" s="181">
        <f>+(P11+P12+P13+P14+P10)/1000</f>
        <v>10.68398388</v>
      </c>
      <c r="Y12" s="181">
        <f>+(Q11+Q12+Q13+Q14+Q10)/1000</f>
        <v>10.647371150000001</v>
      </c>
      <c r="Z12" s="181">
        <f>+(R11+R12+R13+R14+R10)/1000</f>
        <v>13.105311950000001</v>
      </c>
      <c r="AA12" s="183">
        <f>+(S11+S12+S13+S14+S10)/1000</f>
        <v>13.806430429999999</v>
      </c>
    </row>
    <row r="13" spans="2:27" x14ac:dyDescent="0.45">
      <c r="B13" s="153" t="s">
        <v>60</v>
      </c>
      <c r="C13" s="154">
        <v>697.61733000000004</v>
      </c>
      <c r="D13" s="154">
        <v>759.31921000000011</v>
      </c>
      <c r="E13" s="154">
        <v>812.50787000000003</v>
      </c>
      <c r="F13" s="154">
        <v>815.47758999999996</v>
      </c>
      <c r="G13" s="154">
        <v>815.47758999999996</v>
      </c>
      <c r="I13" s="153" t="s">
        <v>54</v>
      </c>
      <c r="J13" s="218">
        <f>(C7+C34)/SUM($C$7:$C$9,$C$36)</f>
        <v>0.68625257078650825</v>
      </c>
      <c r="K13" s="218">
        <f>(D7+D34)/SUM($D$7:$D$9,$D$36)</f>
        <v>0.68249088503868727</v>
      </c>
      <c r="L13" s="218">
        <f>(E7+E34)/SUM($E$7:$E$9,$E$36)</f>
        <v>0.63932911979263973</v>
      </c>
      <c r="M13" s="218">
        <f>(F7+F34)/SUM($F$7:$F$9,$F$36)</f>
        <v>0.61936413194341633</v>
      </c>
      <c r="O13" s="153" t="s">
        <v>17</v>
      </c>
      <c r="P13" s="232">
        <f t="shared" si="3"/>
        <v>650.30493999999999</v>
      </c>
      <c r="Q13" s="232">
        <f t="shared" si="3"/>
        <v>566</v>
      </c>
      <c r="R13" s="232">
        <f>E14</f>
        <v>622.87260000000015</v>
      </c>
      <c r="S13" s="232">
        <f t="shared" si="3"/>
        <v>428.70927</v>
      </c>
      <c r="W13" s="323"/>
      <c r="X13" s="23"/>
      <c r="Y13" s="23"/>
      <c r="Z13" s="23"/>
      <c r="AA13" s="24"/>
    </row>
    <row r="14" spans="2:27" x14ac:dyDescent="0.45">
      <c r="B14" s="153" t="s">
        <v>17</v>
      </c>
      <c r="C14" s="154">
        <v>650.30493999999999</v>
      </c>
      <c r="D14" s="154">
        <v>566</v>
      </c>
      <c r="E14" s="154">
        <v>622.87260000000015</v>
      </c>
      <c r="F14" s="154">
        <v>428.70927</v>
      </c>
      <c r="G14" s="154">
        <v>428.70927</v>
      </c>
      <c r="I14" s="153" t="s">
        <v>55</v>
      </c>
      <c r="J14" s="218">
        <f>(C8+C35)/SUM($C$7:$C$9,$C$36)</f>
        <v>0.26004599735557538</v>
      </c>
      <c r="K14" s="218">
        <f>(D8+D35)/SUM($D$7:$D$9,$D$36)</f>
        <v>0.27818198904229058</v>
      </c>
      <c r="L14" s="218">
        <f>(E8+E35)/SUM($E$7:$E$9,$E$36)</f>
        <v>0.29094790251445907</v>
      </c>
      <c r="M14" s="218">
        <f>(F8+F35)/SUM($F$7:$F$9,$F$36)</f>
        <v>0.26698352560522731</v>
      </c>
      <c r="O14" s="153" t="s">
        <v>61</v>
      </c>
      <c r="P14" s="232">
        <f>C15</f>
        <v>2268.7588800000003</v>
      </c>
      <c r="Q14" s="232">
        <f t="shared" si="3"/>
        <v>2826</v>
      </c>
      <c r="R14" s="232">
        <f t="shared" si="3"/>
        <v>3251.5777699999999</v>
      </c>
      <c r="S14" s="232">
        <f t="shared" si="3"/>
        <v>3109.6276000000003</v>
      </c>
      <c r="W14" s="21"/>
      <c r="X14" s="22"/>
      <c r="Y14" s="22"/>
      <c r="Z14" s="22"/>
      <c r="AA14" s="48"/>
    </row>
    <row r="15" spans="2:27" ht="15.75" x14ac:dyDescent="0.5">
      <c r="B15" s="153" t="s">
        <v>61</v>
      </c>
      <c r="C15" s="154">
        <v>2268.7588800000003</v>
      </c>
      <c r="D15" s="154">
        <v>2826</v>
      </c>
      <c r="E15" s="154">
        <v>3251.5777699999999</v>
      </c>
      <c r="F15" s="154">
        <v>3109.6276000000003</v>
      </c>
      <c r="G15" s="154">
        <v>3109.6276000000003</v>
      </c>
      <c r="I15" s="153" t="s">
        <v>2</v>
      </c>
      <c r="J15" s="218">
        <f>C9/SUM($C$7:$C$9,C36)</f>
        <v>5.3701431857916399E-2</v>
      </c>
      <c r="K15" s="218">
        <f>D9/SUM($D$7:$D$9,$D$36)</f>
        <v>3.93271259190223E-2</v>
      </c>
      <c r="L15" s="218">
        <f>(E9)/SUM($E$7:$E$9,$E$36)</f>
        <v>6.9722977692901103E-2</v>
      </c>
      <c r="M15" s="218">
        <f>(F9)/SUM($F$7:$F$9,$F$36)</f>
        <v>0.11365234245135643</v>
      </c>
      <c r="O15" s="159" t="s">
        <v>62</v>
      </c>
      <c r="P15" s="160">
        <f>SUM(P7:P14)</f>
        <v>51621.744419999995</v>
      </c>
      <c r="Q15" s="160">
        <f>SUM(Q7:Q14)</f>
        <v>50530</v>
      </c>
      <c r="R15" s="160">
        <f>SUM(R7:R14)</f>
        <v>52864.857309999992</v>
      </c>
      <c r="S15" s="160">
        <f>SUM(S7:S14)</f>
        <v>53264.642848052143</v>
      </c>
      <c r="W15" s="21"/>
      <c r="X15" s="22"/>
      <c r="Y15" s="22"/>
      <c r="Z15" s="22"/>
      <c r="AA15" s="48"/>
    </row>
    <row r="16" spans="2:27" s="64" customFormat="1" ht="16.149999999999999" thickBot="1" x14ac:dyDescent="0.55000000000000004">
      <c r="B16" s="159" t="s">
        <v>62</v>
      </c>
      <c r="C16" s="160">
        <f>SUM(C7:C15)</f>
        <v>51621.744420000003</v>
      </c>
      <c r="D16" s="160">
        <f>SUM(D7:D15)</f>
        <v>50530</v>
      </c>
      <c r="E16" s="160">
        <f>SUM(E7:E15)</f>
        <v>52864.857310000007</v>
      </c>
      <c r="F16" s="160">
        <f>SUM(F7:F15)</f>
        <v>53264.642848052143</v>
      </c>
      <c r="G16" s="229">
        <f>SUM(G7:G15)</f>
        <v>52914.642848052128</v>
      </c>
      <c r="H16"/>
      <c r="J16" s="64">
        <f>SUM(J13:J15)</f>
        <v>1</v>
      </c>
      <c r="K16" s="64">
        <f>SUM(K13:K15)</f>
        <v>1</v>
      </c>
      <c r="L16" s="64">
        <f>SUM(L13:L15)</f>
        <v>1</v>
      </c>
      <c r="M16" s="64">
        <f>SUM(M13:M15)</f>
        <v>1</v>
      </c>
      <c r="T16"/>
      <c r="U16"/>
      <c r="W16" s="161" t="s">
        <v>3</v>
      </c>
      <c r="X16" s="162">
        <f>SUM(X7:X13)</f>
        <v>60.897744419999995</v>
      </c>
      <c r="Y16" s="162">
        <f>SUM(Y7:Y13)</f>
        <v>60.032000000000011</v>
      </c>
      <c r="Z16" s="162">
        <f>SUM(Z7:Z13)</f>
        <v>62.593857310000004</v>
      </c>
      <c r="AA16" s="163">
        <f>SUM(AA7:AA13)</f>
        <v>61.886642848052141</v>
      </c>
    </row>
    <row r="17" spans="2:26" ht="14.65" thickBot="1" x14ac:dyDescent="0.5">
      <c r="B17" s="164"/>
      <c r="C17" s="165"/>
      <c r="D17" s="165"/>
      <c r="E17" s="165"/>
      <c r="F17" s="165"/>
      <c r="O17" s="193" t="s">
        <v>78</v>
      </c>
      <c r="P17" s="194">
        <v>2</v>
      </c>
      <c r="W17" s="165"/>
      <c r="X17" s="166"/>
      <c r="Y17" s="166"/>
      <c r="Z17" s="166"/>
    </row>
    <row r="18" spans="2:26" ht="18" x14ac:dyDescent="0.55000000000000004">
      <c r="I18" s="315" t="s">
        <v>77</v>
      </c>
      <c r="J18" s="315"/>
      <c r="K18" s="315"/>
      <c r="L18" s="315"/>
      <c r="M18" s="315"/>
      <c r="O18" s="167"/>
    </row>
    <row r="19" spans="2:26" x14ac:dyDescent="0.45">
      <c r="O19" s="168"/>
    </row>
    <row r="20" spans="2:26" ht="15.75" x14ac:dyDescent="0.5">
      <c r="C20" s="153"/>
      <c r="J20" s="151">
        <v>2017</v>
      </c>
      <c r="K20" s="151">
        <v>2018</v>
      </c>
      <c r="L20" s="151" t="s">
        <v>71</v>
      </c>
      <c r="M20" s="151" t="s">
        <v>86</v>
      </c>
      <c r="O20" s="168"/>
    </row>
    <row r="21" spans="2:26" ht="15.75" x14ac:dyDescent="0.5">
      <c r="C21" s="153"/>
      <c r="I21" s="151" t="s">
        <v>18</v>
      </c>
      <c r="O21" s="159"/>
    </row>
    <row r="22" spans="2:26" x14ac:dyDescent="0.45">
      <c r="I22" s="153" t="s">
        <v>54</v>
      </c>
      <c r="J22" s="179">
        <f>$C$10*J28</f>
        <v>8818.0068775116379</v>
      </c>
      <c r="K22" s="179">
        <f>$D$10*K28</f>
        <v>8788.2995077649193</v>
      </c>
      <c r="L22" s="179">
        <f>$E$10*L28</f>
        <v>9222.9846089379898</v>
      </c>
      <c r="M22" s="179">
        <f>$F$10*M28</f>
        <v>9323.8321689625845</v>
      </c>
    </row>
    <row r="23" spans="2:26" x14ac:dyDescent="0.45">
      <c r="I23" s="153" t="s">
        <v>55</v>
      </c>
      <c r="J23" s="179">
        <f>$C$10*J29</f>
        <v>3087.6391077548483</v>
      </c>
      <c r="K23" s="179">
        <f>$D$10*K29</f>
        <v>3718.2283552012373</v>
      </c>
      <c r="L23" s="179">
        <f>$E$10*L29</f>
        <v>3977.0101231435679</v>
      </c>
      <c r="M23" s="179">
        <f>$F$10*M29</f>
        <v>3958.6205886863959</v>
      </c>
    </row>
    <row r="24" spans="2:26" x14ac:dyDescent="0.45">
      <c r="I24" s="153" t="s">
        <v>2</v>
      </c>
      <c r="J24" s="179">
        <f>$C$10*J30</f>
        <v>264.43621473351442</v>
      </c>
      <c r="K24" s="179">
        <f>$D$10*K30</f>
        <v>262.1529270338433</v>
      </c>
      <c r="L24" s="179">
        <f>$E$10*L30</f>
        <v>333.62553791843976</v>
      </c>
      <c r="M24" s="179">
        <f>$F$10*M30</f>
        <v>383.9689823510206</v>
      </c>
    </row>
    <row r="27" spans="2:26" ht="15.75" x14ac:dyDescent="0.5">
      <c r="I27" s="179" t="s">
        <v>73</v>
      </c>
      <c r="J27" s="151">
        <v>2017</v>
      </c>
      <c r="K27" s="151">
        <v>2018</v>
      </c>
      <c r="L27" s="151" t="s">
        <v>71</v>
      </c>
      <c r="M27" s="151" t="s">
        <v>86</v>
      </c>
    </row>
    <row r="28" spans="2:26" x14ac:dyDescent="0.45">
      <c r="I28" s="153" t="s">
        <v>54</v>
      </c>
      <c r="J28" s="218">
        <v>0.72456428252486549</v>
      </c>
      <c r="K28" s="218">
        <v>0.68826996714081989</v>
      </c>
      <c r="L28" s="218">
        <v>0.68148687675112307</v>
      </c>
      <c r="M28" s="218">
        <v>0.68224384892739187</v>
      </c>
    </row>
    <row r="29" spans="2:26" x14ac:dyDescent="0.45">
      <c r="I29" s="153" t="s">
        <v>55</v>
      </c>
      <c r="J29" s="218">
        <v>0.25370733385472516</v>
      </c>
      <c r="K29" s="218">
        <v>0.29119910007564981</v>
      </c>
      <c r="L29" s="218">
        <v>0.2938615125739425</v>
      </c>
      <c r="M29" s="218">
        <v>0.28966035616330948</v>
      </c>
    </row>
    <row r="30" spans="2:26" s="64" customFormat="1" ht="15.75" x14ac:dyDescent="0.5">
      <c r="I30" s="153" t="s">
        <v>2</v>
      </c>
      <c r="J30" s="218">
        <v>2.172838362040927E-2</v>
      </c>
      <c r="K30" s="218">
        <v>2.0530932783530201E-2</v>
      </c>
      <c r="L30" s="218">
        <v>2.4651610674934342E-2</v>
      </c>
      <c r="M30" s="218">
        <v>2.8095794909298664E-2</v>
      </c>
    </row>
    <row r="31" spans="2:26" x14ac:dyDescent="0.45">
      <c r="J31">
        <f>SUM(J28:J30)</f>
        <v>0.99999999999999989</v>
      </c>
      <c r="K31">
        <f t="shared" ref="K31:M31" si="4">SUM(K28:K30)</f>
        <v>0.99999999999999989</v>
      </c>
      <c r="L31">
        <f t="shared" si="4"/>
        <v>1</v>
      </c>
      <c r="M31">
        <f t="shared" si="4"/>
        <v>1</v>
      </c>
    </row>
    <row r="32" spans="2:26" s="173" customFormat="1" ht="15.75" x14ac:dyDescent="0.45"/>
    <row r="33" spans="2:6" ht="15.75" x14ac:dyDescent="0.5">
      <c r="B33" s="167" t="s">
        <v>63</v>
      </c>
      <c r="C33" s="151">
        <v>2017</v>
      </c>
      <c r="D33" s="151">
        <v>2018</v>
      </c>
      <c r="E33" s="151">
        <v>2019</v>
      </c>
      <c r="F33" s="151" t="s">
        <v>86</v>
      </c>
    </row>
    <row r="34" spans="2:6" x14ac:dyDescent="0.45">
      <c r="B34" s="168" t="s">
        <v>54</v>
      </c>
      <c r="C34" s="154">
        <v>821</v>
      </c>
      <c r="D34" s="154">
        <v>642</v>
      </c>
      <c r="E34" s="154">
        <v>518</v>
      </c>
      <c r="F34" s="154">
        <v>578</v>
      </c>
    </row>
    <row r="35" spans="2:6" x14ac:dyDescent="0.45">
      <c r="B35" s="168" t="s">
        <v>55</v>
      </c>
      <c r="C35" s="154">
        <v>8455</v>
      </c>
      <c r="D35" s="154">
        <v>8860</v>
      </c>
      <c r="E35" s="154">
        <v>9211</v>
      </c>
      <c r="F35" s="154">
        <f>8044</f>
        <v>8044</v>
      </c>
    </row>
    <row r="36" spans="2:6" ht="15.75" x14ac:dyDescent="0.5">
      <c r="B36" s="159" t="s">
        <v>64</v>
      </c>
      <c r="C36" s="160">
        <f>SUM(C34:C35)</f>
        <v>9276</v>
      </c>
      <c r="D36" s="160">
        <f>SUM(D34:D35)</f>
        <v>9502</v>
      </c>
      <c r="E36" s="160">
        <f>SUM(E34:E35)</f>
        <v>9729</v>
      </c>
      <c r="F36" s="160">
        <f>SUM(F34:F35)</f>
        <v>8622</v>
      </c>
    </row>
    <row r="39" spans="2:6" ht="15.75" x14ac:dyDescent="0.5">
      <c r="B39" s="167" t="s">
        <v>90</v>
      </c>
      <c r="C39" s="151">
        <v>2017</v>
      </c>
      <c r="D39" s="151">
        <v>2018</v>
      </c>
      <c r="E39" s="151">
        <v>2019</v>
      </c>
      <c r="F39" s="151" t="s">
        <v>86</v>
      </c>
    </row>
    <row r="40" spans="2:6" x14ac:dyDescent="0.45">
      <c r="B40" s="153" t="s">
        <v>54</v>
      </c>
      <c r="C40" s="235">
        <v>846</v>
      </c>
      <c r="D40" s="235">
        <v>933</v>
      </c>
      <c r="E40" s="235">
        <v>1359</v>
      </c>
      <c r="F40" s="235">
        <v>1474</v>
      </c>
    </row>
    <row r="41" spans="2:6" x14ac:dyDescent="0.45">
      <c r="B41" s="153" t="s">
        <v>55</v>
      </c>
      <c r="C41" s="235">
        <v>0</v>
      </c>
      <c r="D41" s="235">
        <v>0</v>
      </c>
      <c r="E41" s="235">
        <v>0</v>
      </c>
      <c r="F41" s="235">
        <v>0</v>
      </c>
    </row>
    <row r="42" spans="2:6" x14ac:dyDescent="0.45">
      <c r="B42" s="153" t="s">
        <v>2</v>
      </c>
      <c r="C42" s="235">
        <v>0</v>
      </c>
      <c r="D42" s="235">
        <v>0</v>
      </c>
      <c r="E42" s="235">
        <v>0</v>
      </c>
      <c r="F42" s="235">
        <v>0</v>
      </c>
    </row>
    <row r="43" spans="2:6" ht="15.75" x14ac:dyDescent="0.5">
      <c r="B43" s="167" t="s">
        <v>15</v>
      </c>
      <c r="C43" s="160">
        <f>SUM(C40:C42)</f>
        <v>846</v>
      </c>
      <c r="D43" s="160">
        <f>SUM(D40:D42)</f>
        <v>933</v>
      </c>
      <c r="E43" s="160">
        <f>SUM(E40:E42)</f>
        <v>1359</v>
      </c>
      <c r="F43" s="160">
        <f>SUM(F40:F42)</f>
        <v>1474</v>
      </c>
    </row>
    <row r="46" spans="2:6" ht="15.75" x14ac:dyDescent="0.5">
      <c r="C46" s="151">
        <v>2017</v>
      </c>
      <c r="D46" s="151">
        <v>2018</v>
      </c>
      <c r="E46" s="151">
        <v>2019</v>
      </c>
      <c r="F46" s="151" t="s">
        <v>86</v>
      </c>
    </row>
    <row r="47" spans="2:6" ht="15.75" x14ac:dyDescent="0.45">
      <c r="B47" s="167" t="s">
        <v>89</v>
      </c>
      <c r="C47" s="154">
        <v>-1021.504</v>
      </c>
      <c r="D47" s="154">
        <v>-998</v>
      </c>
      <c r="E47" s="154">
        <v>-2285</v>
      </c>
      <c r="F47" s="154">
        <v>-2153</v>
      </c>
    </row>
    <row r="50" spans="2:33" ht="15.75" x14ac:dyDescent="0.5">
      <c r="AC50" s="64"/>
      <c r="AD50" s="64"/>
      <c r="AE50" s="64"/>
      <c r="AF50" s="64"/>
    </row>
    <row r="51" spans="2:33" ht="18" x14ac:dyDescent="0.55000000000000004">
      <c r="I51" s="315" t="s">
        <v>76</v>
      </c>
      <c r="J51" s="315"/>
      <c r="K51" s="315"/>
      <c r="L51" s="315"/>
      <c r="M51" s="315"/>
      <c r="O51" s="4"/>
      <c r="P51" s="230" t="s">
        <v>75</v>
      </c>
      <c r="Q51" s="231"/>
      <c r="R51" s="231"/>
      <c r="S51" s="231"/>
      <c r="AC51" s="64"/>
      <c r="AD51" s="64"/>
      <c r="AE51" s="64"/>
      <c r="AF51" s="64"/>
    </row>
    <row r="52" spans="2:33" ht="15.75" x14ac:dyDescent="0.5">
      <c r="AC52" s="64"/>
      <c r="AD52" s="64"/>
      <c r="AE52" s="64"/>
      <c r="AF52" s="64"/>
    </row>
    <row r="53" spans="2:33" ht="31.5" x14ac:dyDescent="0.5">
      <c r="C53" s="167">
        <v>2017</v>
      </c>
      <c r="D53" s="167">
        <v>2018</v>
      </c>
      <c r="E53" s="167">
        <v>2019</v>
      </c>
      <c r="F53" s="167" t="s">
        <v>86</v>
      </c>
      <c r="G53" s="249" t="s">
        <v>88</v>
      </c>
      <c r="J53" s="151">
        <v>2017</v>
      </c>
      <c r="K53" s="151">
        <v>2018</v>
      </c>
      <c r="L53" s="151">
        <v>2019</v>
      </c>
      <c r="M53" s="151" t="s">
        <v>86</v>
      </c>
      <c r="P53" s="151">
        <v>2017</v>
      </c>
      <c r="Q53" s="151">
        <v>2018</v>
      </c>
      <c r="R53" s="151">
        <v>2019</v>
      </c>
      <c r="S53" s="151" t="s">
        <v>86</v>
      </c>
      <c r="W53" s="12"/>
      <c r="X53" s="152">
        <v>2017</v>
      </c>
      <c r="Y53" s="152">
        <v>2018</v>
      </c>
      <c r="Z53" s="152">
        <v>2019</v>
      </c>
      <c r="AA53" s="224" t="s">
        <v>86</v>
      </c>
      <c r="AC53" s="64"/>
      <c r="AD53" s="64"/>
      <c r="AE53" s="64"/>
      <c r="AF53" s="64"/>
    </row>
    <row r="54" spans="2:33" ht="15.75" x14ac:dyDescent="0.5">
      <c r="B54" s="151" t="s">
        <v>65</v>
      </c>
      <c r="I54" s="151" t="s">
        <v>65</v>
      </c>
      <c r="O54" s="151" t="s">
        <v>65</v>
      </c>
      <c r="W54" s="21"/>
      <c r="X54" s="22"/>
      <c r="Y54" s="22"/>
      <c r="Z54" s="22"/>
      <c r="AA54" s="48"/>
      <c r="AC54" s="64"/>
      <c r="AD54" s="64"/>
      <c r="AE54" s="64"/>
      <c r="AF54" s="64"/>
    </row>
    <row r="55" spans="2:33" ht="15.75" x14ac:dyDescent="0.5">
      <c r="B55" t="s">
        <v>54</v>
      </c>
      <c r="C55" s="154">
        <v>34389.044606458046</v>
      </c>
      <c r="D55" s="154">
        <v>31424.911748910305</v>
      </c>
      <c r="E55" s="154">
        <v>29958.384041462727</v>
      </c>
      <c r="F55" s="154">
        <f>G55+1900</f>
        <v>28679</v>
      </c>
      <c r="G55" s="154">
        <v>26779</v>
      </c>
      <c r="I55" s="153" t="s">
        <v>54</v>
      </c>
      <c r="J55" s="179">
        <f>C$59*J$61</f>
        <v>341.21141170000624</v>
      </c>
      <c r="K55" s="179">
        <f>D$59*K$61</f>
        <v>646.40064379726766</v>
      </c>
      <c r="L55" s="179">
        <f>E$59*L$61</f>
        <v>1347.5762789619866</v>
      </c>
      <c r="M55" s="179">
        <f>F$59*M$61</f>
        <v>1840.0502656313854</v>
      </c>
      <c r="O55" s="153" t="s">
        <v>54</v>
      </c>
      <c r="P55" s="232">
        <f>IF($P$65=1,C55+J55,C55+J70)</f>
        <v>34437.877210074766</v>
      </c>
      <c r="Q55" s="232">
        <f>IF($P$65=1,D55+K55,D55+K70)</f>
        <v>31527.220690239938</v>
      </c>
      <c r="R55" s="232">
        <f>IF($P$65=1,E55+L55,E55+L70)</f>
        <v>30218.529597689219</v>
      </c>
      <c r="S55" s="232">
        <f>IF($P$65=1,F55+M55,F55+M70)</f>
        <v>29026.029828895335</v>
      </c>
      <c r="W55" s="155" t="s">
        <v>0</v>
      </c>
      <c r="X55" s="185">
        <f>(P55+P58)/1000</f>
        <v>37.34458944098386</v>
      </c>
      <c r="Y55" s="185">
        <f>(Q55+Q58)/1000</f>
        <v>33.53180832796324</v>
      </c>
      <c r="Z55" s="185">
        <f>(R55+R58)/1000</f>
        <v>32.72298943184478</v>
      </c>
      <c r="AA55" s="169">
        <f>(S55+S58)/1000</f>
        <v>32.005029828895331</v>
      </c>
      <c r="AC55" s="64"/>
      <c r="AD55" s="64"/>
      <c r="AE55" s="64"/>
      <c r="AF55" s="64"/>
    </row>
    <row r="56" spans="2:33" ht="15.75" x14ac:dyDescent="0.5">
      <c r="B56" t="s">
        <v>66</v>
      </c>
      <c r="C56" s="154">
        <v>2906.712230909091</v>
      </c>
      <c r="D56" s="154">
        <v>2004.5876377233019</v>
      </c>
      <c r="E56" s="154">
        <v>2504.4598341555611</v>
      </c>
      <c r="F56" s="154">
        <f>+G56</f>
        <v>2979</v>
      </c>
      <c r="G56" s="154">
        <v>2979</v>
      </c>
      <c r="I56" s="153" t="s">
        <v>55</v>
      </c>
      <c r="J56" s="179">
        <f>C$59*J$62</f>
        <v>43.571054105263741</v>
      </c>
      <c r="K56" s="179">
        <f>D$59*K$62</f>
        <v>101.03965160141786</v>
      </c>
      <c r="L56" s="179">
        <f>E$59*L$62</f>
        <v>212.76354219923104</v>
      </c>
      <c r="M56" s="179">
        <f>F$59*M$62</f>
        <v>243.74458520637518</v>
      </c>
      <c r="O56" s="153" t="s">
        <v>55</v>
      </c>
      <c r="P56" s="232">
        <f>IF($P$65=1,C58+J56,C58+J71)</f>
        <v>4775.4827856050151</v>
      </c>
      <c r="Q56" s="232">
        <f>IF($P$65=1,D58+K56,D58+K71)</f>
        <v>5678.7563005345664</v>
      </c>
      <c r="R56" s="232">
        <f>IF($P$65=1,E58+L56,E58+L71)</f>
        <v>6353.8663968900619</v>
      </c>
      <c r="S56" s="232">
        <f>IF($P$65=1,F58+M56,F58+M71)</f>
        <v>5963.9701711046673</v>
      </c>
      <c r="W56" s="155" t="s">
        <v>1</v>
      </c>
      <c r="X56" s="185">
        <f t="shared" ref="X56:Z57" si="5">+P56/1000</f>
        <v>4.775482785605015</v>
      </c>
      <c r="Y56" s="185">
        <f t="shared" si="5"/>
        <v>5.678756300534566</v>
      </c>
      <c r="Z56" s="185">
        <f t="shared" si="5"/>
        <v>6.3538663968900622</v>
      </c>
      <c r="AA56" s="169">
        <f>+S56/1000</f>
        <v>5.9639701711046671</v>
      </c>
      <c r="AC56" s="64"/>
      <c r="AD56" s="64"/>
      <c r="AE56" s="64"/>
      <c r="AF56" s="64"/>
    </row>
    <row r="57" spans="2:33" ht="15" customHeight="1" x14ac:dyDescent="0.5">
      <c r="B57" t="s">
        <v>2</v>
      </c>
      <c r="C57" s="154">
        <v>4859.6115996666667</v>
      </c>
      <c r="D57" s="154">
        <v>5909.6522040562777</v>
      </c>
      <c r="E57" s="154">
        <v>7195.389298518714</v>
      </c>
      <c r="F57" s="154">
        <f t="shared" ref="F57:F60" si="6">+G57</f>
        <v>6674</v>
      </c>
      <c r="G57" s="154">
        <v>6674</v>
      </c>
      <c r="I57" s="153" t="s">
        <v>2</v>
      </c>
      <c r="J57" s="179">
        <f>C$59*J$63</f>
        <v>48.217534194730078</v>
      </c>
      <c r="K57" s="179">
        <f>D$59*K$63</f>
        <v>121.55970460131464</v>
      </c>
      <c r="L57" s="179">
        <f>E$59*L$63</f>
        <v>323.66017883878231</v>
      </c>
      <c r="M57" s="179">
        <f>F$59*M$63</f>
        <v>428.20514916223948</v>
      </c>
      <c r="O57" s="153" t="s">
        <v>2</v>
      </c>
      <c r="P57" s="232">
        <f>IF($P$65=1,C57+J57,C57+J72)</f>
        <v>4859.6115996666667</v>
      </c>
      <c r="Q57" s="232">
        <f>IF($P$65=1,D57+K57,D57+K72)</f>
        <v>5909.6522040562777</v>
      </c>
      <c r="R57" s="232">
        <f>IF($P$65=1,E57+L57,E57+L72)</f>
        <v>7195.389298518714</v>
      </c>
      <c r="S57" s="232">
        <f>IF($P$65=1,F57+M57,F57+M72)</f>
        <v>6674</v>
      </c>
      <c r="W57" s="155" t="s">
        <v>2</v>
      </c>
      <c r="X57" s="185">
        <f t="shared" si="5"/>
        <v>4.8596115996666667</v>
      </c>
      <c r="Y57" s="185">
        <f t="shared" si="5"/>
        <v>5.909652204056278</v>
      </c>
      <c r="Z57" s="185">
        <f t="shared" si="5"/>
        <v>7.1953892985187142</v>
      </c>
      <c r="AA57" s="169">
        <f>+S57/1000</f>
        <v>6.6740000000000004</v>
      </c>
      <c r="AC57" s="64"/>
      <c r="AD57" s="64"/>
      <c r="AE57" s="64"/>
      <c r="AF57" s="64"/>
      <c r="AG57" s="64"/>
    </row>
    <row r="58" spans="2:33" ht="15.75" x14ac:dyDescent="0.5">
      <c r="B58" t="s">
        <v>67</v>
      </c>
      <c r="C58" s="154">
        <v>4391.3153892217388</v>
      </c>
      <c r="D58" s="154">
        <v>4912.0652418642003</v>
      </c>
      <c r="E58" s="154">
        <v>4730.0119531165537</v>
      </c>
      <c r="F58" s="154">
        <f t="shared" si="6"/>
        <v>3799</v>
      </c>
      <c r="G58" s="154">
        <v>3799</v>
      </c>
      <c r="O58" t="s">
        <v>66</v>
      </c>
      <c r="P58" s="232">
        <f>C56</f>
        <v>2906.712230909091</v>
      </c>
      <c r="Q58" s="232">
        <f>D56</f>
        <v>2004.5876377233019</v>
      </c>
      <c r="R58" s="232">
        <f>E56</f>
        <v>2504.4598341555611</v>
      </c>
      <c r="S58" s="232">
        <f>F56</f>
        <v>2979</v>
      </c>
      <c r="W58" s="155"/>
      <c r="X58" s="185"/>
      <c r="Y58" s="185"/>
      <c r="Z58" s="185"/>
      <c r="AA58" s="169"/>
      <c r="AC58" s="64"/>
      <c r="AD58" s="64"/>
      <c r="AE58" s="64"/>
      <c r="AF58" s="64"/>
      <c r="AG58" s="64"/>
    </row>
    <row r="59" spans="2:33" ht="15.75" customHeight="1" x14ac:dyDescent="0.5">
      <c r="B59" t="s">
        <v>56</v>
      </c>
      <c r="C59" s="154">
        <v>433</v>
      </c>
      <c r="D59" s="154">
        <v>869</v>
      </c>
      <c r="E59" s="154">
        <v>1884</v>
      </c>
      <c r="F59" s="154">
        <f t="shared" si="6"/>
        <v>2512</v>
      </c>
      <c r="G59" s="154">
        <v>2512</v>
      </c>
      <c r="O59" s="153" t="s">
        <v>61</v>
      </c>
      <c r="P59" s="232">
        <f>C60</f>
        <v>7197.1531739122547</v>
      </c>
      <c r="Q59" s="232">
        <f>D60</f>
        <v>8010.9264619554451</v>
      </c>
      <c r="R59" s="232">
        <f>E60</f>
        <v>7642.581553285273</v>
      </c>
      <c r="S59" s="232">
        <f>F60</f>
        <v>9307</v>
      </c>
      <c r="W59" s="223" t="s">
        <v>59</v>
      </c>
      <c r="X59" s="186">
        <f>+P59/1000</f>
        <v>7.1971531739122545</v>
      </c>
      <c r="Y59" s="186">
        <f>+Q59/1000</f>
        <v>8.0109264619554459</v>
      </c>
      <c r="Z59" s="186">
        <f>+R59/1000</f>
        <v>7.6425815532852734</v>
      </c>
      <c r="AA59" s="170">
        <f>+S59/1000</f>
        <v>9.3070000000000004</v>
      </c>
      <c r="AC59" s="64"/>
      <c r="AD59" s="64"/>
      <c r="AE59" s="64"/>
      <c r="AF59" s="64"/>
      <c r="AG59" s="64"/>
    </row>
    <row r="60" spans="2:33" ht="15.75" x14ac:dyDescent="0.5">
      <c r="B60" t="s">
        <v>61</v>
      </c>
      <c r="C60" s="154">
        <v>7197.1531739122547</v>
      </c>
      <c r="D60" s="154">
        <v>8010.9264619554451</v>
      </c>
      <c r="E60" s="154">
        <v>7642.581553285273</v>
      </c>
      <c r="F60" s="154">
        <f t="shared" si="6"/>
        <v>9307</v>
      </c>
      <c r="G60" s="154">
        <v>9307</v>
      </c>
      <c r="I60" s="179" t="s">
        <v>73</v>
      </c>
      <c r="J60" s="151">
        <v>2017</v>
      </c>
      <c r="K60" s="151">
        <v>2018</v>
      </c>
      <c r="L60" s="151">
        <v>2019</v>
      </c>
      <c r="M60" s="151" t="s">
        <v>86</v>
      </c>
      <c r="O60" s="153"/>
      <c r="W60" s="223"/>
      <c r="X60" s="22"/>
      <c r="Y60" s="22"/>
      <c r="Z60" s="22"/>
      <c r="AA60" s="48"/>
      <c r="AC60" s="64"/>
      <c r="AD60" s="64"/>
      <c r="AE60" s="64"/>
      <c r="AF60" s="64"/>
      <c r="AG60" s="64"/>
    </row>
    <row r="61" spans="2:33" ht="15.75" x14ac:dyDescent="0.5">
      <c r="B61" s="3" t="s">
        <v>68</v>
      </c>
      <c r="C61" s="160">
        <f>SUM(C55:C60)</f>
        <v>54176.837000167798</v>
      </c>
      <c r="D61" s="160">
        <f t="shared" ref="D61:E61" si="7">SUM(D55:D60)</f>
        <v>53131.143294509529</v>
      </c>
      <c r="E61" s="160">
        <f t="shared" si="7"/>
        <v>53914.826680538827</v>
      </c>
      <c r="F61" s="160">
        <f>SUM(F55:F60)</f>
        <v>53950</v>
      </c>
      <c r="G61" s="160">
        <f>SUM(G55:G60)</f>
        <v>52050</v>
      </c>
      <c r="I61" s="153" t="s">
        <v>54</v>
      </c>
      <c r="J61" s="218">
        <f>(C55)/SUM($C$55,$C$57,$C$58)</f>
        <v>0.78801711709008371</v>
      </c>
      <c r="K61" s="218">
        <f>(D55)/SUM($D$55,$D57,$D$58)</f>
        <v>0.74384423912228725</v>
      </c>
      <c r="L61" s="218">
        <f>(E55)/SUM($E$55,$E$57,$E$58)</f>
        <v>0.7152740334193135</v>
      </c>
      <c r="M61" s="218">
        <f>(F55)/SUM($F$55,$F$57,$F$58)</f>
        <v>0.73250408663669797</v>
      </c>
      <c r="O61" s="153"/>
      <c r="W61" s="171" t="str">
        <f>+B61</f>
        <v>Total Altares BNL</v>
      </c>
      <c r="X61" s="172">
        <f>SUM(X55:X59)</f>
        <v>54.176837000167794</v>
      </c>
      <c r="Y61" s="172">
        <f>SUM(Y55:Y59)</f>
        <v>53.131143294509528</v>
      </c>
      <c r="Z61" s="172">
        <f>SUM(Z55:Z59)</f>
        <v>53.91482668053883</v>
      </c>
      <c r="AA61" s="172">
        <f>SUM(AA55:AA59)</f>
        <v>53.95</v>
      </c>
      <c r="AD61" s="64"/>
      <c r="AE61" s="64"/>
      <c r="AF61" s="64"/>
      <c r="AG61" s="64"/>
    </row>
    <row r="62" spans="2:33" ht="15.75" x14ac:dyDescent="0.5">
      <c r="I62" s="153" t="s">
        <v>55</v>
      </c>
      <c r="J62" s="218">
        <f>(C58)/SUM($C$55,$C$57,$C$58)</f>
        <v>0.10062599100522804</v>
      </c>
      <c r="K62" s="218">
        <f>(D58)/SUM($D$55,$D57,$D$58)</f>
        <v>0.1162711756057743</v>
      </c>
      <c r="L62" s="218">
        <f>(E58)/SUM($E$55,$E$57,$E$58)</f>
        <v>0.11293181645394429</v>
      </c>
      <c r="M62" s="218">
        <f>(F58)/SUM($F$55,$F$57,$F$58)</f>
        <v>9.7032080098079287E-2</v>
      </c>
      <c r="O62" s="153"/>
      <c r="X62" s="2"/>
      <c r="Y62" s="2"/>
      <c r="Z62" s="2"/>
      <c r="AD62" s="64"/>
      <c r="AE62" s="64"/>
      <c r="AF62" s="64"/>
      <c r="AG62" s="64"/>
    </row>
    <row r="63" spans="2:33" ht="16.149999999999999" thickBot="1" x14ac:dyDescent="0.55000000000000004">
      <c r="I63" s="153" t="s">
        <v>2</v>
      </c>
      <c r="J63" s="218">
        <f>(C57)/SUM($C$55,$C$57,$C$58)</f>
        <v>0.11135689190468841</v>
      </c>
      <c r="K63" s="218">
        <f>(D57)/SUM($D$55,$D58,$D$57)</f>
        <v>0.13988458527193859</v>
      </c>
      <c r="L63" s="218">
        <f t="shared" ref="L63" si="8">(E57)/SUM($E$55,$E$57,$E$58)</f>
        <v>0.17179415012674221</v>
      </c>
      <c r="M63" s="218">
        <f t="shared" ref="M63" si="9">(F57)/SUM($F$55,$F$57,$F$58)</f>
        <v>0.17046383326522271</v>
      </c>
      <c r="O63" s="151" t="s">
        <v>65</v>
      </c>
      <c r="P63" s="160">
        <f>SUM(P55:P62)</f>
        <v>54176.837000167798</v>
      </c>
      <c r="Q63" s="160">
        <f>SUM(Q55:Q62)</f>
        <v>53131.143294509529</v>
      </c>
      <c r="R63" s="160">
        <f>SUM(R55:R62)</f>
        <v>53914.826680538827</v>
      </c>
      <c r="S63" s="160">
        <f>SUM(S55:S62)</f>
        <v>53950</v>
      </c>
      <c r="AD63" s="64"/>
      <c r="AE63" s="64"/>
      <c r="AF63" s="64"/>
      <c r="AG63" s="64"/>
    </row>
    <row r="64" spans="2:33" ht="16.149999999999999" thickBot="1" x14ac:dyDescent="0.55000000000000004">
      <c r="B64" s="70"/>
      <c r="C64" s="251"/>
      <c r="D64" s="251"/>
      <c r="E64" s="251"/>
      <c r="F64" s="251"/>
      <c r="G64" s="73"/>
      <c r="I64" s="64"/>
      <c r="J64" s="64">
        <f>SUM(J61:J63)</f>
        <v>1.0000000000000002</v>
      </c>
      <c r="K64" s="64">
        <f>SUM(K61:K63)</f>
        <v>1</v>
      </c>
      <c r="L64" s="64">
        <f>SUM(L61:L63)</f>
        <v>1</v>
      </c>
      <c r="M64" s="64">
        <f>SUM(M61:M63)</f>
        <v>1</v>
      </c>
      <c r="O64" s="64"/>
      <c r="P64" s="64"/>
      <c r="Q64" s="64"/>
      <c r="R64" s="64"/>
      <c r="S64" s="64"/>
      <c r="W64" s="12"/>
      <c r="X64" s="152">
        <v>2017</v>
      </c>
      <c r="Y64" s="152">
        <v>2018</v>
      </c>
      <c r="Z64" s="152">
        <v>2019</v>
      </c>
      <c r="AA64" s="224" t="s">
        <v>86</v>
      </c>
      <c r="AD64" s="64"/>
      <c r="AE64" s="64"/>
      <c r="AF64" s="64"/>
      <c r="AG64" s="64"/>
    </row>
    <row r="65" spans="2:33" ht="16.149999999999999" thickBot="1" x14ac:dyDescent="0.55000000000000004">
      <c r="B65" s="252" t="s">
        <v>95</v>
      </c>
      <c r="C65" s="253">
        <f>+C61+C43+C47+C36+C16</f>
        <v>114899.0774201678</v>
      </c>
      <c r="D65" s="253">
        <f t="shared" ref="D65:F65" si="10">+D61+D43+D47+D36+D16</f>
        <v>113098.14329450953</v>
      </c>
      <c r="E65" s="253">
        <f t="shared" si="10"/>
        <v>115582.68399053883</v>
      </c>
      <c r="F65" s="253">
        <f t="shared" si="10"/>
        <v>115157.64284805214</v>
      </c>
      <c r="G65" s="254"/>
      <c r="O65" s="193" t="s">
        <v>78</v>
      </c>
      <c r="P65" s="194">
        <v>2</v>
      </c>
      <c r="W65" s="21"/>
      <c r="X65" s="22"/>
      <c r="Y65" s="22"/>
      <c r="Z65" s="22"/>
      <c r="AA65" s="48"/>
      <c r="AD65" s="64"/>
      <c r="AE65" s="64"/>
      <c r="AF65" s="64"/>
      <c r="AG65" s="64"/>
    </row>
    <row r="66" spans="2:33" ht="18.399999999999999" thickBot="1" x14ac:dyDescent="0.6">
      <c r="B66" s="76"/>
      <c r="C66" s="77"/>
      <c r="D66" s="77"/>
      <c r="E66" s="77"/>
      <c r="F66" s="255"/>
      <c r="G66" s="79"/>
      <c r="I66" s="315" t="s">
        <v>77</v>
      </c>
      <c r="J66" s="315"/>
      <c r="K66" s="315"/>
      <c r="L66" s="315"/>
      <c r="M66" s="315"/>
      <c r="W66" s="155" t="s">
        <v>91</v>
      </c>
      <c r="X66" s="22"/>
      <c r="Y66" s="22"/>
      <c r="Z66" s="22"/>
      <c r="AA66" s="48"/>
      <c r="AD66" s="64"/>
      <c r="AE66" s="64"/>
      <c r="AF66" s="64"/>
      <c r="AG66" s="64"/>
    </row>
    <row r="67" spans="2:33" ht="15.75" x14ac:dyDescent="0.5">
      <c r="W67" s="157" t="s">
        <v>54</v>
      </c>
      <c r="X67" s="22">
        <f>C40/1000</f>
        <v>0.84599999999999997</v>
      </c>
      <c r="Y67" s="22">
        <f>D40/1000</f>
        <v>0.93300000000000005</v>
      </c>
      <c r="Z67" s="22">
        <f>E40/1000</f>
        <v>1.359</v>
      </c>
      <c r="AA67" s="48">
        <f>F40/1000</f>
        <v>1.474</v>
      </c>
      <c r="AD67" s="64"/>
      <c r="AE67" s="64"/>
      <c r="AF67" s="64"/>
      <c r="AG67" s="64"/>
    </row>
    <row r="68" spans="2:33" ht="15.75" x14ac:dyDescent="0.5">
      <c r="C68" s="228"/>
      <c r="D68" s="228"/>
      <c r="E68" s="228"/>
      <c r="F68" s="228"/>
      <c r="J68" s="151">
        <v>2017</v>
      </c>
      <c r="K68" s="151">
        <v>2018</v>
      </c>
      <c r="L68" s="151">
        <v>2019</v>
      </c>
      <c r="M68" s="151" t="s">
        <v>86</v>
      </c>
      <c r="W68" s="157" t="s">
        <v>55</v>
      </c>
      <c r="X68" s="22">
        <f t="shared" ref="X68:X69" si="11">C41/1000</f>
        <v>0</v>
      </c>
      <c r="Y68" s="22">
        <f t="shared" ref="Y68:Y69" si="12">D41/1000</f>
        <v>0</v>
      </c>
      <c r="Z68" s="22">
        <f t="shared" ref="Z68:Z69" si="13">E41/1000</f>
        <v>0</v>
      </c>
      <c r="AA68" s="48">
        <f t="shared" ref="AA68:AA69" si="14">F41/1000</f>
        <v>0</v>
      </c>
      <c r="AD68" s="64"/>
      <c r="AE68" s="64"/>
      <c r="AF68" s="64"/>
      <c r="AG68" s="64"/>
    </row>
    <row r="69" spans="2:33" ht="15.75" x14ac:dyDescent="0.5">
      <c r="I69" s="151" t="s">
        <v>65</v>
      </c>
      <c r="W69" s="157" t="s">
        <v>2</v>
      </c>
      <c r="X69" s="22">
        <f t="shared" si="11"/>
        <v>0</v>
      </c>
      <c r="Y69" s="22">
        <f t="shared" si="12"/>
        <v>0</v>
      </c>
      <c r="Z69" s="22">
        <f t="shared" si="13"/>
        <v>0</v>
      </c>
      <c r="AA69" s="48">
        <f t="shared" si="14"/>
        <v>0</v>
      </c>
      <c r="AD69" s="64"/>
      <c r="AE69" s="64"/>
      <c r="AF69" s="64"/>
      <c r="AG69" s="64"/>
    </row>
    <row r="70" spans="2:33" ht="15.75" x14ac:dyDescent="0.5">
      <c r="I70" s="153" t="s">
        <v>54</v>
      </c>
      <c r="J70" s="179">
        <f>$C$59*J76</f>
        <v>48.832603616723624</v>
      </c>
      <c r="K70" s="179">
        <f>$D$59*K76</f>
        <v>102.30894132963404</v>
      </c>
      <c r="L70" s="179">
        <f>$E$59*L76</f>
        <v>260.14555622649135</v>
      </c>
      <c r="M70" s="179">
        <f>$F$59*M76</f>
        <v>347.02982889533314</v>
      </c>
      <c r="W70" s="245" t="s">
        <v>93</v>
      </c>
      <c r="X70" s="22">
        <f>SUM(X67:X69)</f>
        <v>0.84599999999999997</v>
      </c>
      <c r="Y70" s="22">
        <f t="shared" ref="Y70:AA70" si="15">SUM(Y67:Y69)</f>
        <v>0.93300000000000005</v>
      </c>
      <c r="Z70" s="22">
        <f t="shared" si="15"/>
        <v>1.359</v>
      </c>
      <c r="AA70" s="48">
        <f t="shared" si="15"/>
        <v>1.474</v>
      </c>
      <c r="AD70" s="64"/>
      <c r="AE70" s="64"/>
      <c r="AF70" s="64"/>
      <c r="AG70" s="64"/>
    </row>
    <row r="71" spans="2:33" x14ac:dyDescent="0.45">
      <c r="I71" s="153" t="s">
        <v>55</v>
      </c>
      <c r="J71" s="179">
        <f t="shared" ref="J71" si="16">$C$59*J77</f>
        <v>384.16739638327647</v>
      </c>
      <c r="K71" s="179">
        <f t="shared" ref="K71:K72" si="17">$D$59*K77</f>
        <v>766.69105867036592</v>
      </c>
      <c r="L71" s="179">
        <f t="shared" ref="L71:L72" si="18">$E$59*L77</f>
        <v>1623.8544437735086</v>
      </c>
      <c r="M71" s="179">
        <f t="shared" ref="M71:M72" si="19">$F$59*M77</f>
        <v>2164.9701711046669</v>
      </c>
      <c r="W71" s="21"/>
      <c r="X71" s="22"/>
      <c r="Y71" s="22"/>
      <c r="Z71" s="22"/>
      <c r="AA71" s="48"/>
    </row>
    <row r="72" spans="2:33" x14ac:dyDescent="0.45">
      <c r="I72" s="153" t="s">
        <v>2</v>
      </c>
      <c r="J72" s="179">
        <f>$C$59*J78</f>
        <v>0</v>
      </c>
      <c r="K72" s="179">
        <f t="shared" si="17"/>
        <v>0</v>
      </c>
      <c r="L72" s="179">
        <f t="shared" si="18"/>
        <v>0</v>
      </c>
      <c r="M72" s="179">
        <f t="shared" si="19"/>
        <v>0</v>
      </c>
      <c r="W72" s="155" t="s">
        <v>89</v>
      </c>
      <c r="X72" s="22">
        <f>C47/1000</f>
        <v>-1.021504</v>
      </c>
      <c r="Y72" s="22">
        <f>D47/1000</f>
        <v>-0.998</v>
      </c>
      <c r="Z72" s="22">
        <f>E47/1000</f>
        <v>-2.2850000000000001</v>
      </c>
      <c r="AA72" s="48">
        <f>F47/1000</f>
        <v>-2.153</v>
      </c>
    </row>
    <row r="73" spans="2:33" x14ac:dyDescent="0.45">
      <c r="W73" s="26"/>
      <c r="X73" s="5"/>
      <c r="Y73" s="5"/>
      <c r="Z73" s="5"/>
      <c r="AA73" s="50"/>
    </row>
    <row r="75" spans="2:33" ht="16.149999999999999" thickBot="1" x14ac:dyDescent="0.55000000000000004">
      <c r="I75" s="179" t="s">
        <v>73</v>
      </c>
      <c r="J75" s="151">
        <v>2017</v>
      </c>
      <c r="K75" s="151">
        <v>2018</v>
      </c>
      <c r="L75" s="151" t="s">
        <v>71</v>
      </c>
      <c r="M75" s="151" t="s">
        <v>72</v>
      </c>
    </row>
    <row r="76" spans="2:33" ht="16.149999999999999" thickBot="1" x14ac:dyDescent="0.5">
      <c r="I76" s="153" t="s">
        <v>54</v>
      </c>
      <c r="J76" s="218">
        <v>0.11277737555825318</v>
      </c>
      <c r="K76" s="218">
        <v>0.11773180820441201</v>
      </c>
      <c r="L76" s="218">
        <v>0.13808150542807396</v>
      </c>
      <c r="M76" s="218">
        <v>0.13814881723540332</v>
      </c>
      <c r="W76" s="174" t="s">
        <v>69</v>
      </c>
      <c r="X76" s="175">
        <f>+X61+X16+X70+X72</f>
        <v>114.8990774201678</v>
      </c>
      <c r="Y76" s="175">
        <f t="shared" ref="Y76:AA76" si="20">+Y61+Y16+Y70+Y72</f>
        <v>113.09814329450954</v>
      </c>
      <c r="Z76" s="175">
        <f t="shared" si="20"/>
        <v>115.58268399053883</v>
      </c>
      <c r="AA76" s="176">
        <f t="shared" si="20"/>
        <v>115.15764284805215</v>
      </c>
    </row>
    <row r="77" spans="2:33" x14ac:dyDescent="0.45">
      <c r="I77" s="153" t="s">
        <v>55</v>
      </c>
      <c r="J77" s="218">
        <v>0.88722262444174704</v>
      </c>
      <c r="K77" s="218">
        <v>0.88226819179558791</v>
      </c>
      <c r="L77" s="218">
        <v>0.86191849457192604</v>
      </c>
      <c r="M77" s="218">
        <v>0.86185118276459671</v>
      </c>
      <c r="W77" s="177" t="s">
        <v>70</v>
      </c>
      <c r="X77" s="2"/>
      <c r="Y77" s="2"/>
      <c r="Z77" s="11"/>
    </row>
    <row r="78" spans="2:33" x14ac:dyDescent="0.45">
      <c r="I78" s="153" t="s">
        <v>2</v>
      </c>
      <c r="J78" s="218">
        <v>0</v>
      </c>
      <c r="K78" s="218">
        <v>0</v>
      </c>
      <c r="L78" s="218">
        <v>0</v>
      </c>
      <c r="M78" s="218">
        <v>0</v>
      </c>
    </row>
  </sheetData>
  <mergeCells count="8">
    <mergeCell ref="I51:M51"/>
    <mergeCell ref="I66:M66"/>
    <mergeCell ref="W2:Z2"/>
    <mergeCell ref="B3:E3"/>
    <mergeCell ref="W3:Z3"/>
    <mergeCell ref="W12:W13"/>
    <mergeCell ref="I3:M3"/>
    <mergeCell ref="I18:M18"/>
  </mergeCells>
  <dataValidations disablePrompts="1" count="1">
    <dataValidation type="list" allowBlank="1" showInputMessage="1" showErrorMessage="1" sqref="P17 P65" xr:uid="{00000000-0002-0000-0500-000000000000}">
      <formula1>"1,2"</formula1>
    </dataValidation>
  </dataValidations>
  <pageMargins left="0.7" right="0.7" top="0.75" bottom="0.75" header="0.3" footer="0.3"/>
  <ignoredErrors>
    <ignoredError sqref="J62:N62" formula="1"/>
    <ignoredError sqref="J31:M31 C36:F45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2:V40"/>
  <sheetViews>
    <sheetView zoomScale="85" zoomScaleNormal="85" workbookViewId="0">
      <selection activeCell="W37" sqref="W37"/>
    </sheetView>
  </sheetViews>
  <sheetFormatPr baseColWidth="10" defaultColWidth="9.265625" defaultRowHeight="14.25" x14ac:dyDescent="0.45"/>
  <cols>
    <col min="1" max="1" width="20.265625" customWidth="1"/>
    <col min="2" max="2" width="22.1328125" customWidth="1"/>
    <col min="3" max="5" width="11.1328125" customWidth="1"/>
    <col min="6" max="9" width="9.73046875" bestFit="1" customWidth="1"/>
    <col min="10" max="11" width="9.73046875" customWidth="1"/>
    <col min="13" max="13" width="15.3984375" customWidth="1"/>
    <col min="14" max="14" width="14.265625" customWidth="1"/>
    <col min="15" max="15" width="10.265625" customWidth="1"/>
    <col min="16" max="16" width="12" bestFit="1" customWidth="1"/>
    <col min="17" max="17" width="17.265625" bestFit="1" customWidth="1"/>
    <col min="21" max="21" width="11.73046875" bestFit="1" customWidth="1"/>
    <col min="22" max="22" width="17.265625" bestFit="1" customWidth="1"/>
  </cols>
  <sheetData>
    <row r="2" spans="1:22" ht="14.65" thickBot="1" x14ac:dyDescent="0.5">
      <c r="A2" s="196" t="s">
        <v>80</v>
      </c>
    </row>
    <row r="3" spans="1:22" x14ac:dyDescent="0.45">
      <c r="C3" s="54">
        <v>2017</v>
      </c>
      <c r="D3" s="54">
        <v>2018</v>
      </c>
      <c r="E3" s="54">
        <v>2019</v>
      </c>
      <c r="F3" s="54">
        <v>2020</v>
      </c>
      <c r="G3" s="54">
        <v>2021</v>
      </c>
      <c r="H3" s="54">
        <v>2022</v>
      </c>
      <c r="I3" s="54">
        <v>2023</v>
      </c>
      <c r="J3" s="54">
        <v>2024</v>
      </c>
      <c r="K3" s="54">
        <v>2025</v>
      </c>
      <c r="L3" s="54"/>
      <c r="M3" s="205" t="s">
        <v>83</v>
      </c>
      <c r="N3" s="206" t="s">
        <v>110</v>
      </c>
    </row>
    <row r="4" spans="1:22" ht="15.75" x14ac:dyDescent="0.45">
      <c r="A4" s="324" t="s">
        <v>79</v>
      </c>
      <c r="B4" s="198" t="s">
        <v>28</v>
      </c>
      <c r="C4" s="195">
        <f>'BP France'!C8</f>
        <v>191.39999999999998</v>
      </c>
      <c r="D4" s="195">
        <f>'BP France'!E8</f>
        <v>187.95479999999998</v>
      </c>
      <c r="E4" s="195">
        <f>'BP France'!G8</f>
        <v>185</v>
      </c>
      <c r="F4" s="195">
        <f>'BP France'!I8</f>
        <v>181.29999999999998</v>
      </c>
      <c r="G4" s="195">
        <f>'BP France'!K8</f>
        <v>180.39349999999999</v>
      </c>
      <c r="H4" s="195">
        <f>'BP France'!M8</f>
        <v>178.22877799999998</v>
      </c>
      <c r="I4" s="195">
        <f>'BP France'!O8</f>
        <v>176.09003266399998</v>
      </c>
      <c r="J4" s="195">
        <f>'BP France'!Q8</f>
        <v>173.97695227203198</v>
      </c>
      <c r="K4" s="195">
        <f>'BP France'!S8</f>
        <v>171.88922884476759</v>
      </c>
      <c r="L4" s="195"/>
      <c r="M4" s="201">
        <f>(F4/C4)^(1/($F$3-$C$3))-1</f>
        <v>-1.7908489498524638E-2</v>
      </c>
      <c r="N4" s="202">
        <f>(K4/F4)^(1/($K$3-$F$3))-1</f>
        <v>-1.0603950828173114E-2</v>
      </c>
      <c r="Q4" s="118"/>
    </row>
    <row r="5" spans="1:22" ht="15.75" x14ac:dyDescent="0.45">
      <c r="A5" s="324"/>
      <c r="B5" s="198" t="s">
        <v>1</v>
      </c>
      <c r="C5" s="195">
        <f>'BP France'!C9</f>
        <v>69.3</v>
      </c>
      <c r="D5" s="195">
        <f>'BP France'!E9</f>
        <v>76.923000000000002</v>
      </c>
      <c r="E5" s="195">
        <f>'BP France'!G9</f>
        <v>85</v>
      </c>
      <c r="F5" s="195">
        <f>'BP France'!I9</f>
        <v>76.5</v>
      </c>
      <c r="G5" s="195">
        <f>'BP France'!K9</f>
        <v>81.855000000000004</v>
      </c>
      <c r="H5" s="195">
        <f>'BP France'!M9</f>
        <v>86.766300000000015</v>
      </c>
      <c r="I5" s="195">
        <f>'BP France'!O9</f>
        <v>91.972278000000017</v>
      </c>
      <c r="J5" s="195">
        <f>'BP France'!Q9</f>
        <v>97.490614680000022</v>
      </c>
      <c r="K5" s="195">
        <f>'BP France'!S9</f>
        <v>103.34005156080003</v>
      </c>
      <c r="L5" s="195"/>
      <c r="M5" s="201">
        <f t="shared" ref="M5:M9" si="0">(F5/C5)^(1/($F$3-$C$3))-1</f>
        <v>3.3497428041154853E-2</v>
      </c>
      <c r="N5" s="202">
        <f t="shared" ref="N5:N6" si="1">(K5/F5)^(1/($K$3-$F$3))-1</f>
        <v>6.199249526991335E-2</v>
      </c>
      <c r="Q5" s="118"/>
    </row>
    <row r="6" spans="1:22" ht="15.75" x14ac:dyDescent="0.45">
      <c r="A6" s="324"/>
      <c r="B6" s="198" t="s">
        <v>2</v>
      </c>
      <c r="C6" s="195">
        <f>'BP France'!C10</f>
        <v>8.8000000000000007</v>
      </c>
      <c r="D6" s="195">
        <f>'BP France'!E10</f>
        <v>12.6</v>
      </c>
      <c r="E6" s="195">
        <f>'BP France'!G10</f>
        <v>16.5</v>
      </c>
      <c r="F6" s="195">
        <f>'BP France'!I10</f>
        <v>20.179500000000001</v>
      </c>
      <c r="G6" s="195">
        <f>'BP France'!K10</f>
        <v>23.589835500000003</v>
      </c>
      <c r="H6" s="195">
        <f>'BP France'!M10</f>
        <v>26.727283621500003</v>
      </c>
      <c r="I6" s="195">
        <f>'BP France'!O10</f>
        <v>29.560375685379007</v>
      </c>
      <c r="J6" s="195">
        <f>'BP France'!Q10</f>
        <v>32.073007618636225</v>
      </c>
      <c r="K6" s="195">
        <f>'BP France'!S10</f>
        <v>34.253972136703489</v>
      </c>
      <c r="L6" s="195"/>
      <c r="M6" s="201">
        <f t="shared" si="0"/>
        <v>0.31868958566627437</v>
      </c>
      <c r="N6" s="202">
        <f t="shared" si="1"/>
        <v>0.11162961358192791</v>
      </c>
      <c r="Q6" s="118"/>
    </row>
    <row r="7" spans="1:22" x14ac:dyDescent="0.45">
      <c r="B7" s="54"/>
      <c r="M7" s="207"/>
      <c r="N7" s="208"/>
    </row>
    <row r="8" spans="1:22" ht="15.75" x14ac:dyDescent="0.45">
      <c r="A8" s="325" t="s">
        <v>81</v>
      </c>
      <c r="B8" s="198" t="s">
        <v>28</v>
      </c>
      <c r="C8" s="195">
        <f>'BP France'!C25</f>
        <v>34.925578940511635</v>
      </c>
      <c r="D8" s="195">
        <f>'BP France'!E25</f>
        <v>33.778350305764924</v>
      </c>
      <c r="E8" s="195">
        <f>'BP France'!G25</f>
        <v>32.21001521893799</v>
      </c>
      <c r="F8" s="195">
        <f>'BP France'!I25</f>
        <v>30.638499759156783</v>
      </c>
      <c r="G8" s="195">
        <f>'BP France'!K25</f>
        <v>31.026487760361</v>
      </c>
      <c r="H8" s="195">
        <f>'BP France'!M25</f>
        <v>31.367085019236665</v>
      </c>
      <c r="I8" s="195">
        <f>'BP France'!O25</f>
        <v>31.871130162325827</v>
      </c>
      <c r="J8" s="195">
        <f>'BP France'!Q25</f>
        <v>32.706515266282146</v>
      </c>
      <c r="K8" s="195">
        <f>'BP France'!S25</f>
        <v>34.032929371534429</v>
      </c>
      <c r="L8" s="195"/>
      <c r="M8" s="201">
        <f t="shared" si="0"/>
        <v>-4.2714911553044299E-2</v>
      </c>
      <c r="N8" s="202">
        <f>(K8/F8)^(1/($K$3-$F$3))-1</f>
        <v>2.1236591214319755E-2</v>
      </c>
      <c r="Q8" s="118"/>
      <c r="V8" s="118"/>
    </row>
    <row r="9" spans="1:22" ht="15.75" x14ac:dyDescent="0.45">
      <c r="A9" s="325"/>
      <c r="B9" s="198" t="s">
        <v>1</v>
      </c>
      <c r="C9" s="195">
        <f>'BP France'!C26</f>
        <v>12.980745384754849</v>
      </c>
      <c r="D9" s="195">
        <f>'BP France'!E26</f>
        <v>13.904125617201236</v>
      </c>
      <c r="E9" s="195">
        <f>'BP France'!G26</f>
        <v>14.438020163143564</v>
      </c>
      <c r="F9" s="195">
        <f>'BP France'!I26</f>
        <v>13.146535753353062</v>
      </c>
      <c r="G9" s="195">
        <f>'BP France'!K26</f>
        <v>14.148648256087776</v>
      </c>
      <c r="H9" s="195">
        <f>'BP France'!M26</f>
        <v>15.257866051453046</v>
      </c>
      <c r="I9" s="195">
        <f>'BP France'!O26</f>
        <v>16.541227126540228</v>
      </c>
      <c r="J9" s="195">
        <f>'BP France'!Q26</f>
        <v>18.313625671572645</v>
      </c>
      <c r="K9" s="195">
        <f>'BP France'!S26</f>
        <v>20.445843727475008</v>
      </c>
      <c r="L9" s="195"/>
      <c r="M9" s="201">
        <f t="shared" si="0"/>
        <v>4.2393433145984094E-3</v>
      </c>
      <c r="N9" s="202">
        <f>(K9/F9)^(1/($K$3-$F$3))-1</f>
        <v>9.2342275816197139E-2</v>
      </c>
      <c r="Q9" s="118"/>
      <c r="V9" s="118"/>
    </row>
    <row r="10" spans="1:22" ht="16.149999999999999" thickBot="1" x14ac:dyDescent="0.5">
      <c r="A10" s="325"/>
      <c r="B10" s="198" t="s">
        <v>2</v>
      </c>
      <c r="C10" s="135">
        <f>'BP France'!C27</f>
        <v>2.3074362147335146</v>
      </c>
      <c r="D10" s="135">
        <f>'BP France'!E27</f>
        <v>1.7021529270338434</v>
      </c>
      <c r="E10" s="135">
        <f>'BP France'!G27</f>
        <v>2.8405099779184404</v>
      </c>
      <c r="F10" s="135">
        <f>'BP France'!I27</f>
        <v>4.2951769055423004</v>
      </c>
      <c r="G10" s="135">
        <f>'BP France'!K27</f>
        <v>5.3277296640789498</v>
      </c>
      <c r="H10" s="135">
        <f>'BP France'!M27</f>
        <v>6.3837723964809499</v>
      </c>
      <c r="I10" s="135">
        <f>'BP France'!O27</f>
        <v>7.4447371544178589</v>
      </c>
      <c r="J10" s="135">
        <f>'BP France'!Q27</f>
        <v>8.558634926822922</v>
      </c>
      <c r="K10" s="135">
        <f>'BP France'!S27</f>
        <v>9.7571936003075432</v>
      </c>
      <c r="L10" s="195"/>
      <c r="M10" s="203">
        <f>(F10/C10)^(1/($F$3-$C$3))-1</f>
        <v>0.23012841490041502</v>
      </c>
      <c r="N10" s="204">
        <f>(K10/F10)^(1/($K$3-$F$3))-1</f>
        <v>0.17833498804850834</v>
      </c>
      <c r="Q10" s="118"/>
      <c r="V10" s="118"/>
    </row>
    <row r="11" spans="1:22" x14ac:dyDescent="0.45">
      <c r="B11" s="54"/>
    </row>
    <row r="12" spans="1:22" ht="15.75" x14ac:dyDescent="0.45">
      <c r="A12" s="326" t="s">
        <v>82</v>
      </c>
      <c r="B12" s="198" t="s">
        <v>28</v>
      </c>
      <c r="C12" s="200">
        <f>C8/C4</f>
        <v>0.18247428913537952</v>
      </c>
      <c r="D12" s="200">
        <f t="shared" ref="D12:K12" si="2">D8/D4</f>
        <v>0.17971528423730029</v>
      </c>
      <c r="E12" s="200">
        <f t="shared" si="2"/>
        <v>0.17410819037263778</v>
      </c>
      <c r="F12" s="200">
        <f t="shared" si="2"/>
        <v>0.16899337980781459</v>
      </c>
      <c r="G12" s="200">
        <f t="shared" si="2"/>
        <v>0.17199337980781459</v>
      </c>
      <c r="H12" s="200">
        <f t="shared" si="2"/>
        <v>0.1759933798078146</v>
      </c>
      <c r="I12" s="200">
        <f t="shared" si="2"/>
        <v>0.1809933798078146</v>
      </c>
      <c r="J12" s="200">
        <f>J8/J4</f>
        <v>0.18799337980781464</v>
      </c>
      <c r="K12" s="200">
        <f t="shared" si="2"/>
        <v>0.19799337980781459</v>
      </c>
    </row>
    <row r="13" spans="1:22" ht="15.75" x14ac:dyDescent="0.45">
      <c r="A13" s="326"/>
      <c r="B13" s="198" t="s">
        <v>1</v>
      </c>
      <c r="C13" s="200">
        <f t="shared" ref="C13:K14" si="3">C9/C5</f>
        <v>0.18731234321435569</v>
      </c>
      <c r="D13" s="200">
        <f t="shared" si="3"/>
        <v>0.18075381377742986</v>
      </c>
      <c r="E13" s="200">
        <f t="shared" si="3"/>
        <v>0.16985906074286547</v>
      </c>
      <c r="F13" s="200">
        <f t="shared" si="3"/>
        <v>0.17185014056670669</v>
      </c>
      <c r="G13" s="200">
        <f t="shared" si="3"/>
        <v>0.17285014056670669</v>
      </c>
      <c r="H13" s="200">
        <f t="shared" si="3"/>
        <v>0.1758501405667067</v>
      </c>
      <c r="I13" s="200">
        <f t="shared" si="3"/>
        <v>0.1798501405667067</v>
      </c>
      <c r="J13" s="200">
        <f t="shared" si="3"/>
        <v>0.18785014056670671</v>
      </c>
      <c r="K13" s="200">
        <f t="shared" si="3"/>
        <v>0.19785014056670674</v>
      </c>
    </row>
    <row r="14" spans="1:22" ht="15.75" x14ac:dyDescent="0.45">
      <c r="A14" s="326"/>
      <c r="B14" s="198" t="s">
        <v>2</v>
      </c>
      <c r="C14" s="280">
        <f>(C10-C15)/C6</f>
        <v>0.10982919144699027</v>
      </c>
      <c r="D14" s="200">
        <f t="shared" si="3"/>
        <v>0.13509150214554314</v>
      </c>
      <c r="E14" s="200">
        <f t="shared" si="3"/>
        <v>0.17215211987384488</v>
      </c>
      <c r="F14" s="200">
        <f t="shared" si="3"/>
        <v>0.2128485297228524</v>
      </c>
      <c r="G14" s="200">
        <f t="shared" si="3"/>
        <v>0.22584852972285241</v>
      </c>
      <c r="H14" s="200">
        <f t="shared" si="3"/>
        <v>0.23884852972285239</v>
      </c>
      <c r="I14" s="200">
        <f t="shared" si="3"/>
        <v>0.25184852972285243</v>
      </c>
      <c r="J14" s="200">
        <f t="shared" si="3"/>
        <v>0.26684852972285245</v>
      </c>
      <c r="K14" s="200">
        <f t="shared" si="3"/>
        <v>0.28484852972285246</v>
      </c>
    </row>
    <row r="15" spans="1:22" x14ac:dyDescent="0.45">
      <c r="B15" s="281" t="s">
        <v>108</v>
      </c>
      <c r="C15" s="279">
        <f>1340939.33/1000000</f>
        <v>1.3409393300000001</v>
      </c>
    </row>
    <row r="17" spans="1:14" ht="14.65" thickBot="1" x14ac:dyDescent="0.5">
      <c r="A17" s="197" t="s">
        <v>65</v>
      </c>
    </row>
    <row r="18" spans="1:14" x14ac:dyDescent="0.45">
      <c r="C18" s="54">
        <v>2017</v>
      </c>
      <c r="D18" s="54">
        <v>2018</v>
      </c>
      <c r="E18" s="54">
        <v>2019</v>
      </c>
      <c r="F18" s="54">
        <v>2020</v>
      </c>
      <c r="G18" s="54">
        <v>2021</v>
      </c>
      <c r="H18" s="54">
        <v>2022</v>
      </c>
      <c r="I18" s="54">
        <v>2023</v>
      </c>
      <c r="J18" s="54">
        <v>2024</v>
      </c>
      <c r="K18" s="54">
        <v>2025</v>
      </c>
      <c r="L18" s="54"/>
      <c r="M18" s="205" t="s">
        <v>83</v>
      </c>
      <c r="N18" s="206" t="s">
        <v>110</v>
      </c>
    </row>
    <row r="19" spans="1:14" ht="15.75" x14ac:dyDescent="0.45">
      <c r="A19" s="324" t="s">
        <v>79</v>
      </c>
      <c r="B19" s="199" t="s">
        <v>28</v>
      </c>
      <c r="C19" s="195">
        <f>'BP Benelux'!C8</f>
        <v>148.83921568627451</v>
      </c>
      <c r="D19" s="195">
        <f>'BP Benelux'!E8</f>
        <v>153.83859008712869</v>
      </c>
      <c r="E19" s="195">
        <f>'BP Benelux'!G8</f>
        <v>156.33697598800001</v>
      </c>
      <c r="F19" s="195">
        <f>'BP Benelux'!I8</f>
        <v>156.29697598800001</v>
      </c>
      <c r="G19" s="195">
        <f>'BP Benelux'!K8</f>
        <v>159.18594574787997</v>
      </c>
      <c r="H19" s="195">
        <f>'BP Benelux'!M8</f>
        <v>161.31837547661937</v>
      </c>
      <c r="I19" s="195">
        <f>'BP Benelux'!O8</f>
        <v>163.48588431800246</v>
      </c>
      <c r="J19" s="195">
        <f>'BP Benelux'!Q8</f>
        <v>165.68908717294445</v>
      </c>
      <c r="K19" s="195">
        <f>'BP Benelux'!S8</f>
        <v>167.92860992796153</v>
      </c>
      <c r="L19" s="195"/>
      <c r="M19" s="201">
        <f>(F19/C19)^(1/($F$3-$C$3))-1</f>
        <v>1.6430607113307794E-2</v>
      </c>
      <c r="N19" s="202">
        <f>(K19/F19)^(1/($K$3-$F$3))-1</f>
        <v>1.4459757005925944E-2</v>
      </c>
    </row>
    <row r="20" spans="1:14" ht="15.75" x14ac:dyDescent="0.45">
      <c r="A20" s="324"/>
      <c r="B20" s="199" t="s">
        <v>1</v>
      </c>
      <c r="C20" s="195">
        <f>'BP Benelux'!C9</f>
        <v>55.700263754784906</v>
      </c>
      <c r="D20" s="195">
        <f>'BP Benelux'!E9</f>
        <v>58.279647944832597</v>
      </c>
      <c r="E20" s="195">
        <f>'BP Benelux'!G9</f>
        <v>61</v>
      </c>
      <c r="F20" s="195">
        <f>'BP Benelux'!I9</f>
        <v>54.97</v>
      </c>
      <c r="G20" s="195">
        <f>'BP Benelux'!K9</f>
        <v>58.097900000000003</v>
      </c>
      <c r="H20" s="195">
        <f>'BP Benelux'!M9</f>
        <v>60.854352999999996</v>
      </c>
      <c r="I20" s="195">
        <f>'BP Benelux'!O9</f>
        <v>63.359532110000004</v>
      </c>
      <c r="J20" s="195">
        <f>'BP Benelux'!Q9</f>
        <v>66.008490496900009</v>
      </c>
      <c r="K20" s="195">
        <f>'BP Benelux'!S9</f>
        <v>68.721721162309606</v>
      </c>
      <c r="L20" s="195"/>
      <c r="M20" s="201">
        <f>(F20/C20)^(1/($F$3-$C$3))-1</f>
        <v>-4.3894382401112875E-3</v>
      </c>
      <c r="N20" s="202">
        <f t="shared" ref="N20:N21" si="4">(K20/F20)^(1/($K$3-$F$3))-1</f>
        <v>4.5667615882503565E-2</v>
      </c>
    </row>
    <row r="21" spans="1:14" ht="15.75" x14ac:dyDescent="0.45">
      <c r="A21" s="324"/>
      <c r="B21" s="199" t="s">
        <v>2</v>
      </c>
      <c r="C21" s="195">
        <f>'BP Benelux'!C10</f>
        <v>12.226446280991734</v>
      </c>
      <c r="D21" s="195">
        <f>'BP Benelux'!E10</f>
        <v>14.109090909090909</v>
      </c>
      <c r="E21" s="195">
        <f>'BP Benelux'!G10</f>
        <v>16.2</v>
      </c>
      <c r="F21" s="195">
        <f>'BP Benelux'!I10</f>
        <v>18.343800000000002</v>
      </c>
      <c r="G21" s="195">
        <f>'BP Benelux'!K10</f>
        <v>20.575689000000004</v>
      </c>
      <c r="H21" s="195">
        <f>'BP Benelux'!M10</f>
        <v>22.897205751000005</v>
      </c>
      <c r="I21" s="195">
        <f>'BP Benelux'!O10</f>
        <v>25.305410614294011</v>
      </c>
      <c r="J21" s="195">
        <f>'BP Benelux'!Q10</f>
        <v>27.816983041872152</v>
      </c>
      <c r="K21" s="195">
        <f>'BP Benelux'!S10</f>
        <v>30.255766523008798</v>
      </c>
      <c r="L21" s="195"/>
      <c r="M21" s="201">
        <f>(F21/C21)^(1/($F$3-$C$3))-1</f>
        <v>0.14480017607457984</v>
      </c>
      <c r="N21" s="202">
        <f t="shared" si="4"/>
        <v>0.10525826371977676</v>
      </c>
    </row>
    <row r="22" spans="1:14" x14ac:dyDescent="0.45">
      <c r="A22" s="54"/>
      <c r="B22" s="54"/>
      <c r="M22" s="207"/>
      <c r="N22" s="208"/>
    </row>
    <row r="23" spans="1:14" ht="15.75" x14ac:dyDescent="0.45">
      <c r="A23" s="325" t="s">
        <v>81</v>
      </c>
      <c r="B23" s="199" t="s">
        <v>28</v>
      </c>
      <c r="C23" s="135">
        <f>'BP Benelux'!C25</f>
        <v>37.344589440983867</v>
      </c>
      <c r="D23" s="135">
        <f>'BP Benelux'!E25</f>
        <v>33.53180832796324</v>
      </c>
      <c r="E23" s="135">
        <f>'BP Benelux'!G25</f>
        <v>32.72298943184478</v>
      </c>
      <c r="F23" s="135">
        <f>'BP Benelux'!I25</f>
        <v>32.005029828895331</v>
      </c>
      <c r="G23" s="135">
        <f>'BP Benelux'!K25</f>
        <v>32.914977870570951</v>
      </c>
      <c r="H23" s="135">
        <f>'BP Benelux'!M25</f>
        <v>33.678538454355326</v>
      </c>
      <c r="I23" s="135">
        <f>'BP Benelux'!O25</f>
        <v>34.621508287952118</v>
      </c>
      <c r="J23" s="135">
        <f>'BP Benelux'!Q25</f>
        <v>36.082216461801387</v>
      </c>
      <c r="K23" s="135">
        <f>'BP Benelux'!S25</f>
        <v>38.249204836447575</v>
      </c>
      <c r="L23" s="135"/>
      <c r="M23" s="201">
        <f>(F23/C23)^(1/($F$3-$C$3))-1</f>
        <v>-5.0131434270033082E-2</v>
      </c>
      <c r="N23" s="202">
        <f>(K23/F23)^(1/($K$3-$F$3))-1</f>
        <v>3.6288872856012677E-2</v>
      </c>
    </row>
    <row r="24" spans="1:14" ht="15.75" x14ac:dyDescent="0.45">
      <c r="A24" s="325"/>
      <c r="B24" s="199" t="s">
        <v>1</v>
      </c>
      <c r="C24" s="135">
        <f>'BP Benelux'!C26</f>
        <v>4.775482785605015</v>
      </c>
      <c r="D24" s="135">
        <f>'BP Benelux'!E26</f>
        <v>5.678756300534566</v>
      </c>
      <c r="E24" s="135">
        <f>'BP Benelux'!G26</f>
        <v>6.3538663968900622</v>
      </c>
      <c r="F24" s="135">
        <f>'BP Benelux'!I26</f>
        <v>5.9639701711046671</v>
      </c>
      <c r="G24" s="135">
        <f>'BP Benelux'!K26</f>
        <v>6.4195274828055648</v>
      </c>
      <c r="H24" s="135">
        <f>'BP Benelux'!M26</f>
        <v>6.9066648170988509</v>
      </c>
      <c r="I24" s="135">
        <f>'BP Benelux'!O26</f>
        <v>7.4444282495901168</v>
      </c>
      <c r="J24" s="135">
        <f>'BP Benelux'!Q26</f>
        <v>8.2177270497542505</v>
      </c>
      <c r="K24" s="135">
        <f>'BP Benelux'!S26</f>
        <v>9.2427279141092065</v>
      </c>
      <c r="L24" s="135"/>
      <c r="M24" s="201">
        <f>(F24/C24)^(1/($F$3-$C$3))-1</f>
        <v>7.6893427191659702E-2</v>
      </c>
      <c r="N24" s="202">
        <f t="shared" ref="N24" si="5">(K24/F24)^(1/($K$3-$F$3))-1</f>
        <v>9.1573392841306944E-2</v>
      </c>
    </row>
    <row r="25" spans="1:14" ht="16.149999999999999" thickBot="1" x14ac:dyDescent="0.5">
      <c r="A25" s="325"/>
      <c r="B25" s="199" t="s">
        <v>2</v>
      </c>
      <c r="C25" s="135">
        <f>'BP Benelux'!C27</f>
        <v>4.8596115996666667</v>
      </c>
      <c r="D25" s="135">
        <f>'BP Benelux'!E27</f>
        <v>5.909652204056278</v>
      </c>
      <c r="E25" s="135">
        <f>'BP Benelux'!G27</f>
        <v>7.1953892985187142</v>
      </c>
      <c r="F25" s="135">
        <f>'BP Benelux'!I27</f>
        <v>6.6740000000000004</v>
      </c>
      <c r="G25" s="135">
        <f>'BP Benelux'!K27</f>
        <v>7.8152361870523679</v>
      </c>
      <c r="H25" s="135">
        <f>'BP Benelux'!M27</f>
        <v>9.0633700538350972</v>
      </c>
      <c r="I25" s="135">
        <f>'BP Benelux'!O27</f>
        <v>10.421493104954786</v>
      </c>
      <c r="J25" s="135">
        <f>'BP Benelux'!Q27</f>
        <v>11.928719300280308</v>
      </c>
      <c r="K25" s="135">
        <f>'BP Benelux'!S27</f>
        <v>13.549399093422373</v>
      </c>
      <c r="L25" s="135"/>
      <c r="M25" s="203">
        <f>(F25/C25)^(1/($F$3-$C$3))-1</f>
        <v>0.11154798082562767</v>
      </c>
      <c r="N25" s="204">
        <f>(K25/F25)^(1/($K$3-$F$3))-1</f>
        <v>0.15214401068152705</v>
      </c>
    </row>
    <row r="26" spans="1:14" x14ac:dyDescent="0.45">
      <c r="A26" s="54"/>
      <c r="B26" s="54"/>
    </row>
    <row r="27" spans="1:14" ht="15.75" x14ac:dyDescent="0.45">
      <c r="A27" s="326" t="s">
        <v>82</v>
      </c>
      <c r="B27" s="199" t="s">
        <v>28</v>
      </c>
      <c r="C27" s="200">
        <f t="shared" ref="C27:I29" si="6">C23/C19</f>
        <v>0.25090557800102453</v>
      </c>
      <c r="D27" s="200">
        <f t="shared" si="6"/>
        <v>0.2179674703789993</v>
      </c>
      <c r="E27" s="200">
        <f t="shared" si="6"/>
        <v>0.20931062037656725</v>
      </c>
      <c r="F27" s="200">
        <f t="shared" si="6"/>
        <v>0.20477062736871235</v>
      </c>
      <c r="G27" s="200">
        <f t="shared" si="6"/>
        <v>0.20677062736871235</v>
      </c>
      <c r="H27" s="200">
        <f t="shared" si="6"/>
        <v>0.20877062736871235</v>
      </c>
      <c r="I27" s="200">
        <f t="shared" si="6"/>
        <v>0.21177062736871238</v>
      </c>
      <c r="J27" s="200">
        <f>J23/J19</f>
        <v>0.21777062736871236</v>
      </c>
      <c r="K27" s="200">
        <f t="shared" ref="K27" si="7">K23/K19</f>
        <v>0.22777062736871234</v>
      </c>
    </row>
    <row r="28" spans="1:14" ht="15.75" x14ac:dyDescent="0.45">
      <c r="A28" s="326"/>
      <c r="B28" s="199" t="s">
        <v>1</v>
      </c>
      <c r="C28" s="200">
        <f t="shared" si="6"/>
        <v>8.5735371139867886E-2</v>
      </c>
      <c r="D28" s="200">
        <f t="shared" si="6"/>
        <v>9.743978388321882E-2</v>
      </c>
      <c r="E28" s="200">
        <f t="shared" si="6"/>
        <v>0.1041617442113125</v>
      </c>
      <c r="F28" s="200">
        <f t="shared" si="6"/>
        <v>0.10849500038393065</v>
      </c>
      <c r="G28" s="200">
        <f t="shared" si="6"/>
        <v>0.11049500038393065</v>
      </c>
      <c r="H28" s="200">
        <f t="shared" si="6"/>
        <v>0.11349500038393065</v>
      </c>
      <c r="I28" s="200">
        <f t="shared" si="6"/>
        <v>0.11749500038393065</v>
      </c>
      <c r="J28" s="200">
        <f t="shared" ref="J28:K28" si="8">J24/J20</f>
        <v>0.12449500038393067</v>
      </c>
      <c r="K28" s="200">
        <f t="shared" si="8"/>
        <v>0.13449500038393067</v>
      </c>
    </row>
    <row r="29" spans="1:14" ht="15.75" x14ac:dyDescent="0.45">
      <c r="A29" s="326"/>
      <c r="B29" s="199" t="s">
        <v>2</v>
      </c>
      <c r="C29" s="280">
        <f>(C25-C40)/C21</f>
        <v>0.33858699286174582</v>
      </c>
      <c r="D29" s="280">
        <f t="shared" ref="D29:E29" si="9">(D25-D40)/D21</f>
        <v>0.3517778718725455</v>
      </c>
      <c r="E29" s="280">
        <f t="shared" si="9"/>
        <v>0.39902814064930336</v>
      </c>
      <c r="F29" s="200">
        <f t="shared" si="6"/>
        <v>0.36382865055223018</v>
      </c>
      <c r="G29" s="200">
        <f t="shared" si="6"/>
        <v>0.3798286505522302</v>
      </c>
      <c r="H29" s="200">
        <f t="shared" si="6"/>
        <v>0.39582865055223021</v>
      </c>
      <c r="I29" s="200">
        <f t="shared" si="6"/>
        <v>0.41182865055223022</v>
      </c>
      <c r="J29" s="200">
        <f t="shared" ref="J29" si="10">J25/J21</f>
        <v>0.42882865055223024</v>
      </c>
      <c r="K29" s="200">
        <f>K25/K21</f>
        <v>0.44782865055223026</v>
      </c>
    </row>
    <row r="34" spans="1:18" x14ac:dyDescent="0.45">
      <c r="A34" s="39" t="s">
        <v>107</v>
      </c>
    </row>
    <row r="35" spans="1:18" x14ac:dyDescent="0.45">
      <c r="A35" s="287" t="s">
        <v>101</v>
      </c>
      <c r="B35" s="287" t="s">
        <v>106</v>
      </c>
      <c r="C35" s="287">
        <v>2017</v>
      </c>
      <c r="D35" s="287">
        <v>2018</v>
      </c>
      <c r="E35" s="287">
        <v>2019</v>
      </c>
    </row>
    <row r="36" spans="1:18" x14ac:dyDescent="0.45">
      <c r="A36" s="282" t="s">
        <v>102</v>
      </c>
      <c r="B36" s="283">
        <v>0.56000000000000005</v>
      </c>
      <c r="C36" s="284">
        <v>1278457</v>
      </c>
      <c r="D36" s="284">
        <v>1636306</v>
      </c>
      <c r="E36" s="284">
        <v>264000</v>
      </c>
      <c r="R36" s="195"/>
    </row>
    <row r="37" spans="1:18" x14ac:dyDescent="0.45">
      <c r="A37" s="282" t="s">
        <v>103</v>
      </c>
      <c r="B37" s="283">
        <v>0.62</v>
      </c>
      <c r="C37" s="284"/>
      <c r="D37" s="284"/>
      <c r="E37" s="284"/>
    </row>
    <row r="38" spans="1:18" x14ac:dyDescent="0.45">
      <c r="A38" s="282" t="s">
        <v>104</v>
      </c>
      <c r="B38" s="283">
        <v>0.3</v>
      </c>
      <c r="C38" s="284">
        <v>13200</v>
      </c>
      <c r="D38" s="284">
        <v>13200</v>
      </c>
      <c r="E38" s="284">
        <v>207934</v>
      </c>
    </row>
    <row r="39" spans="1:18" x14ac:dyDescent="0.45">
      <c r="A39" s="282" t="s">
        <v>105</v>
      </c>
      <c r="B39" s="283">
        <v>0.47</v>
      </c>
      <c r="C39" s="284">
        <v>0</v>
      </c>
      <c r="D39" s="284">
        <v>55521</v>
      </c>
      <c r="E39" s="284">
        <v>1108326</v>
      </c>
    </row>
    <row r="40" spans="1:18" x14ac:dyDescent="0.45">
      <c r="A40" s="285" t="s">
        <v>109</v>
      </c>
      <c r="B40" s="286"/>
      <c r="C40" s="288">
        <f>SUMPRODUCT(C36:C39,$B$36:$B$39)/1000000</f>
        <v>0.71989592000000002</v>
      </c>
      <c r="D40" s="288">
        <f t="shared" ref="D40:E40" si="11">SUMPRODUCT(D36:D39,$B$36:$B$39)/1000000</f>
        <v>0.94638623000000011</v>
      </c>
      <c r="E40" s="288">
        <f t="shared" si="11"/>
        <v>0.73113341999999992</v>
      </c>
    </row>
  </sheetData>
  <mergeCells count="6">
    <mergeCell ref="A19:A21"/>
    <mergeCell ref="A23:A25"/>
    <mergeCell ref="A27:A29"/>
    <mergeCell ref="A4:A6"/>
    <mergeCell ref="A8:A10"/>
    <mergeCell ref="A12:A14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W35" sqref="W35"/>
    </sheetView>
  </sheetViews>
  <sheetFormatPr baseColWidth="10" defaultColWidth="9.265625" defaultRowHeight="14.25" x14ac:dyDescent="0.4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6D72E291A89749A1020ECAEBC5DEA9" ma:contentTypeVersion="7" ma:contentTypeDescription="Crée un document." ma:contentTypeScope="" ma:versionID="f99d540c8fe000137e3672be6f13780a">
  <xsd:schema xmlns:xsd="http://www.w3.org/2001/XMLSchema" xmlns:xs="http://www.w3.org/2001/XMLSchema" xmlns:p="http://schemas.microsoft.com/office/2006/metadata/properties" xmlns:ns2="2ed4a45d-0a7a-4a4c-a2e9-3c855633e740" xmlns:ns3="a46fb650-58a2-4a9d-8560-53d2df43fe90" targetNamespace="http://schemas.microsoft.com/office/2006/metadata/properties" ma:root="true" ma:fieldsID="55d9753f316c6c16cd96ade6a093b44d" ns2:_="" ns3:_="">
    <xsd:import namespace="2ed4a45d-0a7a-4a4c-a2e9-3c855633e740"/>
    <xsd:import namespace="a46fb650-58a2-4a9d-8560-53d2df43fe9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d4a45d-0a7a-4a4c-a2e9-3c855633e74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fb650-58a2-4a9d-8560-53d2df43fe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65C807-88AA-407F-863F-B66365EEE9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d4a45d-0a7a-4a4c-a2e9-3c855633e740"/>
    <ds:schemaRef ds:uri="a46fb650-58a2-4a9d-8560-53d2df43fe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D6749B-4102-4981-A219-FF09985A95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3083A0-5902-4832-9C51-B2FF3F8C7AC3}">
  <ds:schemaRefs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9659732-3477-4d4b-a4b2-86d63d8485cb"/>
    <ds:schemaRef ds:uri="1d17d37a-7d53-406d-915e-09d920844ac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Synthèse marchés selon Eleven</vt:lpstr>
      <vt:lpstr>BP France</vt:lpstr>
      <vt:lpstr>BP Benelux</vt:lpstr>
      <vt:lpstr>BP Maghreb</vt:lpstr>
      <vt:lpstr>BP CONSO </vt:lpstr>
      <vt:lpstr>Synthèse Altarès</vt:lpstr>
      <vt:lpstr>Analyse</vt:lpstr>
      <vt:lpstr>Sources Doc Altares</vt:lpstr>
    </vt:vector>
  </TitlesOfParts>
  <Company>Naxicap Partners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Fournier</dc:creator>
  <cp:lastModifiedBy>Théodora Dupont</cp:lastModifiedBy>
  <cp:lastPrinted>2020-09-08T10:39:07Z</cp:lastPrinted>
  <dcterms:created xsi:type="dcterms:W3CDTF">2019-03-01T08:59:49Z</dcterms:created>
  <dcterms:modified xsi:type="dcterms:W3CDTF">2020-09-30T13:21:47Z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0x010100536D72E291A89749A1020ECAEBC5DEA9</vt:lpwstr>
  </property>
</Properties>
</file>