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ma\OneDrive\Desktop\Analyze NYSE data  Project - Mohamed Makki\"/>
    </mc:Choice>
  </mc:AlternateContent>
  <xr:revisionPtr revIDLastSave="0" documentId="13_ncr:1_{2B621A32-96C2-4CA7-A12B-625AD91C1041}" xr6:coauthVersionLast="47" xr6:coauthVersionMax="47" xr10:uidLastSave="{00000000-0000-0000-0000-000000000000}"/>
  <bookViews>
    <workbookView xWindow="-120" yWindow="-120" windowWidth="20730" windowHeight="11160" activeTab="2" xr2:uid="{13B06596-0B6E-474B-AAA1-F3A88F83E4A0}"/>
  </bookViews>
  <sheets>
    <sheet name="Data- GICS, Health Care Equipme" sheetId="2" r:id="rId1"/>
    <sheet name="Data - YHOO" sheetId="5" r:id="rId2"/>
    <sheet name="P&amp;L Statement - Multi Criteria " sheetId="1" r:id="rId3"/>
    <sheet name="P&amp;L Statement-One Criterion" sheetId="8" r:id="rId4"/>
    <sheet name="P&amp;L Statement -1-Criterion (2)" sheetId="4" r:id="rId5"/>
    <sheet name="pivot table1" sheetId="3" r:id="rId6"/>
    <sheet name="data validation1" sheetId="9" r:id="rId7"/>
    <sheet name="data_validation2" sheetId="10" r:id="rId8"/>
  </sheets>
  <definedNames>
    <definedName name="COGS">'Data- GICS, Health Care Equipme'!$F$2:$F$57</definedName>
    <definedName name="COGS_YHOO">'Data - YHOO'!$F$2:$F$5</definedName>
    <definedName name="company_list">'pivot table1'!$D$2:$D$15</definedName>
    <definedName name="Company_list_YHOO">'Data - YHOO'!$B$2:$B$5</definedName>
    <definedName name="Company_name">'Data - YHOO'!$B$2:$B$5</definedName>
    <definedName name="Gross_Margin">'Data- GICS, Health Care Equipme'!$L$2:$L$57</definedName>
    <definedName name="Gross_Margin_YHOO">'Data - YHOO'!$L$2:$L$5</definedName>
    <definedName name="Gross_Profit_YHOO">'Data - YHOO'!$J$2:$J$5</definedName>
    <definedName name="Operating_Margin">'Data- GICS, Health Care Equipme'!$M$2:$M$57</definedName>
    <definedName name="Operating_Margin_YHOO">'Data - YHOO'!$M$2:$M$5</definedName>
    <definedName name="Operating_Profit_YHOO">'Data - YHOO'!$K$2:$K$5</definedName>
    <definedName name="Other_Operating_Expenses">'Data- GICS, Health Care Equipme'!$I$2:$I$57</definedName>
    <definedName name="Other_Operating_Items_YHOO">'Data - YHOO'!$I$2:$I$5</definedName>
    <definedName name="R_AND_D">'Data- GICS, Health Care Equipme'!$H$2:$H$57</definedName>
    <definedName name="R_And_D_YHOO">'Data - YHOO'!$H$2:$H$5</definedName>
    <definedName name="Scenario">'pivot table1'!$H$3:$H$5</definedName>
    <definedName name="SGAs">'Data- GICS, Health Care Equipme'!$G$2:$G$57</definedName>
    <definedName name="SGAs_YHOO">'Data - YHOO'!$G$2:$G$5</definedName>
    <definedName name="Ticker_Company">'Data- GICS, Health Care Equipme'!$B$2:$B$57</definedName>
    <definedName name="Ticker_symbol">'Data- GICS, Health Care Equipme'!$B$2:$B$57</definedName>
    <definedName name="Total_Revenue">'Data- GICS, Health Care Equipme'!$E$2:$E$57</definedName>
    <definedName name="Total_Revenue_YHOO">'Data - YHOO'!$E$2:$E$5</definedName>
    <definedName name="Tricker_Company">'Data- GICS, Health Care Equipme'!$B$2:$B$57</definedName>
    <definedName name="Tricker_Symbol">'Data- GICS, Health Care Equipme'!$B$2:$B$57</definedName>
    <definedName name="Year">'Data- GICS, Health Care Equipme'!$C$2:$C$57</definedName>
    <definedName name="Year_YHOO">'Data - YHOO'!$C$2:$C$5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8" l="1" a="1"/>
  <c r="F12" i="8" s="1"/>
  <c r="E12" i="8" a="1"/>
  <c r="E12" i="8" s="1"/>
  <c r="D12" i="8" a="1"/>
  <c r="D12" i="8" s="1"/>
  <c r="C12" i="8" a="1"/>
  <c r="C12" i="8" s="1"/>
  <c r="F11" i="8" a="1"/>
  <c r="F11" i="8" s="1"/>
  <c r="E11" i="8" a="1"/>
  <c r="E11" i="8" s="1"/>
  <c r="D11" i="8" a="1"/>
  <c r="D11" i="8" s="1"/>
  <c r="C11" i="8" a="1"/>
  <c r="C11" i="8" s="1"/>
  <c r="F10" i="8" a="1"/>
  <c r="F10" i="8" s="1"/>
  <c r="E10" i="8" a="1"/>
  <c r="E10" i="8" s="1"/>
  <c r="D10" i="8" a="1"/>
  <c r="D10" i="8" s="1"/>
  <c r="C10" i="8" a="1"/>
  <c r="C10" i="8" s="1"/>
  <c r="F8" i="8" a="1"/>
  <c r="F8" i="8" s="1"/>
  <c r="E8" i="8" a="1"/>
  <c r="E8" i="8" s="1"/>
  <c r="D8" i="8" a="1"/>
  <c r="D8" i="8" s="1"/>
  <c r="C8" i="8" a="1"/>
  <c r="C8" i="8" s="1"/>
  <c r="F7" i="8" a="1"/>
  <c r="F7" i="8" s="1"/>
  <c r="E7" i="8" a="1"/>
  <c r="E7" i="8" s="1"/>
  <c r="D7" i="8" a="1"/>
  <c r="D7" i="8" s="1"/>
  <c r="C7" i="8" a="1"/>
  <c r="C7" i="8" s="1"/>
  <c r="F22" i="1" a="1"/>
  <c r="F22" i="1" s="1"/>
  <c r="E22" i="1" a="1"/>
  <c r="E22" i="1" s="1"/>
  <c r="D22" i="1" a="1"/>
  <c r="D22" i="1" s="1"/>
  <c r="C22" i="1" a="1"/>
  <c r="C22" i="1" s="1"/>
  <c r="F21" i="1" a="1"/>
  <c r="F21" i="1" s="1"/>
  <c r="E21" i="1" a="1"/>
  <c r="E21" i="1" s="1"/>
  <c r="D21" i="1" a="1"/>
  <c r="D21" i="1" s="1"/>
  <c r="C21" i="1" a="1"/>
  <c r="C21" i="1" s="1"/>
  <c r="F12" i="1" a="1"/>
  <c r="F12" i="1" s="1"/>
  <c r="E12" i="1" a="1"/>
  <c r="E12" i="1" s="1"/>
  <c r="D12" i="1" a="1"/>
  <c r="D12" i="1" s="1"/>
  <c r="C12" i="1" a="1"/>
  <c r="C12" i="1" s="1"/>
  <c r="F11" i="1" a="1"/>
  <c r="F11" i="1" s="1"/>
  <c r="E11" i="1" a="1"/>
  <c r="E11" i="1" s="1"/>
  <c r="D11" i="1" a="1"/>
  <c r="D11" i="1" s="1"/>
  <c r="C11" i="1" a="1"/>
  <c r="C11" i="1" s="1"/>
  <c r="F10" i="1" a="1"/>
  <c r="F10" i="1" s="1"/>
  <c r="E10" i="1" a="1"/>
  <c r="E10" i="1" s="1"/>
  <c r="D10" i="1" a="1"/>
  <c r="D10" i="1" s="1"/>
  <c r="C10" i="1" a="1"/>
  <c r="C10" i="1" s="1"/>
  <c r="F8" i="1" a="1"/>
  <c r="F8" i="1" s="1"/>
  <c r="C7" i="1" a="1"/>
  <c r="C7" i="1" s="1"/>
  <c r="D8" i="1" a="1"/>
  <c r="D8" i="1" s="1"/>
  <c r="C8" i="1" a="1"/>
  <c r="C8" i="1" s="1"/>
  <c r="F7" i="1" a="1"/>
  <c r="F7" i="1" s="1"/>
  <c r="E7" i="1" a="1"/>
  <c r="E7" i="1" s="1"/>
  <c r="D7" i="1" a="1"/>
  <c r="D7" i="1" s="1"/>
  <c r="E8" i="1" a="1"/>
  <c r="E8" i="1" s="1"/>
  <c r="H36" i="4" a="1"/>
  <c r="H36" i="4" s="1"/>
  <c r="G36" i="4" a="1"/>
  <c r="G36" i="4" s="1"/>
  <c r="H34" i="4" a="1"/>
  <c r="H34" i="4" s="1"/>
  <c r="G34" i="4" a="1"/>
  <c r="G34" i="4"/>
  <c r="H40" i="4" a="1"/>
  <c r="H40" i="4" s="1"/>
  <c r="G40" i="4" a="1"/>
  <c r="G40" i="4" s="1"/>
  <c r="H38" i="4" a="1"/>
  <c r="H38" i="4" s="1"/>
  <c r="G38" i="4" a="1"/>
  <c r="G38" i="4" s="1"/>
  <c r="H32" i="4" a="1"/>
  <c r="H32" i="4" s="1"/>
  <c r="G32" i="4" a="1"/>
  <c r="G32" i="4"/>
  <c r="H30" i="4" a="1"/>
  <c r="H30" i="4"/>
  <c r="G30" i="4" a="1"/>
  <c r="G30" i="4"/>
  <c r="H22" i="4" a="1"/>
  <c r="H22" i="4" s="1"/>
  <c r="G22" i="4" a="1"/>
  <c r="G22" i="4" s="1"/>
  <c r="G21" i="4" a="1"/>
  <c r="G21" i="4" s="1"/>
  <c r="H21" i="4" a="1"/>
  <c r="H21" i="4" s="1"/>
  <c r="H20" i="4" a="1"/>
  <c r="H20" i="4" s="1"/>
  <c r="G20" i="4" a="1"/>
  <c r="G20" i="4" s="1"/>
  <c r="G7" i="4" s="1" a="1"/>
  <c r="G7" i="4" s="1"/>
  <c r="D20" i="1" l="1"/>
  <c r="C9" i="8" a="1"/>
  <c r="C9" i="8" s="1"/>
  <c r="C13" i="8" a="1"/>
  <c r="C13" i="8" s="1"/>
  <c r="D13" i="8" a="1"/>
  <c r="D13" i="8" s="1"/>
  <c r="E9" i="8" a="1"/>
  <c r="E9" i="8" s="1"/>
  <c r="E20" i="8" a="1"/>
  <c r="E20" i="8" s="1"/>
  <c r="E13" i="8" a="1"/>
  <c r="E13" i="8" s="1"/>
  <c r="F20" i="8" a="1"/>
  <c r="F20" i="8" s="1"/>
  <c r="F9" i="8" a="1"/>
  <c r="F9" i="8" s="1"/>
  <c r="F13" i="8" a="1"/>
  <c r="F13" i="8" s="1"/>
  <c r="C21" i="8" a="1"/>
  <c r="D9" i="8" a="1"/>
  <c r="D9" i="8" s="1"/>
  <c r="D20" i="8" a="1"/>
  <c r="D20" i="8" s="1"/>
  <c r="H7" i="4" a="1"/>
  <c r="H7" i="4" s="1"/>
  <c r="H9" i="4" s="1" a="1"/>
  <c r="H9" i="4" s="1"/>
  <c r="G14" i="4" a="1"/>
  <c r="G14" i="4" s="1"/>
  <c r="G9" i="4" a="1"/>
  <c r="G9" i="4" s="1"/>
  <c r="C14" i="8" l="1"/>
  <c r="C22" i="8" s="1" a="1"/>
  <c r="C22" i="8" s="1"/>
  <c r="C21" i="8"/>
  <c r="F14" i="8"/>
  <c r="F22" i="8" s="1" a="1"/>
  <c r="F22" i="8" s="1"/>
  <c r="F21" i="8"/>
  <c r="D21" i="8" a="1"/>
  <c r="D21" i="8" s="1"/>
  <c r="D14" i="8"/>
  <c r="D22" i="8" s="1" a="1"/>
  <c r="D22" i="8" s="1"/>
  <c r="H31" i="8"/>
  <c r="G31" i="8"/>
  <c r="E21" i="8" a="1"/>
  <c r="E21" i="8" s="1"/>
  <c r="E14" i="8"/>
  <c r="E22" i="8" s="1" a="1"/>
  <c r="E22" i="8" s="1"/>
  <c r="H14" i="4" a="1"/>
  <c r="H14" i="4" s="1"/>
  <c r="G35" i="8" l="1"/>
  <c r="H39" i="8"/>
  <c r="H35" i="8"/>
  <c r="G39" i="8"/>
  <c r="G36" i="8" a="1"/>
  <c r="G34" i="8" a="1"/>
  <c r="H40" i="8" a="1"/>
  <c r="H38" i="8" a="1"/>
  <c r="G30" i="8" a="1"/>
  <c r="G30" i="8" s="1"/>
  <c r="G32" i="8" a="1"/>
  <c r="G32" i="8" s="1"/>
  <c r="G20" i="8" s="1" a="1"/>
  <c r="G20" i="8" s="1"/>
  <c r="G7" i="8" s="1" a="1"/>
  <c r="G7" i="8" s="1"/>
  <c r="H32" i="8" a="1"/>
  <c r="H32" i="8" s="1"/>
  <c r="H30" i="8" a="1"/>
  <c r="H30" i="8" s="1"/>
  <c r="H34" i="8" a="1"/>
  <c r="H36" i="8" a="1"/>
  <c r="G38" i="8" a="1"/>
  <c r="G40" i="8" a="1"/>
  <c r="G39" i="4"/>
  <c r="G35" i="4"/>
  <c r="G31" i="4"/>
  <c r="H39" i="4"/>
  <c r="H35" i="4"/>
  <c r="H31" i="4"/>
  <c r="F21" i="4"/>
  <c r="F22" i="4" a="1"/>
  <c r="F22" i="4" s="1"/>
  <c r="E22" i="4" a="1"/>
  <c r="E22" i="4" s="1"/>
  <c r="D22" i="4" a="1"/>
  <c r="D22" i="4"/>
  <c r="C22" i="4" a="1"/>
  <c r="C22" i="4"/>
  <c r="E21" i="4" a="1"/>
  <c r="E21" i="4" s="1"/>
  <c r="D21" i="4" a="1"/>
  <c r="D21" i="4"/>
  <c r="C21" i="4" a="1"/>
  <c r="C21" i="4"/>
  <c r="F20" i="4" a="1"/>
  <c r="F20" i="4" s="1"/>
  <c r="E20" i="4" a="1"/>
  <c r="E20" i="4"/>
  <c r="D20" i="4" a="1"/>
  <c r="D20" i="4" s="1"/>
  <c r="F12" i="4" a="1"/>
  <c r="F12" i="4" s="1"/>
  <c r="F11" i="4" a="1"/>
  <c r="F11" i="4" s="1"/>
  <c r="F10" i="4" a="1"/>
  <c r="F10" i="4"/>
  <c r="F8" i="4" a="1"/>
  <c r="F8" i="4"/>
  <c r="E12" i="4" a="1"/>
  <c r="E12" i="4" s="1"/>
  <c r="E13" i="4" s="1"/>
  <c r="E11" i="4" a="1"/>
  <c r="E11" i="4"/>
  <c r="E10" i="4" a="1"/>
  <c r="E10" i="4"/>
  <c r="E8" i="4" a="1"/>
  <c r="E8" i="4" s="1"/>
  <c r="E9" i="4" s="1"/>
  <c r="F7" i="4" a="1"/>
  <c r="F7" i="4" s="1"/>
  <c r="E7" i="4" a="1"/>
  <c r="E7" i="4"/>
  <c r="D12" i="4" a="1"/>
  <c r="D12" i="4" s="1"/>
  <c r="D11" i="4" a="1"/>
  <c r="D11" i="4"/>
  <c r="D10" i="4" a="1"/>
  <c r="D10" i="4"/>
  <c r="D13" i="4" a="1"/>
  <c r="E13" i="4" a="1"/>
  <c r="F13" i="4" a="1"/>
  <c r="D9" i="4" a="1"/>
  <c r="D9" i="4"/>
  <c r="E9" i="4" a="1"/>
  <c r="F9" i="4" a="1"/>
  <c r="D8" i="4" a="1"/>
  <c r="D8" i="4" s="1"/>
  <c r="D7" i="4" a="1"/>
  <c r="D7" i="4"/>
  <c r="C12" i="4" a="1"/>
  <c r="C12" i="4"/>
  <c r="C11" i="4" a="1"/>
  <c r="C11" i="4"/>
  <c r="C10" i="4" a="1"/>
  <c r="C10" i="4"/>
  <c r="C8" i="4" a="1"/>
  <c r="C8" i="4"/>
  <c r="C7" i="4" a="1"/>
  <c r="C7" i="4" s="1"/>
  <c r="L3" i="5" a="1"/>
  <c r="L3" i="5" s="1"/>
  <c r="L4" i="5" a="1"/>
  <c r="L4" i="5" s="1"/>
  <c r="L5" i="5" a="1"/>
  <c r="L5" i="5"/>
  <c r="L2" i="5" a="1"/>
  <c r="L2" i="5"/>
  <c r="M3" i="5" a="1"/>
  <c r="M3" i="5" s="1"/>
  <c r="M4" i="5" a="1"/>
  <c r="M4" i="5" s="1"/>
  <c r="M5" i="5" a="1"/>
  <c r="M5" i="5" s="1"/>
  <c r="M2" i="5" a="1"/>
  <c r="M2" i="5" s="1"/>
  <c r="K3" i="5" a="1"/>
  <c r="K3" i="5" s="1"/>
  <c r="K4" i="5" a="1"/>
  <c r="K4" i="5" s="1"/>
  <c r="K5" i="5" a="1"/>
  <c r="K5" i="5" s="1"/>
  <c r="K2" i="5" a="1"/>
  <c r="K2" i="5" s="1"/>
  <c r="J3" i="5" a="1"/>
  <c r="J3" i="5"/>
  <c r="J4" i="5" a="1"/>
  <c r="J4" i="5" s="1"/>
  <c r="J5" i="5" a="1"/>
  <c r="J5" i="5" s="1"/>
  <c r="J2" i="5" a="1"/>
  <c r="J2" i="5"/>
  <c r="H40" i="1" a="1"/>
  <c r="G40" i="1" a="1"/>
  <c r="H38" i="1" a="1"/>
  <c r="G38" i="1" a="1"/>
  <c r="H36" i="1" a="1"/>
  <c r="G36" i="1" a="1"/>
  <c r="H34" i="1" a="1"/>
  <c r="G34" i="1" a="1"/>
  <c r="H30" i="1" a="1"/>
  <c r="G30" i="1" a="1"/>
  <c r="H32" i="1" a="1"/>
  <c r="G32" i="1" a="1"/>
  <c r="G35" i="1" a="1"/>
  <c r="H39" i="1" a="1"/>
  <c r="H35" i="1" a="1"/>
  <c r="L3" i="2" a="1"/>
  <c r="L3" i="2" s="1"/>
  <c r="L4" i="2" a="1"/>
  <c r="L4" i="2"/>
  <c r="L5" i="2" a="1"/>
  <c r="L5" i="2"/>
  <c r="L6" i="2" a="1"/>
  <c r="L6" i="2"/>
  <c r="L7" i="2" a="1"/>
  <c r="L7" i="2" s="1"/>
  <c r="L8" i="2" a="1"/>
  <c r="L8" i="2"/>
  <c r="L9" i="2" a="1"/>
  <c r="L9" i="2"/>
  <c r="L10" i="2" a="1"/>
  <c r="L10" i="2"/>
  <c r="L11" i="2" a="1"/>
  <c r="L11" i="2" s="1"/>
  <c r="L12" i="2" a="1"/>
  <c r="L12" i="2"/>
  <c r="L13" i="2" a="1"/>
  <c r="L13" i="2"/>
  <c r="L14" i="2" a="1"/>
  <c r="L14" i="2"/>
  <c r="L15" i="2" a="1"/>
  <c r="L15" i="2" s="1"/>
  <c r="L16" i="2" a="1"/>
  <c r="L16" i="2"/>
  <c r="L17" i="2" a="1"/>
  <c r="L17" i="2"/>
  <c r="L18" i="2" a="1"/>
  <c r="L18" i="2"/>
  <c r="L19" i="2" a="1"/>
  <c r="L19" i="2" s="1"/>
  <c r="L20" i="2" a="1"/>
  <c r="L20" i="2"/>
  <c r="L21" i="2" a="1"/>
  <c r="L21" i="2"/>
  <c r="L22" i="2" a="1"/>
  <c r="L22" i="2"/>
  <c r="L23" i="2" a="1"/>
  <c r="L23" i="2" s="1"/>
  <c r="L24" i="2" a="1"/>
  <c r="L24" i="2"/>
  <c r="L25" i="2" a="1"/>
  <c r="L25" i="2"/>
  <c r="L26" i="2" a="1"/>
  <c r="L26" i="2"/>
  <c r="L27" i="2" a="1"/>
  <c r="L27" i="2" s="1"/>
  <c r="L28" i="2" a="1"/>
  <c r="L28" i="2"/>
  <c r="L29" i="2" a="1"/>
  <c r="L29" i="2"/>
  <c r="L30" i="2" a="1"/>
  <c r="L30" i="2"/>
  <c r="L31" i="2" a="1"/>
  <c r="L31" i="2" s="1"/>
  <c r="L32" i="2" a="1"/>
  <c r="L32" i="2"/>
  <c r="L33" i="2" a="1"/>
  <c r="L33" i="2"/>
  <c r="L34" i="2" a="1"/>
  <c r="L34" i="2"/>
  <c r="L35" i="2" a="1"/>
  <c r="L35" i="2" s="1"/>
  <c r="L36" i="2" a="1"/>
  <c r="L36" i="2"/>
  <c r="L37" i="2" a="1"/>
  <c r="L37" i="2"/>
  <c r="L38" i="2" a="1"/>
  <c r="L38" i="2"/>
  <c r="L39" i="2" a="1"/>
  <c r="L39" i="2" s="1"/>
  <c r="L40" i="2" a="1"/>
  <c r="L40" i="2"/>
  <c r="L41" i="2" a="1"/>
  <c r="L41" i="2"/>
  <c r="L42" i="2" a="1"/>
  <c r="L42" i="2"/>
  <c r="L43" i="2" a="1"/>
  <c r="L43" i="2" s="1"/>
  <c r="L44" i="2" a="1"/>
  <c r="L44" i="2"/>
  <c r="L45" i="2" a="1"/>
  <c r="L45" i="2"/>
  <c r="L46" i="2" a="1"/>
  <c r="L46" i="2"/>
  <c r="L47" i="2" a="1"/>
  <c r="L47" i="2" s="1"/>
  <c r="L48" i="2" a="1"/>
  <c r="L48" i="2"/>
  <c r="L49" i="2" a="1"/>
  <c r="L49" i="2"/>
  <c r="L50" i="2" a="1"/>
  <c r="L50" i="2"/>
  <c r="L51" i="2" a="1"/>
  <c r="L51" i="2" s="1"/>
  <c r="L52" i="2" a="1"/>
  <c r="L52" i="2"/>
  <c r="L53" i="2" a="1"/>
  <c r="L53" i="2"/>
  <c r="L54" i="2" a="1"/>
  <c r="L54" i="2"/>
  <c r="L55" i="2" a="1"/>
  <c r="L55" i="2" s="1"/>
  <c r="L56" i="2" a="1"/>
  <c r="L56" i="2"/>
  <c r="L57" i="2" a="1"/>
  <c r="L57" i="2"/>
  <c r="M3" i="2" a="1"/>
  <c r="M3" i="2" s="1"/>
  <c r="M4" i="2" a="1"/>
  <c r="M4" i="2" s="1"/>
  <c r="M5" i="2" a="1"/>
  <c r="M5" i="2"/>
  <c r="M6" i="2" a="1"/>
  <c r="M6" i="2"/>
  <c r="M7" i="2" a="1"/>
  <c r="M7" i="2" s="1"/>
  <c r="M8" i="2" a="1"/>
  <c r="M8" i="2" s="1"/>
  <c r="M9" i="2" a="1"/>
  <c r="M9" i="2"/>
  <c r="M10" i="2" a="1"/>
  <c r="M10" i="2"/>
  <c r="M11" i="2" a="1"/>
  <c r="M11" i="2" s="1"/>
  <c r="M12" i="2" a="1"/>
  <c r="M12" i="2" s="1"/>
  <c r="M13" i="2" a="1"/>
  <c r="M13" i="2"/>
  <c r="M14" i="2" a="1"/>
  <c r="M14" i="2"/>
  <c r="M15" i="2" a="1"/>
  <c r="M15" i="2" s="1"/>
  <c r="M16" i="2" a="1"/>
  <c r="M16" i="2" s="1"/>
  <c r="M17" i="2" a="1"/>
  <c r="M17" i="2"/>
  <c r="M18" i="2" a="1"/>
  <c r="M18" i="2"/>
  <c r="M19" i="2" a="1"/>
  <c r="M19" i="2" s="1"/>
  <c r="M20" i="2" a="1"/>
  <c r="M20" i="2" s="1"/>
  <c r="M21" i="2" a="1"/>
  <c r="M21" i="2"/>
  <c r="M22" i="2" a="1"/>
  <c r="M22" i="2"/>
  <c r="M23" i="2" a="1"/>
  <c r="M23" i="2" s="1"/>
  <c r="M24" i="2" a="1"/>
  <c r="M24" i="2" s="1"/>
  <c r="M25" i="2" a="1"/>
  <c r="M25" i="2"/>
  <c r="M26" i="2" a="1"/>
  <c r="M26" i="2"/>
  <c r="M27" i="2" a="1"/>
  <c r="M27" i="2" s="1"/>
  <c r="M28" i="2" a="1"/>
  <c r="M28" i="2" s="1"/>
  <c r="M29" i="2" a="1"/>
  <c r="M29" i="2"/>
  <c r="M30" i="2" a="1"/>
  <c r="M30" i="2"/>
  <c r="M31" i="2" a="1"/>
  <c r="M31" i="2" s="1"/>
  <c r="M32" i="2" a="1"/>
  <c r="M32" i="2" s="1"/>
  <c r="M33" i="2" a="1"/>
  <c r="M33" i="2"/>
  <c r="M34" i="2" a="1"/>
  <c r="M34" i="2"/>
  <c r="M35" i="2" a="1"/>
  <c r="M35" i="2" s="1"/>
  <c r="M36" i="2" a="1"/>
  <c r="M36" i="2" s="1"/>
  <c r="M37" i="2" a="1"/>
  <c r="M37" i="2"/>
  <c r="M38" i="2" a="1"/>
  <c r="M38" i="2"/>
  <c r="M39" i="2" a="1"/>
  <c r="M39" i="2" s="1"/>
  <c r="M40" i="2" a="1"/>
  <c r="M40" i="2" s="1"/>
  <c r="M41" i="2" a="1"/>
  <c r="M41" i="2"/>
  <c r="M42" i="2" a="1"/>
  <c r="M42" i="2"/>
  <c r="M43" i="2" a="1"/>
  <c r="M43" i="2" s="1"/>
  <c r="M44" i="2" a="1"/>
  <c r="M44" i="2" s="1"/>
  <c r="M45" i="2" a="1"/>
  <c r="M45" i="2"/>
  <c r="M46" i="2" a="1"/>
  <c r="M46" i="2"/>
  <c r="M47" i="2" a="1"/>
  <c r="M47" i="2" s="1"/>
  <c r="M48" i="2" a="1"/>
  <c r="M48" i="2" s="1"/>
  <c r="M49" i="2" a="1"/>
  <c r="M49" i="2"/>
  <c r="M50" i="2" a="1"/>
  <c r="M50" i="2"/>
  <c r="M51" i="2" a="1"/>
  <c r="M51" i="2" s="1"/>
  <c r="M52" i="2" a="1"/>
  <c r="M52" i="2" s="1"/>
  <c r="M53" i="2" a="1"/>
  <c r="M53" i="2"/>
  <c r="M54" i="2" a="1"/>
  <c r="M54" i="2"/>
  <c r="M55" i="2" a="1"/>
  <c r="M55" i="2" s="1"/>
  <c r="M56" i="2" a="1"/>
  <c r="M56" i="2" s="1"/>
  <c r="M57" i="2" a="1"/>
  <c r="M57" i="2"/>
  <c r="M2" i="2" a="1"/>
  <c r="M2" i="2" s="1"/>
  <c r="L2" i="2" a="1"/>
  <c r="L2" i="2"/>
  <c r="F20" i="1" a="1"/>
  <c r="E20" i="1" a="1"/>
  <c r="D13" i="1" a="1"/>
  <c r="E13" i="1" a="1"/>
  <c r="F13" i="1" a="1"/>
  <c r="E9" i="1" a="1"/>
  <c r="F9" i="1" a="1"/>
  <c r="D9" i="1" a="1"/>
  <c r="H20" i="8" l="1" a="1"/>
  <c r="H20" i="8" s="1"/>
  <c r="H7" i="8" s="1" a="1"/>
  <c r="H7" i="8" s="1"/>
  <c r="G38" i="8"/>
  <c r="G34" i="8"/>
  <c r="H34" i="8"/>
  <c r="G36" i="8"/>
  <c r="G21" i="8" s="1" a="1"/>
  <c r="G21" i="8" s="1"/>
  <c r="G9" i="8" s="1" a="1"/>
  <c r="G9" i="8" s="1"/>
  <c r="G40" i="8"/>
  <c r="G22" i="8" s="1" a="1"/>
  <c r="G22" i="8" s="1"/>
  <c r="G14" i="8" s="1" a="1"/>
  <c r="G14" i="8" s="1"/>
  <c r="H38" i="8"/>
  <c r="H40" i="8"/>
  <c r="H22" i="8" s="1" a="1"/>
  <c r="H22" i="8" s="1"/>
  <c r="H36" i="8"/>
  <c r="H21" i="8" s="1" a="1"/>
  <c r="H21" i="8" s="1"/>
  <c r="F13" i="4"/>
  <c r="F9" i="4"/>
  <c r="E14" i="4"/>
  <c r="D13" i="4"/>
  <c r="D14" i="4" s="1"/>
  <c r="G36" i="1"/>
  <c r="H40" i="1"/>
  <c r="G38" i="1"/>
  <c r="H36" i="1"/>
  <c r="G34" i="1"/>
  <c r="H38" i="1"/>
  <c r="H34" i="1"/>
  <c r="G40" i="1"/>
  <c r="G35" i="1"/>
  <c r="G21" i="1" s="1" a="1"/>
  <c r="G21" i="1" s="1"/>
  <c r="G39" i="1"/>
  <c r="H35" i="1"/>
  <c r="H39" i="1"/>
  <c r="F20" i="1"/>
  <c r="D13" i="1"/>
  <c r="F13" i="1"/>
  <c r="F9" i="1"/>
  <c r="E13" i="1"/>
  <c r="E9" i="1"/>
  <c r="H14" i="8" l="1" a="1"/>
  <c r="H14" i="8" s="1"/>
  <c r="H9" i="8" a="1"/>
  <c r="H9" i="8" s="1"/>
  <c r="H22" i="1" a="1"/>
  <c r="H22" i="1" s="1"/>
  <c r="H21" i="1" a="1"/>
  <c r="H21" i="1" s="1"/>
  <c r="F14" i="4"/>
  <c r="G22" i="1" a="1"/>
  <c r="G22" i="1" s="1"/>
  <c r="E14" i="1"/>
  <c r="F14" i="1"/>
  <c r="C13" i="4" l="1" a="1"/>
  <c r="C9" i="4" a="1"/>
  <c r="C13" i="1" a="1"/>
  <c r="C13" i="1"/>
  <c r="C9" i="1" a="1"/>
  <c r="K2" i="2"/>
  <c r="K4" i="2" a="1"/>
  <c r="K4" i="2" s="1"/>
  <c r="K5" i="2" a="1"/>
  <c r="K5" i="2" s="1"/>
  <c r="K17" i="2" a="1"/>
  <c r="K17" i="2" s="1"/>
  <c r="K20" i="2" a="1"/>
  <c r="K20" i="2" s="1"/>
  <c r="K24" i="2" a="1"/>
  <c r="K24" i="2" s="1"/>
  <c r="K25" i="2" a="1"/>
  <c r="K25" i="2" s="1"/>
  <c r="K33" i="2" a="1"/>
  <c r="K33" i="2" s="1"/>
  <c r="J3" i="2" a="1"/>
  <c r="J3" i="2" s="1"/>
  <c r="K3" i="2" s="1" a="1"/>
  <c r="K3" i="2" s="1"/>
  <c r="J4" i="2" a="1"/>
  <c r="J4" i="2" s="1"/>
  <c r="J5" i="2" a="1"/>
  <c r="J5" i="2" s="1"/>
  <c r="J6" i="2" a="1"/>
  <c r="J6" i="2"/>
  <c r="K6" i="2" s="1" a="1"/>
  <c r="K6" i="2" s="1"/>
  <c r="J7" i="2" a="1"/>
  <c r="J7" i="2" s="1"/>
  <c r="K7" i="2" s="1" a="1"/>
  <c r="K7" i="2" s="1"/>
  <c r="J8" i="2" a="1"/>
  <c r="J8" i="2" s="1"/>
  <c r="K8" i="2" s="1" a="1"/>
  <c r="K8" i="2" s="1"/>
  <c r="J9" i="2" a="1"/>
  <c r="J9" i="2" s="1"/>
  <c r="K9" i="2" s="1" a="1"/>
  <c r="K9" i="2" s="1"/>
  <c r="J10" i="2" a="1"/>
  <c r="J10" i="2" s="1"/>
  <c r="K10" i="2" s="1" a="1"/>
  <c r="K10" i="2" s="1"/>
  <c r="J11" i="2" a="1"/>
  <c r="J11" i="2" s="1"/>
  <c r="K11" i="2" s="1" a="1"/>
  <c r="K11" i="2" s="1"/>
  <c r="J12" i="2" a="1"/>
  <c r="J12" i="2" s="1"/>
  <c r="K12" i="2" s="1" a="1"/>
  <c r="K12" i="2" s="1"/>
  <c r="J13" i="2" a="1"/>
  <c r="J13" i="2" s="1"/>
  <c r="K13" i="2" s="1" a="1"/>
  <c r="K13" i="2" s="1"/>
  <c r="J14" i="2" a="1"/>
  <c r="J14" i="2"/>
  <c r="K14" i="2" s="1" a="1"/>
  <c r="K14" i="2" s="1"/>
  <c r="J15" i="2" a="1"/>
  <c r="J15" i="2" s="1"/>
  <c r="K15" i="2" s="1" a="1"/>
  <c r="K15" i="2" s="1"/>
  <c r="J16" i="2" a="1"/>
  <c r="J16" i="2" s="1"/>
  <c r="K16" i="2" s="1" a="1"/>
  <c r="K16" i="2" s="1"/>
  <c r="J17" i="2" a="1"/>
  <c r="J17" i="2" s="1"/>
  <c r="J18" i="2" a="1"/>
  <c r="J18" i="2"/>
  <c r="K18" i="2" s="1" a="1"/>
  <c r="K18" i="2" s="1"/>
  <c r="J19" i="2" a="1"/>
  <c r="J19" i="2" s="1"/>
  <c r="K19" i="2" s="1" a="1"/>
  <c r="K19" i="2" s="1"/>
  <c r="J20" i="2" a="1"/>
  <c r="J20" i="2" s="1"/>
  <c r="J21" i="2" a="1"/>
  <c r="J21" i="2" s="1"/>
  <c r="K21" i="2" s="1" a="1"/>
  <c r="K21" i="2" s="1"/>
  <c r="J22" i="2" a="1"/>
  <c r="J22" i="2" s="1"/>
  <c r="K22" i="2" s="1" a="1"/>
  <c r="K22" i="2" s="1"/>
  <c r="J23" i="2" a="1"/>
  <c r="J23" i="2" s="1"/>
  <c r="K23" i="2" s="1" a="1"/>
  <c r="K23" i="2" s="1"/>
  <c r="J24" i="2" a="1"/>
  <c r="J24" i="2" s="1"/>
  <c r="J25" i="2" a="1"/>
  <c r="J25" i="2" s="1"/>
  <c r="J26" i="2" a="1"/>
  <c r="J26" i="2" s="1"/>
  <c r="K26" i="2" s="1" a="1"/>
  <c r="K26" i="2" s="1"/>
  <c r="J27" i="2" a="1"/>
  <c r="J27" i="2" s="1"/>
  <c r="K27" i="2" s="1" a="1"/>
  <c r="K27" i="2" s="1"/>
  <c r="J28" i="2" a="1"/>
  <c r="J28" i="2" s="1"/>
  <c r="K28" i="2" s="1" a="1"/>
  <c r="K28" i="2" s="1"/>
  <c r="J29" i="2" a="1"/>
  <c r="J29" i="2" s="1"/>
  <c r="K29" i="2" s="1" a="1"/>
  <c r="K29" i="2" s="1"/>
  <c r="J30" i="2" a="1"/>
  <c r="J30" i="2"/>
  <c r="K30" i="2" s="1" a="1"/>
  <c r="K30" i="2" s="1"/>
  <c r="J31" i="2" a="1"/>
  <c r="J31" i="2" s="1"/>
  <c r="K31" i="2" s="1" a="1"/>
  <c r="K31" i="2" s="1"/>
  <c r="J32" i="2" a="1"/>
  <c r="J32" i="2" s="1"/>
  <c r="K32" i="2" s="1" a="1"/>
  <c r="K32" i="2" s="1"/>
  <c r="J33" i="2" a="1"/>
  <c r="J33" i="2" s="1"/>
  <c r="J34" i="2" a="1"/>
  <c r="J34" i="2" s="1"/>
  <c r="K34" i="2" s="1" a="1"/>
  <c r="K34" i="2" s="1"/>
  <c r="J35" i="2" a="1"/>
  <c r="J35" i="2" s="1"/>
  <c r="K35" i="2" s="1" a="1"/>
  <c r="K35" i="2" s="1"/>
  <c r="J36" i="2" a="1"/>
  <c r="J36" i="2" s="1"/>
  <c r="K36" i="2" s="1" a="1"/>
  <c r="K36" i="2" s="1"/>
  <c r="J37" i="2" a="1"/>
  <c r="J37" i="2" s="1"/>
  <c r="K37" i="2" s="1" a="1"/>
  <c r="K37" i="2" s="1"/>
  <c r="J38" i="2" a="1"/>
  <c r="J38" i="2"/>
  <c r="K38" i="2" s="1" a="1"/>
  <c r="K38" i="2" s="1"/>
  <c r="J39" i="2" a="1"/>
  <c r="J39" i="2" s="1"/>
  <c r="K39" i="2" s="1" a="1"/>
  <c r="K39" i="2" s="1"/>
  <c r="J40" i="2" a="1"/>
  <c r="J40" i="2" s="1"/>
  <c r="K40" i="2" s="1" a="1"/>
  <c r="K40" i="2" s="1"/>
  <c r="J41" i="2" a="1"/>
  <c r="J41" i="2" s="1"/>
  <c r="K41" i="2" s="1" a="1"/>
  <c r="K41" i="2" s="1"/>
  <c r="J42" i="2" a="1"/>
  <c r="J42" i="2"/>
  <c r="K42" i="2" s="1" a="1"/>
  <c r="K42" i="2" s="1"/>
  <c r="J43" i="2" a="1"/>
  <c r="J43" i="2" s="1"/>
  <c r="K43" i="2" s="1" a="1"/>
  <c r="K43" i="2" s="1"/>
  <c r="J44" i="2" a="1"/>
  <c r="J44" i="2" s="1"/>
  <c r="K44" i="2" s="1" a="1"/>
  <c r="K44" i="2" s="1"/>
  <c r="J45" i="2" a="1"/>
  <c r="J45" i="2" s="1"/>
  <c r="K45" i="2" s="1" a="1"/>
  <c r="K45" i="2" s="1"/>
  <c r="J46" i="2" a="1"/>
  <c r="J46" i="2"/>
  <c r="K46" i="2" s="1" a="1"/>
  <c r="K46" i="2" s="1"/>
  <c r="J47" i="2" a="1"/>
  <c r="J47" i="2" s="1"/>
  <c r="K47" i="2" s="1" a="1"/>
  <c r="K47" i="2" s="1"/>
  <c r="J48" i="2" a="1"/>
  <c r="J48" i="2" s="1"/>
  <c r="K48" i="2" s="1" a="1"/>
  <c r="K48" i="2" s="1"/>
  <c r="J49" i="2" a="1"/>
  <c r="J49" i="2" s="1"/>
  <c r="K49" i="2" s="1" a="1"/>
  <c r="K49" i="2" s="1"/>
  <c r="J50" i="2" a="1"/>
  <c r="J50" i="2" s="1"/>
  <c r="K50" i="2" s="1" a="1"/>
  <c r="K50" i="2" s="1"/>
  <c r="J51" i="2" a="1"/>
  <c r="J51" i="2" s="1"/>
  <c r="K51" i="2" s="1" a="1"/>
  <c r="K51" i="2" s="1"/>
  <c r="J52" i="2" a="1"/>
  <c r="J52" i="2" s="1"/>
  <c r="K52" i="2" s="1" a="1"/>
  <c r="K52" i="2" s="1"/>
  <c r="J53" i="2" a="1"/>
  <c r="J53" i="2" s="1"/>
  <c r="K53" i="2" s="1" a="1"/>
  <c r="K53" i="2" s="1"/>
  <c r="J54" i="2" a="1"/>
  <c r="J54" i="2" s="1"/>
  <c r="K54" i="2" s="1" a="1"/>
  <c r="K54" i="2" s="1"/>
  <c r="J55" i="2" a="1"/>
  <c r="J55" i="2" s="1"/>
  <c r="K55" i="2" s="1" a="1"/>
  <c r="K55" i="2" s="1"/>
  <c r="J56" i="2" a="1"/>
  <c r="J56" i="2" s="1"/>
  <c r="K56" i="2" s="1" a="1"/>
  <c r="K56" i="2" s="1"/>
  <c r="J57" i="2" a="1"/>
  <c r="J57" i="2" s="1"/>
  <c r="K57" i="2" s="1" a="1"/>
  <c r="K57" i="2" s="1"/>
  <c r="J2" i="2" a="1"/>
  <c r="J2" i="2" s="1"/>
  <c r="C9" i="4" l="1"/>
  <c r="C13" i="4"/>
  <c r="D9" i="1"/>
  <c r="D14" i="1" s="1"/>
  <c r="E20" i="1"/>
  <c r="C14" i="4" l="1"/>
  <c r="H32" i="1"/>
  <c r="G32" i="1"/>
  <c r="H30" i="1"/>
  <c r="G30" i="1"/>
  <c r="G31" i="1"/>
  <c r="G20" i="1"/>
  <c r="G7" i="1" s="1" a="1"/>
  <c r="G7" i="1" s="1"/>
  <c r="G14" i="1" s="1" a="1"/>
  <c r="G14" i="1" s="1"/>
  <c r="H31" i="1"/>
  <c r="H20" i="1" s="1" a="1"/>
  <c r="H20" i="1" s="1"/>
  <c r="H7" i="1" l="1" a="1"/>
  <c r="H7" i="1" s="1"/>
  <c r="G9" i="1" a="1"/>
  <c r="G9" i="1" s="1"/>
  <c r="H9" i="1" l="1" a="1"/>
  <c r="H9" i="1" s="1"/>
  <c r="H14" i="1" a="1"/>
  <c r="H14" i="1" s="1"/>
  <c r="C9" i="1"/>
  <c r="C14" i="1" s="1"/>
</calcChain>
</file>

<file path=xl/sharedStrings.xml><?xml version="1.0" encoding="utf-8"?>
<sst xmlns="http://schemas.openxmlformats.org/spreadsheetml/2006/main" count="503" uniqueCount="75">
  <si>
    <t>Income Statement</t>
  </si>
  <si>
    <t>Revenues</t>
  </si>
  <si>
    <t>COGS</t>
  </si>
  <si>
    <t>Gross Profit</t>
  </si>
  <si>
    <t>Sales, General and Admin.</t>
  </si>
  <si>
    <t>Other Operating Expenses</t>
  </si>
  <si>
    <t>Total Operating Expenses</t>
  </si>
  <si>
    <t>Operating Income/EBIT</t>
  </si>
  <si>
    <t>Year 1</t>
  </si>
  <si>
    <t>Year 2</t>
  </si>
  <si>
    <t>Year 3</t>
  </si>
  <si>
    <t>Year 4</t>
  </si>
  <si>
    <t>Year 5</t>
  </si>
  <si>
    <t>Year 6</t>
  </si>
  <si>
    <t>Historical</t>
  </si>
  <si>
    <t>Forcast</t>
  </si>
  <si>
    <t>Assumptions</t>
  </si>
  <si>
    <t>Revenue Growth%</t>
  </si>
  <si>
    <t>Gross Margin</t>
  </si>
  <si>
    <t>Operating Margin</t>
  </si>
  <si>
    <t>Scenario</t>
  </si>
  <si>
    <t>Base case</t>
  </si>
  <si>
    <t>Operating Scenarios - sensitivity analysis</t>
  </si>
  <si>
    <t>Revenue growth (%)</t>
  </si>
  <si>
    <t>Strong case</t>
  </si>
  <si>
    <t>Weak case</t>
  </si>
  <si>
    <t xml:space="preserve"> Research and Development 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</si>
  <si>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</si>
  <si>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</si>
  <si>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</si>
  <si>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</si>
  <si>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</si>
  <si>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</si>
  <si>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Other Operating Items </t>
  </si>
  <si>
    <t>GICS Sector</t>
  </si>
  <si>
    <t>GICS Sub Industry</t>
  </si>
  <si>
    <t>ABT</t>
  </si>
  <si>
    <t>Health Care</t>
  </si>
  <si>
    <t>Health Care Equipment</t>
  </si>
  <si>
    <t>BAX</t>
  </si>
  <si>
    <t xml:space="preserve"> $-   </t>
  </si>
  <si>
    <t>BCR</t>
  </si>
  <si>
    <t>BDX</t>
  </si>
  <si>
    <t>BSX</t>
  </si>
  <si>
    <t>EW</t>
  </si>
  <si>
    <t>HOLX</t>
  </si>
  <si>
    <t>IDXX</t>
  </si>
  <si>
    <t>ISRG</t>
  </si>
  <si>
    <t>PKI</t>
  </si>
  <si>
    <t>SYK</t>
  </si>
  <si>
    <t>TMO</t>
  </si>
  <si>
    <t>VAR</t>
  </si>
  <si>
    <t>ZBH</t>
  </si>
  <si>
    <t>Row Labels</t>
  </si>
  <si>
    <t>(blank)</t>
  </si>
  <si>
    <t>Grand Total</t>
  </si>
  <si>
    <t>Base Case</t>
  </si>
  <si>
    <t>Strong Case</t>
  </si>
  <si>
    <t>Weak Case</t>
  </si>
  <si>
    <t>Operating Profit</t>
  </si>
  <si>
    <t xml:space="preserve"> </t>
  </si>
  <si>
    <t>YHOO</t>
  </si>
  <si>
    <t>Information Technology</t>
  </si>
  <si>
    <t>Internet Software &amp; Services</t>
  </si>
  <si>
    <t>Operating profit</t>
  </si>
  <si>
    <t>Base Year</t>
  </si>
  <si>
    <t>Profit &amp; Loss Statement for YHOO</t>
  </si>
  <si>
    <t>Profit and Loss Statement for Health Care Equipment Companies</t>
  </si>
  <si>
    <t>Operating Statistics</t>
  </si>
  <si>
    <t>One Criterion</t>
  </si>
  <si>
    <t>(Multiple Criteria)</t>
  </si>
  <si>
    <t>using different formula</t>
  </si>
  <si>
    <t>ticker_symbole</t>
  </si>
  <si>
    <t>Scenatios</t>
  </si>
  <si>
    <t>Finacncial Forcast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</si>
</sst>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.000_);_(* \(#,##0.000\);_(* &quot;-&quot;??_);_(@_)"/>
    <numFmt numFmtId="166" formatCode="&quot;$&quot;#,##0.000_);[Red]\(&quot;$&quot;#,##0.000\)"/>
    <numFmt numFmtId="167" formatCode="0.000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2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CF0F8"/>
        <bgColor indexed="64"/>
      </patternFill>
    </fill>
    <fill>
      <patternFill patternType="solid">
        <fgColor theme="7" tint="0.399975585192419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9" xfId="0" applyBorder="1"/>
    <xf numFmtId="0" fontId="3" fillId="0" borderId="9" xfId="0" applyFont="1" applyBorder="1"/>
    <xf numFmtId="0" fontId="0" fillId="0" borderId="12" xfId="0" applyBorder="1"/>
    <xf numFmtId="0" fontId="0" fillId="0" borderId="0" xfId="0" applyAlignment="1">
      <alignment horizontal="center"/>
    </xf>
    <xf numFmtId="2" fontId="0" fillId="0" borderId="0" xfId="0" applyNumberFormat="1"/>
    <xf numFmtId="0" fontId="5" fillId="0" borderId="12" xfId="0" applyFont="1" applyBorder="1"/>
    <xf numFmtId="0" fontId="4" fillId="0" borderId="0" xfId="0" applyFont="1" applyAlignment="1">
      <alignment horizontal="left" vertical="center"/>
    </xf>
    <xf numFmtId="0" fontId="6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5" fillId="0" borderId="0" xfId="0" applyFont="1"/>
    <xf numFmtId="164" fontId="8" fillId="0" borderId="27" xfId="1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27" xfId="0" applyNumberFormat="1" applyFont="1" applyBorder="1" applyAlignment="1">
      <alignment horizontal="center"/>
    </xf>
    <xf numFmtId="164" fontId="5" fillId="0" borderId="11" xfId="1" applyNumberFormat="1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left"/>
    </xf>
    <xf numFmtId="2" fontId="0" fillId="0" borderId="0" xfId="0" applyNumberFormat="1" applyBorder="1"/>
    <xf numFmtId="0" fontId="0" fillId="0" borderId="9" xfId="0" applyBorder="1" applyAlignment="1">
      <alignment horizontal="left"/>
    </xf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9" fillId="3" borderId="0" xfId="0" applyFont="1" applyFill="1"/>
    <xf numFmtId="0" fontId="9" fillId="0" borderId="0" xfId="0" applyFont="1" applyAlignment="1">
      <alignment horizontal="left"/>
    </xf>
    <xf numFmtId="0" fontId="9" fillId="0" borderId="0" xfId="0" applyFont="1"/>
    <xf numFmtId="0" fontId="5" fillId="3" borderId="0" xfId="0" applyFont="1" applyFill="1"/>
    <xf numFmtId="0" fontId="5" fillId="0" borderId="0" xfId="0" applyFont="1" applyFill="1" applyBorder="1"/>
    <xf numFmtId="0" fontId="10" fillId="0" borderId="0" xfId="0" applyFont="1"/>
    <xf numFmtId="6" fontId="10" fillId="0" borderId="0" xfId="0" applyNumberFormat="1" applyFont="1"/>
    <xf numFmtId="0" fontId="11" fillId="0" borderId="0" xfId="0" applyFont="1"/>
    <xf numFmtId="165" fontId="10" fillId="0" borderId="0" xfId="3" applyNumberFormat="1" applyFont="1"/>
    <xf numFmtId="164" fontId="5" fillId="0" borderId="30" xfId="1" applyNumberFormat="1" applyFont="1" applyFill="1" applyBorder="1" applyAlignment="1">
      <alignment horizontal="center"/>
    </xf>
    <xf numFmtId="2" fontId="8" fillId="0" borderId="27" xfId="0" applyNumberFormat="1" applyFont="1" applyBorder="1" applyAlignment="1">
      <alignment horizontal="center"/>
    </xf>
    <xf numFmtId="166" fontId="10" fillId="0" borderId="0" xfId="0" applyNumberFormat="1" applyFont="1"/>
    <xf numFmtId="164" fontId="8" fillId="0" borderId="26" xfId="0" applyNumberFormat="1" applyFont="1" applyBorder="1" applyAlignment="1">
      <alignment horizontal="center"/>
    </xf>
    <xf numFmtId="164" fontId="8" fillId="0" borderId="26" xfId="1" applyNumberFormat="1" applyFont="1" applyFill="1" applyBorder="1" applyAlignment="1">
      <alignment horizontal="center"/>
    </xf>
    <xf numFmtId="2" fontId="8" fillId="0" borderId="26" xfId="1" applyNumberFormat="1" applyFont="1" applyFill="1" applyBorder="1" applyAlignment="1">
      <alignment horizontal="center"/>
    </xf>
    <xf numFmtId="2" fontId="12" fillId="0" borderId="26" xfId="0" applyNumberFormat="1" applyFont="1" applyBorder="1" applyAlignment="1">
      <alignment horizontal="center"/>
    </xf>
    <xf numFmtId="2" fontId="12" fillId="0" borderId="28" xfId="1" applyNumberFormat="1" applyFont="1" applyFill="1" applyBorder="1" applyAlignment="1">
      <alignment horizontal="center"/>
    </xf>
    <xf numFmtId="164" fontId="13" fillId="0" borderId="6" xfId="1" applyNumberFormat="1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2" fontId="13" fillId="0" borderId="6" xfId="0" applyNumberFormat="1" applyFont="1" applyBorder="1" applyAlignment="1">
      <alignment horizontal="center"/>
    </xf>
    <xf numFmtId="2" fontId="14" fillId="0" borderId="11" xfId="0" applyNumberFormat="1" applyFont="1" applyBorder="1" applyAlignment="1">
      <alignment horizontal="center"/>
    </xf>
    <xf numFmtId="2" fontId="10" fillId="0" borderId="6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44" fontId="15" fillId="0" borderId="6" xfId="2" applyFont="1" applyBorder="1" applyAlignment="1">
      <alignment horizontal="center"/>
    </xf>
    <xf numFmtId="44" fontId="15" fillId="0" borderId="0" xfId="2" applyFont="1" applyBorder="1" applyAlignment="1">
      <alignment horizontal="center"/>
    </xf>
    <xf numFmtId="44" fontId="16" fillId="0" borderId="6" xfId="0" applyNumberFormat="1" applyFont="1" applyBorder="1" applyAlignment="1">
      <alignment horizontal="center"/>
    </xf>
    <xf numFmtId="164" fontId="13" fillId="0" borderId="27" xfId="1" applyNumberFormat="1" applyFont="1" applyFill="1" applyBorder="1" applyAlignment="1">
      <alignment horizontal="center"/>
    </xf>
    <xf numFmtId="164" fontId="13" fillId="0" borderId="27" xfId="0" applyNumberFormat="1" applyFont="1" applyBorder="1" applyAlignment="1">
      <alignment horizontal="center"/>
    </xf>
    <xf numFmtId="10" fontId="13" fillId="0" borderId="6" xfId="1" applyNumberFormat="1" applyFont="1" applyBorder="1" applyAlignment="1">
      <alignment horizontal="center"/>
    </xf>
    <xf numFmtId="10" fontId="17" fillId="0" borderId="26" xfId="1" applyNumberFormat="1" applyFont="1" applyBorder="1" applyAlignment="1">
      <alignment horizontal="center"/>
    </xf>
    <xf numFmtId="10" fontId="17" fillId="0" borderId="26" xfId="1" applyNumberFormat="1" applyFont="1" applyFill="1" applyBorder="1" applyAlignment="1">
      <alignment horizontal="center"/>
    </xf>
    <xf numFmtId="167" fontId="13" fillId="0" borderId="6" xfId="0" applyNumberFormat="1" applyFont="1" applyBorder="1" applyAlignment="1">
      <alignment horizontal="center"/>
    </xf>
    <xf numFmtId="167" fontId="17" fillId="0" borderId="26" xfId="1" applyNumberFormat="1" applyFont="1" applyFill="1" applyBorder="1" applyAlignment="1">
      <alignment horizontal="center"/>
    </xf>
    <xf numFmtId="167" fontId="10" fillId="0" borderId="6" xfId="0" applyNumberFormat="1" applyFont="1" applyBorder="1" applyAlignment="1">
      <alignment horizontal="center"/>
    </xf>
    <xf numFmtId="167" fontId="18" fillId="0" borderId="26" xfId="0" applyNumberFormat="1" applyFont="1" applyBorder="1" applyAlignment="1">
      <alignment horizontal="center"/>
    </xf>
    <xf numFmtId="167" fontId="10" fillId="0" borderId="8" xfId="0" applyNumberFormat="1" applyFont="1" applyBorder="1" applyAlignment="1">
      <alignment horizontal="center"/>
    </xf>
    <xf numFmtId="167" fontId="18" fillId="0" borderId="28" xfId="1" applyNumberFormat="1" applyFont="1" applyFill="1" applyBorder="1" applyAlignment="1">
      <alignment horizontal="center"/>
    </xf>
    <xf numFmtId="44" fontId="19" fillId="0" borderId="6" xfId="2" applyFont="1" applyBorder="1" applyAlignment="1">
      <alignment horizontal="center"/>
    </xf>
    <xf numFmtId="44" fontId="19" fillId="0" borderId="6" xfId="0" applyNumberFormat="1" applyFont="1" applyBorder="1" applyAlignment="1">
      <alignment horizontal="center"/>
    </xf>
    <xf numFmtId="44" fontId="20" fillId="0" borderId="20" xfId="2" applyFont="1" applyBorder="1" applyAlignment="1">
      <alignment horizontal="center"/>
    </xf>
    <xf numFmtId="44" fontId="20" fillId="0" borderId="21" xfId="2" applyFont="1" applyBorder="1" applyAlignment="1">
      <alignment horizontal="center"/>
    </xf>
    <xf numFmtId="44" fontId="20" fillId="0" borderId="22" xfId="2" applyFont="1" applyBorder="1" applyAlignment="1">
      <alignment horizontal="center"/>
    </xf>
    <xf numFmtId="44" fontId="20" fillId="0" borderId="7" xfId="2" applyFont="1" applyBorder="1" applyAlignment="1">
      <alignment horizontal="center"/>
    </xf>
    <xf numFmtId="0" fontId="7" fillId="4" borderId="10" xfId="0" applyFont="1" applyFill="1" applyBorder="1"/>
    <xf numFmtId="44" fontId="19" fillId="4" borderId="8" xfId="0" applyNumberFormat="1" applyFont="1" applyFill="1" applyBorder="1" applyAlignment="1">
      <alignment horizontal="center"/>
    </xf>
    <xf numFmtId="44" fontId="19" fillId="4" borderId="23" xfId="2" applyFont="1" applyFill="1" applyBorder="1" applyAlignment="1">
      <alignment horizontal="center"/>
    </xf>
    <xf numFmtId="44" fontId="19" fillId="4" borderId="10" xfId="2" applyFont="1" applyFill="1" applyBorder="1" applyAlignment="1">
      <alignment horizontal="center"/>
    </xf>
    <xf numFmtId="0" fontId="20" fillId="5" borderId="22" xfId="0" applyFont="1" applyFill="1" applyBorder="1" applyAlignment="1">
      <alignment horizontal="center"/>
    </xf>
    <xf numFmtId="0" fontId="20" fillId="5" borderId="7" xfId="0" applyFont="1" applyFill="1" applyBorder="1" applyAlignment="1">
      <alignment horizontal="center"/>
    </xf>
    <xf numFmtId="44" fontId="0" fillId="5" borderId="22" xfId="2" applyFont="1" applyFill="1" applyBorder="1" applyAlignment="1">
      <alignment horizontal="center"/>
    </xf>
    <xf numFmtId="44" fontId="0" fillId="5" borderId="7" xfId="2" applyFont="1" applyFill="1" applyBorder="1" applyAlignment="1">
      <alignment horizontal="center"/>
    </xf>
    <xf numFmtId="44" fontId="20" fillId="4" borderId="23" xfId="2" applyFont="1" applyFill="1" applyBorder="1" applyAlignment="1">
      <alignment horizontal="center"/>
    </xf>
    <xf numFmtId="44" fontId="20" fillId="4" borderId="10" xfId="2" applyFont="1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164" fontId="20" fillId="6" borderId="32" xfId="1" applyNumberFormat="1" applyFont="1" applyFill="1" applyBorder="1" applyAlignment="1">
      <alignment horizontal="center"/>
    </xf>
    <xf numFmtId="164" fontId="20" fillId="6" borderId="33" xfId="1" applyNumberFormat="1" applyFont="1" applyFill="1" applyBorder="1" applyAlignment="1">
      <alignment horizontal="center"/>
    </xf>
    <xf numFmtId="2" fontId="15" fillId="6" borderId="34" xfId="0" applyNumberFormat="1" applyFont="1" applyFill="1" applyBorder="1" applyAlignment="1">
      <alignment horizontal="center"/>
    </xf>
    <xf numFmtId="2" fontId="15" fillId="6" borderId="35" xfId="0" applyNumberFormat="1" applyFont="1" applyFill="1" applyBorder="1" applyAlignment="1">
      <alignment horizontal="center"/>
    </xf>
    <xf numFmtId="2" fontId="15" fillId="6" borderId="36" xfId="0" applyNumberFormat="1" applyFont="1" applyFill="1" applyBorder="1" applyAlignment="1">
      <alignment horizontal="center"/>
    </xf>
    <xf numFmtId="2" fontId="15" fillId="6" borderId="37" xfId="0" applyNumberFormat="1" applyFont="1" applyFill="1" applyBorder="1" applyAlignment="1">
      <alignment horizontal="center"/>
    </xf>
    <xf numFmtId="2" fontId="15" fillId="6" borderId="38" xfId="0" applyNumberFormat="1" applyFont="1" applyFill="1" applyBorder="1" applyAlignment="1">
      <alignment horizontal="center"/>
    </xf>
    <xf numFmtId="2" fontId="15" fillId="6" borderId="39" xfId="0" applyNumberFormat="1" applyFont="1" applyFill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10" fillId="6" borderId="41" xfId="1" applyNumberFormat="1" applyFont="1" applyFill="1" applyBorder="1" applyAlignment="1">
      <alignment horizontal="center"/>
    </xf>
    <xf numFmtId="164" fontId="10" fillId="6" borderId="42" xfId="1" applyNumberFormat="1" applyFont="1" applyFill="1" applyBorder="1" applyAlignment="1">
      <alignment horizontal="center"/>
    </xf>
    <xf numFmtId="2" fontId="10" fillId="6" borderId="43" xfId="0" applyNumberFormat="1" applyFont="1" applyFill="1" applyBorder="1" applyAlignment="1">
      <alignment horizontal="center"/>
    </xf>
    <xf numFmtId="2" fontId="10" fillId="6" borderId="36" xfId="0" applyNumberFormat="1" applyFont="1" applyFill="1" applyBorder="1" applyAlignment="1">
      <alignment horizontal="center"/>
    </xf>
    <xf numFmtId="2" fontId="10" fillId="6" borderId="44" xfId="0" applyNumberFormat="1" applyFont="1" applyFill="1" applyBorder="1" applyAlignment="1">
      <alignment horizontal="center"/>
    </xf>
    <xf numFmtId="2" fontId="10" fillId="6" borderId="39" xfId="0" applyNumberFormat="1" applyFont="1" applyFill="1" applyBorder="1" applyAlignment="1">
      <alignment horizontal="center"/>
    </xf>
    <xf numFmtId="0" fontId="20" fillId="6" borderId="45" xfId="0" applyFont="1" applyFill="1" applyBorder="1" applyAlignment="1">
      <alignment horizontal="center"/>
    </xf>
    <xf numFmtId="10" fontId="20" fillId="6" borderId="32" xfId="1" applyNumberFormat="1" applyFont="1" applyFill="1" applyBorder="1" applyAlignment="1">
      <alignment horizontal="center"/>
    </xf>
    <xf numFmtId="10" fontId="20" fillId="6" borderId="33" xfId="1" applyNumberFormat="1" applyFont="1" applyFill="1" applyBorder="1" applyAlignment="1">
      <alignment horizontal="center"/>
    </xf>
    <xf numFmtId="167" fontId="15" fillId="6" borderId="43" xfId="0" applyNumberFormat="1" applyFont="1" applyFill="1" applyBorder="1" applyAlignment="1">
      <alignment horizontal="center"/>
    </xf>
    <xf numFmtId="167" fontId="15" fillId="6" borderId="35" xfId="0" applyNumberFormat="1" applyFont="1" applyFill="1" applyBorder="1" applyAlignment="1">
      <alignment horizontal="center"/>
    </xf>
    <xf numFmtId="167" fontId="15" fillId="6" borderId="36" xfId="0" applyNumberFormat="1" applyFont="1" applyFill="1" applyBorder="1" applyAlignment="1">
      <alignment horizontal="center"/>
    </xf>
    <xf numFmtId="167" fontId="15" fillId="6" borderId="44" xfId="0" applyNumberFormat="1" applyFont="1" applyFill="1" applyBorder="1" applyAlignment="1">
      <alignment horizontal="center"/>
    </xf>
    <xf numFmtId="167" fontId="15" fillId="6" borderId="38" xfId="0" applyNumberFormat="1" applyFont="1" applyFill="1" applyBorder="1" applyAlignment="1">
      <alignment horizontal="center"/>
    </xf>
    <xf numFmtId="167" fontId="15" fillId="6" borderId="39" xfId="0" applyNumberFormat="1" applyFont="1" applyFill="1" applyBorder="1" applyAlignment="1">
      <alignment horizontal="center"/>
    </xf>
    <xf numFmtId="10" fontId="10" fillId="6" borderId="45" xfId="1" applyNumberFormat="1" applyFont="1" applyFill="1" applyBorder="1" applyAlignment="1">
      <alignment horizontal="center"/>
    </xf>
    <xf numFmtId="10" fontId="10" fillId="6" borderId="33" xfId="1" applyNumberFormat="1" applyFont="1" applyFill="1" applyBorder="1" applyAlignment="1">
      <alignment horizontal="center"/>
    </xf>
    <xf numFmtId="167" fontId="10" fillId="6" borderId="43" xfId="0" applyNumberFormat="1" applyFont="1" applyFill="1" applyBorder="1" applyAlignment="1">
      <alignment horizontal="center"/>
    </xf>
    <xf numFmtId="167" fontId="10" fillId="6" borderId="36" xfId="0" applyNumberFormat="1" applyFont="1" applyFill="1" applyBorder="1" applyAlignment="1">
      <alignment horizontal="center"/>
    </xf>
    <xf numFmtId="167" fontId="10" fillId="6" borderId="44" xfId="0" applyNumberFormat="1" applyFont="1" applyFill="1" applyBorder="1" applyAlignment="1">
      <alignment horizontal="center"/>
    </xf>
    <xf numFmtId="167" fontId="10" fillId="6" borderId="3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0" fillId="7" borderId="0" xfId="0" applyFill="1"/>
    <xf numFmtId="0" fontId="1" fillId="0" borderId="0" xfId="0" applyFont="1"/>
    <xf numFmtId="0" fontId="21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2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0" xfId="0" applyAlignment="1">
      <alignment horizontal="left"/>
    </xf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CF0F8"/>
      <color rgb="FFE6EB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hd makki11" refreshedDate="44688.067119560183" createdVersion="7" refreshedVersion="7" minRefreshableVersion="3" recordCount="57" xr:uid="{95023F3E-8AA1-4BB2-9913-BCDB30181065}">
  <cacheSource type="worksheet">
    <worksheetSource ref="B1:B1048576" sheet="Data- GICS, Health Care Equipme"/>
  </cacheSource>
  <cacheFields count="1">
    <cacheField name="Ticker Symbol" numFmtId="0">
      <sharedItems containsBlank="1" count="15">
        <s v="ABT"/>
        <s v="BAX"/>
        <s v="BCR"/>
        <s v="BDX"/>
        <s v="BSX"/>
        <s v="EW"/>
        <s v="HOLX"/>
        <s v="IDXX"/>
        <s v="ISRG"/>
        <s v="PKI"/>
        <s v="SYK"/>
        <s v="TMO"/>
        <s v="VAR"/>
        <s v="ZB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905891-743E-4144-9FC8-F68097FA8F4B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9" firstHeaderRow="1" firstDataRow="1" firstDataCol="1"/>
  <pivotFields count="1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426A-8C10-4E26-858D-AAB9179F0C62}">
  <sheetPr>
    <pageSetUpPr fitToPage="1"/>
  </sheetPr>
  <dimension ref="A1:O57"/>
  <sheetViews>
    <sheetView workbookViewId="0">
      <selection activeCell="G11" sqref="G11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15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3" width="22.140625" style="42" customWidth="1"/>
    <col min="14" max="14" width="11.28515625" bestFit="1" customWidth="1"/>
    <col min="15" max="15" width="21.85546875" bestFit="1" customWidth="1"/>
  </cols>
  <sheetData>
    <row r="1" spans="1:15" x14ac:dyDescent="0.2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26</v>
      </c>
      <c r="I1" t="s">
        <v>33</v>
      </c>
      <c r="J1" s="44" t="s">
        <v>3</v>
      </c>
      <c r="K1" s="44" t="s">
        <v>59</v>
      </c>
      <c r="L1" s="44" t="s">
        <v>18</v>
      </c>
      <c r="M1" s="44" t="s">
        <v>19</v>
      </c>
      <c r="N1" t="s">
        <v>34</v>
      </c>
      <c r="O1" t="s">
        <v>35</v>
      </c>
    </row>
    <row r="2" spans="1:15" x14ac:dyDescent="0.25">
      <c r="A2">
        <v>1</v>
      </c>
      <c r="B2" t="s">
        <v>36</v>
      </c>
      <c r="C2" t="s">
        <v>8</v>
      </c>
      <c r="D2" s="34">
        <v>41274</v>
      </c>
      <c r="E2" s="35">
        <v>19050000000</v>
      </c>
      <c r="F2" s="35">
        <v>8899000000</v>
      </c>
      <c r="G2" s="35">
        <v>6735000000</v>
      </c>
      <c r="H2" s="35">
        <v>1461000000</v>
      </c>
      <c r="I2" s="35">
        <v>595000000</v>
      </c>
      <c r="J2" s="43">
        <f t="array" ref="J2">E2-F2</f>
        <v>10151000000</v>
      </c>
      <c r="K2" s="43">
        <f>J2-SUM(G2:I2)</f>
        <v>1360000000</v>
      </c>
      <c r="L2" s="45">
        <f t="array" ref="L2">1-(F2/E2)</f>
        <v>0.53286089238845147</v>
      </c>
      <c r="M2" s="45">
        <f t="array" ref="M2">K2/E2</f>
        <v>7.1391076115485563E-2</v>
      </c>
      <c r="N2" t="s">
        <v>37</v>
      </c>
      <c r="O2" t="s">
        <v>38</v>
      </c>
    </row>
    <row r="3" spans="1:15" x14ac:dyDescent="0.25">
      <c r="A3">
        <v>2</v>
      </c>
      <c r="B3" t="s">
        <v>36</v>
      </c>
      <c r="C3" t="s">
        <v>9</v>
      </c>
      <c r="D3" s="34">
        <v>41639</v>
      </c>
      <c r="E3" s="35">
        <v>19657000000</v>
      </c>
      <c r="F3" s="35">
        <v>9193000000</v>
      </c>
      <c r="G3" s="35">
        <v>6372000000</v>
      </c>
      <c r="H3" s="35">
        <v>1371000000</v>
      </c>
      <c r="I3" s="35">
        <v>588000000</v>
      </c>
      <c r="J3" s="43">
        <f t="array" ref="J3">E3-F3</f>
        <v>10464000000</v>
      </c>
      <c r="K3" s="43">
        <f t="array" ref="K3">J3-SUM(G3:I3)</f>
        <v>2133000000</v>
      </c>
      <c r="L3" s="45">
        <f t="array" ref="L3">1-(F3/E3)</f>
        <v>0.53232945006867782</v>
      </c>
      <c r="M3" s="45">
        <f t="array" ref="M3">K3/E3</f>
        <v>0.10851096301571959</v>
      </c>
      <c r="N3" t="s">
        <v>37</v>
      </c>
      <c r="O3" t="s">
        <v>38</v>
      </c>
    </row>
    <row r="4" spans="1:15" x14ac:dyDescent="0.25">
      <c r="A4">
        <v>3</v>
      </c>
      <c r="B4" t="s">
        <v>36</v>
      </c>
      <c r="C4" t="s">
        <v>10</v>
      </c>
      <c r="D4" s="34">
        <v>42004</v>
      </c>
      <c r="E4" s="35">
        <v>20247000000</v>
      </c>
      <c r="F4" s="35">
        <v>9218000000</v>
      </c>
      <c r="G4" s="35">
        <v>6530000000</v>
      </c>
      <c r="H4" s="35">
        <v>1345000000</v>
      </c>
      <c r="I4" s="35">
        <v>555000000</v>
      </c>
      <c r="J4" s="43">
        <f t="array" ref="J4">E4-F4</f>
        <v>11029000000</v>
      </c>
      <c r="K4" s="43">
        <f t="array" ref="K4">J4-SUM(G4:I4)</f>
        <v>2599000000</v>
      </c>
      <c r="L4" s="45">
        <f t="array" ref="L4">1-(F4/E4)</f>
        <v>0.54472267496419224</v>
      </c>
      <c r="M4" s="45">
        <f t="array" ref="M4">K4/E4</f>
        <v>0.12836469600434633</v>
      </c>
      <c r="N4" t="s">
        <v>37</v>
      </c>
      <c r="O4" t="s">
        <v>38</v>
      </c>
    </row>
    <row r="5" spans="1:15" x14ac:dyDescent="0.25">
      <c r="A5">
        <v>4</v>
      </c>
      <c r="B5" t="s">
        <v>36</v>
      </c>
      <c r="C5" t="s">
        <v>11</v>
      </c>
      <c r="D5" s="34">
        <v>42369</v>
      </c>
      <c r="E5" s="35">
        <v>20405000000</v>
      </c>
      <c r="F5" s="35">
        <v>8747000000</v>
      </c>
      <c r="G5" s="35">
        <v>6785000000</v>
      </c>
      <c r="H5" s="35">
        <v>1405000000</v>
      </c>
      <c r="I5" s="35">
        <v>601000000</v>
      </c>
      <c r="J5" s="43">
        <f t="array" ref="J5">E5-F5</f>
        <v>11658000000</v>
      </c>
      <c r="K5" s="43">
        <f t="array" ref="K5">J5-SUM(G5:I5)</f>
        <v>2867000000</v>
      </c>
      <c r="L5" s="45">
        <f t="array" ref="L5">1-(F5/E5)</f>
        <v>0.57133055623621654</v>
      </c>
      <c r="M5" s="45">
        <f t="array" ref="M5">K5/E5</f>
        <v>0.14050477824062729</v>
      </c>
      <c r="N5" t="s">
        <v>37</v>
      </c>
      <c r="O5" t="s">
        <v>38</v>
      </c>
    </row>
    <row r="6" spans="1:15" x14ac:dyDescent="0.25">
      <c r="A6">
        <v>5</v>
      </c>
      <c r="B6" t="s">
        <v>39</v>
      </c>
      <c r="C6" t="s">
        <v>8</v>
      </c>
      <c r="D6" s="34">
        <v>41274</v>
      </c>
      <c r="E6" s="35">
        <v>13936000000</v>
      </c>
      <c r="F6" s="35">
        <v>6802000000</v>
      </c>
      <c r="G6" s="35">
        <v>3283000000</v>
      </c>
      <c r="H6" s="35">
        <v>1081000000</v>
      </c>
      <c r="I6" t="s">
        <v>40</v>
      </c>
      <c r="J6" s="43">
        <f t="array" ref="J6">E6-F6</f>
        <v>7134000000</v>
      </c>
      <c r="K6" s="43">
        <f t="array" ref="K6">J6-SUM(G6:I6)</f>
        <v>2770000000</v>
      </c>
      <c r="L6" s="45">
        <f t="array" ref="L6">1-(F6/E6)</f>
        <v>0.51191159586681967</v>
      </c>
      <c r="M6" s="45">
        <f t="array" ref="M6">K6/E6</f>
        <v>0.19876578645235363</v>
      </c>
      <c r="N6" t="s">
        <v>37</v>
      </c>
      <c r="O6" t="s">
        <v>38</v>
      </c>
    </row>
    <row r="7" spans="1:15" x14ac:dyDescent="0.25">
      <c r="A7">
        <v>6</v>
      </c>
      <c r="B7" t="s">
        <v>39</v>
      </c>
      <c r="C7" t="s">
        <v>9</v>
      </c>
      <c r="D7" s="34">
        <v>41639</v>
      </c>
      <c r="E7" s="35">
        <v>9413000000</v>
      </c>
      <c r="F7" s="35">
        <v>5251000000</v>
      </c>
      <c r="G7" s="35">
        <v>3084000000</v>
      </c>
      <c r="H7" s="35">
        <v>582000000</v>
      </c>
      <c r="I7" t="s">
        <v>40</v>
      </c>
      <c r="J7" s="43">
        <f t="array" ref="J7">E7-F7</f>
        <v>4162000000</v>
      </c>
      <c r="K7" s="43">
        <f t="array" ref="K7">J7-SUM(G7:I7)</f>
        <v>496000000</v>
      </c>
      <c r="L7" s="45">
        <f t="array" ref="L7">1-(F7/E7)</f>
        <v>0.44215446722617657</v>
      </c>
      <c r="M7" s="45">
        <f t="array" ref="M7">K7/E7</f>
        <v>5.2693084032720702E-2</v>
      </c>
      <c r="N7" t="s">
        <v>37</v>
      </c>
      <c r="O7" t="s">
        <v>38</v>
      </c>
    </row>
    <row r="8" spans="1:15" x14ac:dyDescent="0.25">
      <c r="A8">
        <v>7</v>
      </c>
      <c r="B8" t="s">
        <v>39</v>
      </c>
      <c r="C8" t="s">
        <v>10</v>
      </c>
      <c r="D8" s="34">
        <v>42004</v>
      </c>
      <c r="E8" s="35">
        <v>10719000000</v>
      </c>
      <c r="F8" s="35">
        <v>6138000000</v>
      </c>
      <c r="G8" s="35">
        <v>3315000000</v>
      </c>
      <c r="H8" s="35">
        <v>610000000</v>
      </c>
      <c r="I8" t="s">
        <v>40</v>
      </c>
      <c r="J8" s="43">
        <f t="array" ref="J8">E8-F8</f>
        <v>4581000000</v>
      </c>
      <c r="K8" s="43">
        <f t="array" ref="K8">J8-SUM(G8:I8)</f>
        <v>656000000</v>
      </c>
      <c r="L8" s="45">
        <f t="array" ref="L8">1-(F8/E8)</f>
        <v>0.42737195633921077</v>
      </c>
      <c r="M8" s="45">
        <f t="array" ref="M8">K8/E8</f>
        <v>6.1199738781602758E-2</v>
      </c>
      <c r="N8" t="s">
        <v>37</v>
      </c>
      <c r="O8" t="s">
        <v>38</v>
      </c>
    </row>
    <row r="9" spans="1:15" x14ac:dyDescent="0.25">
      <c r="A9">
        <v>8</v>
      </c>
      <c r="B9" t="s">
        <v>39</v>
      </c>
      <c r="C9" t="s">
        <v>11</v>
      </c>
      <c r="D9" s="34">
        <v>42369</v>
      </c>
      <c r="E9" s="35">
        <v>9968000000</v>
      </c>
      <c r="F9" s="35">
        <v>5822000000</v>
      </c>
      <c r="G9" s="35">
        <v>3094000000</v>
      </c>
      <c r="H9" s="35">
        <v>603000000</v>
      </c>
      <c r="I9" t="s">
        <v>40</v>
      </c>
      <c r="J9" s="43">
        <f t="array" ref="J9">E9-F9</f>
        <v>4146000000</v>
      </c>
      <c r="K9" s="43">
        <f t="array" ref="K9">J9-SUM(G9:I9)</f>
        <v>449000000</v>
      </c>
      <c r="L9" s="45">
        <f t="array" ref="L9">1-(F9/E9)</f>
        <v>0.4159309791332263</v>
      </c>
      <c r="M9" s="45">
        <f t="array" ref="M9">K9/E9</f>
        <v>4.5044141252006419E-2</v>
      </c>
      <c r="N9" t="s">
        <v>37</v>
      </c>
      <c r="O9" t="s">
        <v>38</v>
      </c>
    </row>
    <row r="10" spans="1:15" x14ac:dyDescent="0.25">
      <c r="A10">
        <v>9</v>
      </c>
      <c r="B10" t="s">
        <v>41</v>
      </c>
      <c r="C10" t="s">
        <v>8</v>
      </c>
      <c r="D10" s="34">
        <v>41639</v>
      </c>
      <c r="E10" s="35">
        <v>3049500000</v>
      </c>
      <c r="F10" s="35">
        <v>1194400000</v>
      </c>
      <c r="G10" s="35">
        <v>920300000</v>
      </c>
      <c r="H10" s="35">
        <v>295700000</v>
      </c>
      <c r="I10" t="s">
        <v>40</v>
      </c>
      <c r="J10" s="43">
        <f t="array" ref="J10">E10-F10</f>
        <v>1855100000</v>
      </c>
      <c r="K10" s="43">
        <f t="array" ref="K10">J10-SUM(G10:I10)</f>
        <v>639100000</v>
      </c>
      <c r="L10" s="45">
        <f t="array" ref="L10">1-(F10/E10)</f>
        <v>0.60832923430070496</v>
      </c>
      <c r="M10" s="45">
        <f t="array" ref="M10">K10/E10</f>
        <v>0.20957534021970814</v>
      </c>
      <c r="N10" t="s">
        <v>37</v>
      </c>
      <c r="O10" t="s">
        <v>38</v>
      </c>
    </row>
    <row r="11" spans="1:15" x14ac:dyDescent="0.25">
      <c r="A11">
        <v>10</v>
      </c>
      <c r="B11" t="s">
        <v>41</v>
      </c>
      <c r="C11" t="s">
        <v>9</v>
      </c>
      <c r="D11" s="34">
        <v>42004</v>
      </c>
      <c r="E11" s="35">
        <v>3323600000</v>
      </c>
      <c r="F11" s="35">
        <v>1258600000</v>
      </c>
      <c r="G11" s="35">
        <v>981500000</v>
      </c>
      <c r="H11" s="35">
        <v>302000000</v>
      </c>
      <c r="I11" t="s">
        <v>40</v>
      </c>
      <c r="J11" s="43">
        <f t="array" ref="J11">E11-F11</f>
        <v>2065000000</v>
      </c>
      <c r="K11" s="43">
        <f t="array" ref="K11">J11-SUM(G11:I11)</f>
        <v>781500000</v>
      </c>
      <c r="L11" s="45">
        <f t="array" ref="L11">1-(F11/E11)</f>
        <v>0.62131423757371529</v>
      </c>
      <c r="M11" s="45">
        <f t="array" ref="M11">K11/E11</f>
        <v>0.23513659886869659</v>
      </c>
      <c r="N11" t="s">
        <v>37</v>
      </c>
      <c r="O11" t="s">
        <v>38</v>
      </c>
    </row>
    <row r="12" spans="1:15" x14ac:dyDescent="0.25">
      <c r="A12">
        <v>11</v>
      </c>
      <c r="B12" t="s">
        <v>41</v>
      </c>
      <c r="C12" t="s">
        <v>10</v>
      </c>
      <c r="D12" s="34">
        <v>42369</v>
      </c>
      <c r="E12" s="35">
        <v>3416000000</v>
      </c>
      <c r="F12" s="35">
        <v>1301200000</v>
      </c>
      <c r="G12" s="35">
        <v>1012100000</v>
      </c>
      <c r="H12" s="35">
        <v>259200000</v>
      </c>
      <c r="I12" t="s">
        <v>40</v>
      </c>
      <c r="J12" s="43">
        <f t="array" ref="J12">E12-F12</f>
        <v>2114800000</v>
      </c>
      <c r="K12" s="43">
        <f t="array" ref="K12">J12-SUM(G12:I12)</f>
        <v>843500000</v>
      </c>
      <c r="L12" s="45">
        <f t="array" ref="L12">1-(F12/E12)</f>
        <v>0.61908665105386418</v>
      </c>
      <c r="M12" s="45">
        <f t="array" ref="M12">K12/E12</f>
        <v>0.24692622950819673</v>
      </c>
      <c r="N12" t="s">
        <v>37</v>
      </c>
      <c r="O12" t="s">
        <v>38</v>
      </c>
    </row>
    <row r="13" spans="1:15" x14ac:dyDescent="0.25">
      <c r="A13">
        <v>12</v>
      </c>
      <c r="B13" t="s">
        <v>41</v>
      </c>
      <c r="C13" t="s">
        <v>11</v>
      </c>
      <c r="D13" s="34">
        <v>42735</v>
      </c>
      <c r="E13" s="35">
        <v>3714000000</v>
      </c>
      <c r="F13" s="35">
        <v>1371700000</v>
      </c>
      <c r="G13" s="35">
        <v>1101900000</v>
      </c>
      <c r="H13" s="35">
        <v>292800000</v>
      </c>
      <c r="I13" t="s">
        <v>40</v>
      </c>
      <c r="J13" s="43">
        <f t="array" ref="J13">E13-F13</f>
        <v>2342300000</v>
      </c>
      <c r="K13" s="43">
        <f t="array" ref="K13">J13-SUM(G13:I13)</f>
        <v>947600000</v>
      </c>
      <c r="L13" s="45">
        <f t="array" ref="L13">1-(F13/E13)</f>
        <v>0.63066774367259026</v>
      </c>
      <c r="M13" s="45">
        <f t="array" ref="M13">K13/E13</f>
        <v>0.25514270328486804</v>
      </c>
      <c r="N13" t="s">
        <v>37</v>
      </c>
      <c r="O13" t="s">
        <v>38</v>
      </c>
    </row>
    <row r="14" spans="1:15" x14ac:dyDescent="0.25">
      <c r="A14">
        <v>13</v>
      </c>
      <c r="B14" t="s">
        <v>42</v>
      </c>
      <c r="C14" t="s">
        <v>8</v>
      </c>
      <c r="D14" s="34">
        <v>41547</v>
      </c>
      <c r="E14" s="35">
        <v>8054000000</v>
      </c>
      <c r="F14" s="35">
        <v>3883000000</v>
      </c>
      <c r="G14" s="35">
        <v>2422000000</v>
      </c>
      <c r="H14" s="35">
        <v>494000000</v>
      </c>
      <c r="I14" t="s">
        <v>40</v>
      </c>
      <c r="J14" s="43">
        <f t="array" ref="J14">E14-F14</f>
        <v>4171000000</v>
      </c>
      <c r="K14" s="43">
        <f t="array" ref="K14">J14-SUM(G14:I14)</f>
        <v>1255000000</v>
      </c>
      <c r="L14" s="45">
        <f t="array" ref="L14">1-(F14/E14)</f>
        <v>0.51787931462627268</v>
      </c>
      <c r="M14" s="45">
        <f t="array" ref="M14">K14/E14</f>
        <v>0.1558231934442513</v>
      </c>
      <c r="N14" t="s">
        <v>37</v>
      </c>
      <c r="O14" t="s">
        <v>38</v>
      </c>
    </row>
    <row r="15" spans="1:15" x14ac:dyDescent="0.25">
      <c r="A15">
        <v>14</v>
      </c>
      <c r="B15" t="s">
        <v>42</v>
      </c>
      <c r="C15" t="s">
        <v>9</v>
      </c>
      <c r="D15" s="34">
        <v>41912</v>
      </c>
      <c r="E15" s="35">
        <v>8446000000</v>
      </c>
      <c r="F15" s="35">
        <v>4145000000</v>
      </c>
      <c r="G15" s="35">
        <v>2145000000</v>
      </c>
      <c r="H15" s="35">
        <v>550000000</v>
      </c>
      <c r="I15" t="s">
        <v>40</v>
      </c>
      <c r="J15" s="43">
        <f t="array" ref="J15">E15-F15</f>
        <v>4301000000</v>
      </c>
      <c r="K15" s="43">
        <f t="array" ref="K15">J15-SUM(G15:I15)</f>
        <v>1606000000</v>
      </c>
      <c r="L15" s="45">
        <f t="array" ref="L15">1-(F15/E15)</f>
        <v>0.50923514089509825</v>
      </c>
      <c r="M15" s="45">
        <f t="array" ref="M15">K15/E15</f>
        <v>0.19014918304522851</v>
      </c>
      <c r="N15" t="s">
        <v>37</v>
      </c>
      <c r="O15" t="s">
        <v>38</v>
      </c>
    </row>
    <row r="16" spans="1:15" x14ac:dyDescent="0.25">
      <c r="A16">
        <v>15</v>
      </c>
      <c r="B16" t="s">
        <v>42</v>
      </c>
      <c r="C16" t="s">
        <v>10</v>
      </c>
      <c r="D16" s="34">
        <v>42277</v>
      </c>
      <c r="E16" s="35">
        <v>10282000000</v>
      </c>
      <c r="F16" s="35">
        <v>5587000000</v>
      </c>
      <c r="G16" s="35">
        <v>2563000000</v>
      </c>
      <c r="H16" s="35">
        <v>632000000</v>
      </c>
      <c r="I16" t="s">
        <v>40</v>
      </c>
      <c r="J16" s="43">
        <f t="array" ref="J16">E16-F16</f>
        <v>4695000000</v>
      </c>
      <c r="K16" s="43">
        <f t="array" ref="K16">J16-SUM(G16:I16)</f>
        <v>1500000000</v>
      </c>
      <c r="L16" s="45">
        <f t="array" ref="L16">1-(F16/E16)</f>
        <v>0.45662322505349151</v>
      </c>
      <c r="M16" s="45">
        <f t="array" ref="M16">K16/E16</f>
        <v>0.14588601439408674</v>
      </c>
      <c r="N16" t="s">
        <v>37</v>
      </c>
      <c r="O16" t="s">
        <v>38</v>
      </c>
    </row>
    <row r="17" spans="1:15" x14ac:dyDescent="0.25">
      <c r="A17">
        <v>16</v>
      </c>
      <c r="B17" t="s">
        <v>42</v>
      </c>
      <c r="C17" t="s">
        <v>11</v>
      </c>
      <c r="D17" s="34">
        <v>42643</v>
      </c>
      <c r="E17" s="35">
        <v>12483000000</v>
      </c>
      <c r="F17" s="35">
        <v>6492000000</v>
      </c>
      <c r="G17" s="35">
        <v>3005000000</v>
      </c>
      <c r="H17" s="35">
        <v>828000000</v>
      </c>
      <c r="I17" t="s">
        <v>40</v>
      </c>
      <c r="J17" s="43">
        <f t="array" ref="J17">E17-F17</f>
        <v>5991000000</v>
      </c>
      <c r="K17" s="43">
        <f t="array" ref="K17">J17-SUM(G17:I17)</f>
        <v>2158000000</v>
      </c>
      <c r="L17" s="45">
        <f t="array" ref="L17">1-(F17/E17)</f>
        <v>0.47993270848353764</v>
      </c>
      <c r="M17" s="45">
        <f t="array" ref="M17">K17/E17</f>
        <v>0.17287511014980372</v>
      </c>
      <c r="N17" t="s">
        <v>37</v>
      </c>
      <c r="O17" t="s">
        <v>38</v>
      </c>
    </row>
    <row r="18" spans="1:15" x14ac:dyDescent="0.25">
      <c r="A18">
        <v>17</v>
      </c>
      <c r="B18" t="s">
        <v>43</v>
      </c>
      <c r="C18" t="s">
        <v>8</v>
      </c>
      <c r="D18" s="34">
        <v>41274</v>
      </c>
      <c r="E18" s="35">
        <v>7249000000</v>
      </c>
      <c r="F18" s="35">
        <v>2349000000</v>
      </c>
      <c r="G18" s="35">
        <v>2529000000</v>
      </c>
      <c r="H18" s="35">
        <v>886000000</v>
      </c>
      <c r="I18" s="35">
        <v>395000000</v>
      </c>
      <c r="J18" s="43">
        <f t="array" ref="J18">E18-F18</f>
        <v>4900000000</v>
      </c>
      <c r="K18" s="43">
        <f t="array" ref="K18">J18-SUM(G18:I18)</f>
        <v>1090000000</v>
      </c>
      <c r="L18" s="45">
        <f t="array" ref="L18">1-(F18/E18)</f>
        <v>0.67595530417988692</v>
      </c>
      <c r="M18" s="45">
        <f t="array" ref="M18">K18/E18</f>
        <v>0.15036556766450546</v>
      </c>
      <c r="N18" t="s">
        <v>37</v>
      </c>
      <c r="O18" t="s">
        <v>38</v>
      </c>
    </row>
    <row r="19" spans="1:15" x14ac:dyDescent="0.25">
      <c r="A19">
        <v>18</v>
      </c>
      <c r="B19" t="s">
        <v>43</v>
      </c>
      <c r="C19" t="s">
        <v>9</v>
      </c>
      <c r="D19" s="34">
        <v>41639</v>
      </c>
      <c r="E19" s="35">
        <v>7143000000</v>
      </c>
      <c r="F19" s="35">
        <v>2174000000</v>
      </c>
      <c r="G19" s="35">
        <v>2678000000</v>
      </c>
      <c r="H19" s="35">
        <v>861000000</v>
      </c>
      <c r="I19" s="35">
        <v>410000000</v>
      </c>
      <c r="J19" s="43">
        <f t="array" ref="J19">E19-F19</f>
        <v>4969000000</v>
      </c>
      <c r="K19" s="43">
        <f t="array" ref="K19">J19-SUM(G19:I19)</f>
        <v>1020000000</v>
      </c>
      <c r="L19" s="45">
        <f t="array" ref="L19">1-(F19/E19)</f>
        <v>0.69564608707825837</v>
      </c>
      <c r="M19" s="45">
        <f t="array" ref="M19">K19/E19</f>
        <v>0.14279714405711885</v>
      </c>
      <c r="N19" t="s">
        <v>37</v>
      </c>
      <c r="O19" t="s">
        <v>38</v>
      </c>
    </row>
    <row r="20" spans="1:15" x14ac:dyDescent="0.25">
      <c r="A20">
        <v>19</v>
      </c>
      <c r="B20" t="s">
        <v>43</v>
      </c>
      <c r="C20" t="s">
        <v>10</v>
      </c>
      <c r="D20" s="34">
        <v>42004</v>
      </c>
      <c r="E20" s="35">
        <v>7380000000</v>
      </c>
      <c r="F20" s="35">
        <v>2210000000</v>
      </c>
      <c r="G20" s="35">
        <v>2817000000</v>
      </c>
      <c r="H20" s="35">
        <v>817000000</v>
      </c>
      <c r="I20" s="35">
        <v>438000000</v>
      </c>
      <c r="J20" s="43">
        <f t="array" ref="J20">E20-F20</f>
        <v>5170000000</v>
      </c>
      <c r="K20" s="43">
        <f t="array" ref="K20">J20-SUM(G20:I20)</f>
        <v>1098000000</v>
      </c>
      <c r="L20" s="45">
        <f t="array" ref="L20">1-(F20/E20)</f>
        <v>0.70054200542005418</v>
      </c>
      <c r="M20" s="45">
        <f t="array" ref="M20">K20/E20</f>
        <v>0.14878048780487804</v>
      </c>
      <c r="N20" t="s">
        <v>37</v>
      </c>
      <c r="O20" t="s">
        <v>38</v>
      </c>
    </row>
    <row r="21" spans="1:15" x14ac:dyDescent="0.25">
      <c r="A21">
        <v>20</v>
      </c>
      <c r="B21" t="s">
        <v>43</v>
      </c>
      <c r="C21" t="s">
        <v>11</v>
      </c>
      <c r="D21" s="34">
        <v>42369</v>
      </c>
      <c r="E21" s="35">
        <v>7477000000</v>
      </c>
      <c r="F21" s="35">
        <v>2173000000</v>
      </c>
      <c r="G21" s="35">
        <v>2996000000</v>
      </c>
      <c r="H21" s="35">
        <v>876000000</v>
      </c>
      <c r="I21" s="35">
        <v>495000000</v>
      </c>
      <c r="J21" s="43">
        <f t="array" ref="J21">E21-F21</f>
        <v>5304000000</v>
      </c>
      <c r="K21" s="43">
        <f t="array" ref="K21">J21-SUM(G21:I21)</f>
        <v>937000000</v>
      </c>
      <c r="L21" s="45">
        <f t="array" ref="L21">1-(F21/E21)</f>
        <v>0.709375417948375</v>
      </c>
      <c r="M21" s="45">
        <f t="array" ref="M21">K21/E21</f>
        <v>0.1253176407650127</v>
      </c>
      <c r="N21" t="s">
        <v>37</v>
      </c>
      <c r="O21" t="s">
        <v>38</v>
      </c>
    </row>
    <row r="22" spans="1:15" x14ac:dyDescent="0.25">
      <c r="A22">
        <v>21</v>
      </c>
      <c r="B22" t="s">
        <v>44</v>
      </c>
      <c r="C22" t="s">
        <v>8</v>
      </c>
      <c r="D22" s="34">
        <v>41274</v>
      </c>
      <c r="E22" s="35">
        <v>1899600000</v>
      </c>
      <c r="F22" s="35">
        <v>491000000</v>
      </c>
      <c r="G22" s="35">
        <v>697400000</v>
      </c>
      <c r="H22" s="35">
        <v>291300000</v>
      </c>
      <c r="I22" t="s">
        <v>40</v>
      </c>
      <c r="J22" s="43">
        <f t="array" ref="J22">E22-F22</f>
        <v>1408600000</v>
      </c>
      <c r="K22" s="43">
        <f t="array" ref="K22">J22-SUM(G22:I22)</f>
        <v>419900000</v>
      </c>
      <c r="L22" s="45">
        <f t="array" ref="L22">1-(F22/E22)</f>
        <v>0.74152453148031161</v>
      </c>
      <c r="M22" s="45">
        <f t="array" ref="M22">K22/E22</f>
        <v>0.22104653611286587</v>
      </c>
      <c r="N22" t="s">
        <v>37</v>
      </c>
      <c r="O22" t="s">
        <v>38</v>
      </c>
    </row>
    <row r="23" spans="1:15" x14ac:dyDescent="0.25">
      <c r="A23">
        <v>22</v>
      </c>
      <c r="B23" t="s">
        <v>44</v>
      </c>
      <c r="C23" t="s">
        <v>9</v>
      </c>
      <c r="D23" s="34">
        <v>41639</v>
      </c>
      <c r="E23" s="35">
        <v>2045500000</v>
      </c>
      <c r="F23" s="35">
        <v>516600000</v>
      </c>
      <c r="G23" s="35">
        <v>749700000</v>
      </c>
      <c r="H23" s="35">
        <v>323000000</v>
      </c>
      <c r="I23" t="s">
        <v>40</v>
      </c>
      <c r="J23" s="43">
        <f t="array" ref="J23">E23-F23</f>
        <v>1528900000</v>
      </c>
      <c r="K23" s="43">
        <f t="array" ref="K23">J23-SUM(G23:I23)</f>
        <v>456200000</v>
      </c>
      <c r="L23" s="45">
        <f t="array" ref="L23">1-(F23/E23)</f>
        <v>0.74744561231972617</v>
      </c>
      <c r="M23" s="45">
        <f t="array" ref="M23">K23/E23</f>
        <v>0.2230261549743339</v>
      </c>
      <c r="N23" t="s">
        <v>37</v>
      </c>
      <c r="O23" t="s">
        <v>38</v>
      </c>
    </row>
    <row r="24" spans="1:15" x14ac:dyDescent="0.25">
      <c r="A24">
        <v>23</v>
      </c>
      <c r="B24" t="s">
        <v>44</v>
      </c>
      <c r="C24" t="s">
        <v>10</v>
      </c>
      <c r="D24" s="34">
        <v>42004</v>
      </c>
      <c r="E24" s="35">
        <v>2322900000</v>
      </c>
      <c r="F24" s="35">
        <v>625600000</v>
      </c>
      <c r="G24" s="35">
        <v>928700000</v>
      </c>
      <c r="H24" s="35">
        <v>346500000</v>
      </c>
      <c r="I24" t="s">
        <v>40</v>
      </c>
      <c r="J24" s="43">
        <f t="array" ref="J24">E24-F24</f>
        <v>1697300000</v>
      </c>
      <c r="K24" s="43">
        <f t="array" ref="K24">J24-SUM(G24:I24)</f>
        <v>422100000</v>
      </c>
      <c r="L24" s="45">
        <f t="array" ref="L24">1-(F24/E24)</f>
        <v>0.73068147574152997</v>
      </c>
      <c r="M24" s="45">
        <f t="array" ref="M24">K24/E24</f>
        <v>0.18171251452925222</v>
      </c>
      <c r="N24" t="s">
        <v>37</v>
      </c>
      <c r="O24" t="s">
        <v>38</v>
      </c>
    </row>
    <row r="25" spans="1:15" x14ac:dyDescent="0.25">
      <c r="A25">
        <v>24</v>
      </c>
      <c r="B25" t="s">
        <v>44</v>
      </c>
      <c r="C25" t="s">
        <v>11</v>
      </c>
      <c r="D25" s="34">
        <v>42369</v>
      </c>
      <c r="E25" s="35">
        <v>2493700000</v>
      </c>
      <c r="F25" s="35">
        <v>617200000</v>
      </c>
      <c r="G25" s="35">
        <v>850700000</v>
      </c>
      <c r="H25" s="35">
        <v>383100000</v>
      </c>
      <c r="I25" t="s">
        <v>40</v>
      </c>
      <c r="J25" s="43">
        <f t="array" ref="J25">E25-F25</f>
        <v>1876500000</v>
      </c>
      <c r="K25" s="43">
        <f t="array" ref="K25">J25-SUM(G25:I25)</f>
        <v>642700000</v>
      </c>
      <c r="L25" s="45">
        <f t="array" ref="L25">1-(F25/E25)</f>
        <v>0.75249629065244417</v>
      </c>
      <c r="M25" s="45">
        <f t="array" ref="M25">K25/E25</f>
        <v>0.25772947828527892</v>
      </c>
      <c r="N25" t="s">
        <v>37</v>
      </c>
      <c r="O25" t="s">
        <v>38</v>
      </c>
    </row>
    <row r="26" spans="1:15" x14ac:dyDescent="0.25">
      <c r="A26">
        <v>25</v>
      </c>
      <c r="B26" t="s">
        <v>45</v>
      </c>
      <c r="C26" t="s">
        <v>8</v>
      </c>
      <c r="D26" s="34">
        <v>41545</v>
      </c>
      <c r="E26" s="35">
        <v>2492300000</v>
      </c>
      <c r="F26" s="35">
        <v>1330900000</v>
      </c>
      <c r="G26" s="35">
        <v>661100000</v>
      </c>
      <c r="H26" s="35">
        <v>197600000</v>
      </c>
      <c r="I26" s="35">
        <v>112600000</v>
      </c>
      <c r="J26" s="43">
        <f t="array" ref="J26">E26-F26</f>
        <v>1161400000</v>
      </c>
      <c r="K26" s="43">
        <f t="array" ref="K26">J26-SUM(G26:I26)</f>
        <v>190100000</v>
      </c>
      <c r="L26" s="45">
        <f t="array" ref="L26">1-(F26/E26)</f>
        <v>0.46599526541748582</v>
      </c>
      <c r="M26" s="45">
        <f t="array" ref="M26">K26/E26</f>
        <v>7.627492677446536E-2</v>
      </c>
      <c r="N26" t="s">
        <v>37</v>
      </c>
      <c r="O26" t="s">
        <v>38</v>
      </c>
    </row>
    <row r="27" spans="1:15" x14ac:dyDescent="0.25">
      <c r="A27">
        <v>26</v>
      </c>
      <c r="B27" t="s">
        <v>45</v>
      </c>
      <c r="C27" t="s">
        <v>9</v>
      </c>
      <c r="D27" s="34">
        <v>41909</v>
      </c>
      <c r="E27" s="35">
        <v>2530700000</v>
      </c>
      <c r="F27" s="35">
        <v>1285200000</v>
      </c>
      <c r="G27" s="35">
        <v>591500000</v>
      </c>
      <c r="H27" s="35">
        <v>203200000</v>
      </c>
      <c r="I27" s="35">
        <v>113800000</v>
      </c>
      <c r="J27" s="43">
        <f t="array" ref="J27">E27-F27</f>
        <v>1245500000</v>
      </c>
      <c r="K27" s="43">
        <f t="array" ref="K27">J27-SUM(G27:I27)</f>
        <v>337000000</v>
      </c>
      <c r="L27" s="45">
        <f t="array" ref="L27">1-(F27/E27)</f>
        <v>0.49215632038566404</v>
      </c>
      <c r="M27" s="45">
        <f t="array" ref="M27">K27/E27</f>
        <v>0.13316473702928044</v>
      </c>
      <c r="N27" t="s">
        <v>37</v>
      </c>
      <c r="O27" t="s">
        <v>38</v>
      </c>
    </row>
    <row r="28" spans="1:15" x14ac:dyDescent="0.25">
      <c r="A28">
        <v>27</v>
      </c>
      <c r="B28" t="s">
        <v>45</v>
      </c>
      <c r="C28" t="s">
        <v>10</v>
      </c>
      <c r="D28" s="34">
        <v>42273</v>
      </c>
      <c r="E28" s="35">
        <v>2705000000</v>
      </c>
      <c r="F28" s="35">
        <v>1272300000</v>
      </c>
      <c r="G28" s="35">
        <v>624000000</v>
      </c>
      <c r="H28" s="35">
        <v>214900000</v>
      </c>
      <c r="I28" s="35">
        <v>110200000</v>
      </c>
      <c r="J28" s="43">
        <f t="array" ref="J28">E28-F28</f>
        <v>1432700000</v>
      </c>
      <c r="K28" s="43">
        <f t="array" ref="K28">J28-SUM(G28:I28)</f>
        <v>483600000</v>
      </c>
      <c r="L28" s="45">
        <f t="array" ref="L28">1-(F28/E28)</f>
        <v>0.52964879852125701</v>
      </c>
      <c r="M28" s="45">
        <f t="array" ref="M28">K28/E28</f>
        <v>0.17878003696857672</v>
      </c>
      <c r="N28" t="s">
        <v>37</v>
      </c>
      <c r="O28" t="s">
        <v>38</v>
      </c>
    </row>
    <row r="29" spans="1:15" x14ac:dyDescent="0.25">
      <c r="A29">
        <v>28</v>
      </c>
      <c r="B29" t="s">
        <v>45</v>
      </c>
      <c r="C29" t="s">
        <v>11</v>
      </c>
      <c r="D29" s="34">
        <v>42637</v>
      </c>
      <c r="E29" s="35">
        <v>2832700000</v>
      </c>
      <c r="F29" s="35">
        <v>1269400000</v>
      </c>
      <c r="G29" s="35">
        <v>682400000</v>
      </c>
      <c r="H29" s="35">
        <v>232100000</v>
      </c>
      <c r="I29" s="35">
        <v>89700000</v>
      </c>
      <c r="J29" s="43">
        <f t="array" ref="J29">E29-F29</f>
        <v>1563300000</v>
      </c>
      <c r="K29" s="43">
        <f t="array" ref="K29">J29-SUM(G29:I29)</f>
        <v>559100000</v>
      </c>
      <c r="L29" s="45">
        <f t="array" ref="L29">1-(F29/E29)</f>
        <v>0.55187630176157021</v>
      </c>
      <c r="M29" s="45">
        <f t="array" ref="M29">K29/E29</f>
        <v>0.19737353055388851</v>
      </c>
      <c r="N29" t="s">
        <v>37</v>
      </c>
      <c r="O29" t="s">
        <v>38</v>
      </c>
    </row>
    <row r="30" spans="1:15" x14ac:dyDescent="0.25">
      <c r="A30">
        <v>29</v>
      </c>
      <c r="B30" t="s">
        <v>46</v>
      </c>
      <c r="C30" t="s">
        <v>8</v>
      </c>
      <c r="D30" s="34">
        <v>41274</v>
      </c>
      <c r="E30" s="35">
        <v>1293338000</v>
      </c>
      <c r="F30" s="35">
        <v>594190000</v>
      </c>
      <c r="G30" s="35">
        <v>354571000</v>
      </c>
      <c r="H30" s="35">
        <v>82014000</v>
      </c>
      <c r="I30" t="s">
        <v>40</v>
      </c>
      <c r="J30" s="43">
        <f t="array" ref="J30">E30-F30</f>
        <v>699148000</v>
      </c>
      <c r="K30" s="43">
        <f t="array" ref="K30">J30-SUM(G30:I30)</f>
        <v>262563000</v>
      </c>
      <c r="L30" s="45">
        <f t="array" ref="L30">1-(F30/E30)</f>
        <v>0.54057639998206186</v>
      </c>
      <c r="M30" s="45">
        <f t="array" ref="M30">K30/E30</f>
        <v>0.2030118963488276</v>
      </c>
      <c r="N30" t="s">
        <v>37</v>
      </c>
      <c r="O30" t="s">
        <v>38</v>
      </c>
    </row>
    <row r="31" spans="1:15" x14ac:dyDescent="0.25">
      <c r="A31">
        <v>30</v>
      </c>
      <c r="B31" t="s">
        <v>46</v>
      </c>
      <c r="C31" t="s">
        <v>9</v>
      </c>
      <c r="D31" s="34">
        <v>41639</v>
      </c>
      <c r="E31" s="35">
        <v>1377058000</v>
      </c>
      <c r="F31" s="35">
        <v>620940000</v>
      </c>
      <c r="G31" s="35">
        <v>401353000</v>
      </c>
      <c r="H31" s="35">
        <v>88003000</v>
      </c>
      <c r="I31" t="s">
        <v>40</v>
      </c>
      <c r="J31" s="43">
        <f t="array" ref="J31">E31-F31</f>
        <v>756118000</v>
      </c>
      <c r="K31" s="43">
        <f t="array" ref="K31">J31-SUM(G31:I31)</f>
        <v>266762000</v>
      </c>
      <c r="L31" s="45">
        <f t="array" ref="L31">1-(F31/E31)</f>
        <v>0.54908217373560153</v>
      </c>
      <c r="M31" s="45">
        <f t="array" ref="M31">K31/E31</f>
        <v>0.19371878308684165</v>
      </c>
      <c r="N31" t="s">
        <v>37</v>
      </c>
      <c r="O31" t="s">
        <v>38</v>
      </c>
    </row>
    <row r="32" spans="1:15" x14ac:dyDescent="0.25">
      <c r="A32">
        <v>31</v>
      </c>
      <c r="B32" t="s">
        <v>46</v>
      </c>
      <c r="C32" t="s">
        <v>10</v>
      </c>
      <c r="D32" s="34">
        <v>42004</v>
      </c>
      <c r="E32" s="35">
        <v>1485807000</v>
      </c>
      <c r="F32" s="35">
        <v>669691000</v>
      </c>
      <c r="G32" s="35">
        <v>457598000</v>
      </c>
      <c r="H32" s="35">
        <v>98263000</v>
      </c>
      <c r="I32" t="s">
        <v>40</v>
      </c>
      <c r="J32" s="43">
        <f t="array" ref="J32">E32-F32</f>
        <v>816116000</v>
      </c>
      <c r="K32" s="43">
        <f t="array" ref="K32">J32-SUM(G32:I32)</f>
        <v>260255000</v>
      </c>
      <c r="L32" s="45">
        <f t="array" ref="L32">1-(F32/E32)</f>
        <v>0.5492745693081269</v>
      </c>
      <c r="M32" s="45">
        <f t="array" ref="M32">K32/E32</f>
        <v>0.17516070391376537</v>
      </c>
      <c r="N32" t="s">
        <v>37</v>
      </c>
      <c r="O32" t="s">
        <v>38</v>
      </c>
    </row>
    <row r="33" spans="1:15" x14ac:dyDescent="0.25">
      <c r="A33">
        <v>32</v>
      </c>
      <c r="B33" t="s">
        <v>46</v>
      </c>
      <c r="C33" t="s">
        <v>11</v>
      </c>
      <c r="D33" s="34">
        <v>42369</v>
      </c>
      <c r="E33" s="35">
        <v>1601892000</v>
      </c>
      <c r="F33" s="35">
        <v>711622000</v>
      </c>
      <c r="G33" s="35">
        <v>482465000</v>
      </c>
      <c r="H33" s="35">
        <v>99681000</v>
      </c>
      <c r="I33" t="s">
        <v>40</v>
      </c>
      <c r="J33" s="43">
        <f t="array" ref="J33">E33-F33</f>
        <v>890270000</v>
      </c>
      <c r="K33" s="43">
        <f t="array" ref="K33">J33-SUM(G33:I33)</f>
        <v>308124000</v>
      </c>
      <c r="L33" s="45">
        <f t="array" ref="L33">1-(F33/E33)</f>
        <v>0.55576156195299053</v>
      </c>
      <c r="M33" s="45">
        <f t="array" ref="M33">K33/E33</f>
        <v>0.19235004607052161</v>
      </c>
      <c r="N33" t="s">
        <v>37</v>
      </c>
      <c r="O33" t="s">
        <v>38</v>
      </c>
    </row>
    <row r="34" spans="1:15" x14ac:dyDescent="0.25">
      <c r="A34">
        <v>33</v>
      </c>
      <c r="B34" t="s">
        <v>47</v>
      </c>
      <c r="C34" t="s">
        <v>8</v>
      </c>
      <c r="D34" s="34">
        <v>41639</v>
      </c>
      <c r="E34" s="35">
        <v>2265100000</v>
      </c>
      <c r="F34" s="35">
        <v>670900000</v>
      </c>
      <c r="G34" s="35">
        <v>574000000</v>
      </c>
      <c r="H34" s="35">
        <v>167700000</v>
      </c>
      <c r="I34" t="s">
        <v>40</v>
      </c>
      <c r="J34" s="43">
        <f t="array" ref="J34">E34-F34</f>
        <v>1594200000</v>
      </c>
      <c r="K34" s="43">
        <f t="array" ref="K34">J34-SUM(G34:I34)</f>
        <v>852500000</v>
      </c>
      <c r="L34" s="45">
        <f t="array" ref="L34">1-(F34/E34)</f>
        <v>0.7038099863140701</v>
      </c>
      <c r="M34" s="45">
        <f t="array" ref="M34">K34/E34</f>
        <v>0.37636307447794798</v>
      </c>
      <c r="N34" t="s">
        <v>37</v>
      </c>
      <c r="O34" t="s">
        <v>38</v>
      </c>
    </row>
    <row r="35" spans="1:15" x14ac:dyDescent="0.25">
      <c r="A35">
        <v>34</v>
      </c>
      <c r="B35" t="s">
        <v>47</v>
      </c>
      <c r="C35" t="s">
        <v>9</v>
      </c>
      <c r="D35" s="34">
        <v>42004</v>
      </c>
      <c r="E35" s="35">
        <v>2131700000</v>
      </c>
      <c r="F35" s="35">
        <v>717900000</v>
      </c>
      <c r="G35" s="35">
        <v>691000000</v>
      </c>
      <c r="H35" s="35">
        <v>178000000</v>
      </c>
      <c r="I35" t="s">
        <v>40</v>
      </c>
      <c r="J35" s="43">
        <f t="array" ref="J35">E35-F35</f>
        <v>1413800000</v>
      </c>
      <c r="K35" s="43">
        <f t="array" ref="K35">J35-SUM(G35:I35)</f>
        <v>544800000</v>
      </c>
      <c r="L35" s="45">
        <f t="array" ref="L35">1-(F35/E35)</f>
        <v>0.66322653281418587</v>
      </c>
      <c r="M35" s="45">
        <f t="array" ref="M35">K35/E35</f>
        <v>0.25557067129521038</v>
      </c>
      <c r="N35" t="s">
        <v>37</v>
      </c>
      <c r="O35" t="s">
        <v>38</v>
      </c>
    </row>
    <row r="36" spans="1:15" x14ac:dyDescent="0.25">
      <c r="A36">
        <v>35</v>
      </c>
      <c r="B36" t="s">
        <v>47</v>
      </c>
      <c r="C36" t="s">
        <v>10</v>
      </c>
      <c r="D36" s="34">
        <v>42369</v>
      </c>
      <c r="E36" s="35">
        <v>2384400000</v>
      </c>
      <c r="F36" s="35">
        <v>806500000</v>
      </c>
      <c r="G36" s="35">
        <v>640500000</v>
      </c>
      <c r="H36" s="35">
        <v>197400000</v>
      </c>
      <c r="I36" t="s">
        <v>40</v>
      </c>
      <c r="J36" s="43">
        <f t="array" ref="J36">E36-F36</f>
        <v>1577900000</v>
      </c>
      <c r="K36" s="43">
        <f t="array" ref="K36">J36-SUM(G36:I36)</f>
        <v>740000000</v>
      </c>
      <c r="L36" s="45">
        <f t="array" ref="L36">1-(F36/E36)</f>
        <v>0.66175977185036072</v>
      </c>
      <c r="M36" s="45">
        <f t="array" ref="M36">K36/E36</f>
        <v>0.31035061231337024</v>
      </c>
      <c r="N36" t="s">
        <v>37</v>
      </c>
      <c r="O36" t="s">
        <v>38</v>
      </c>
    </row>
    <row r="37" spans="1:15" x14ac:dyDescent="0.25">
      <c r="A37">
        <v>36</v>
      </c>
      <c r="B37" t="s">
        <v>47</v>
      </c>
      <c r="C37" t="s">
        <v>11</v>
      </c>
      <c r="D37" s="34">
        <v>42735</v>
      </c>
      <c r="E37" s="35">
        <v>2704400000</v>
      </c>
      <c r="F37" s="35">
        <v>814300000</v>
      </c>
      <c r="G37" s="35">
        <v>705300000</v>
      </c>
      <c r="H37" s="35">
        <v>239600000</v>
      </c>
      <c r="I37" t="s">
        <v>40</v>
      </c>
      <c r="J37" s="43">
        <f t="array" ref="J37">E37-F37</f>
        <v>1890100000</v>
      </c>
      <c r="K37" s="43">
        <f t="array" ref="K37">J37-SUM(G37:I37)</f>
        <v>945200000</v>
      </c>
      <c r="L37" s="45">
        <f t="array" ref="L37">1-(F37/E37)</f>
        <v>0.69889809199822506</v>
      </c>
      <c r="M37" s="45">
        <f t="array" ref="M37">K37/E37</f>
        <v>0.34950451116698711</v>
      </c>
      <c r="N37" t="s">
        <v>37</v>
      </c>
      <c r="O37" t="s">
        <v>38</v>
      </c>
    </row>
    <row r="38" spans="1:15" x14ac:dyDescent="0.25">
      <c r="A38">
        <v>37</v>
      </c>
      <c r="B38" t="s">
        <v>48</v>
      </c>
      <c r="C38" t="s">
        <v>8</v>
      </c>
      <c r="D38" s="34">
        <v>41273</v>
      </c>
      <c r="E38" s="35">
        <v>2105188000</v>
      </c>
      <c r="F38" s="35">
        <v>1143659000</v>
      </c>
      <c r="G38" s="35">
        <v>627370000</v>
      </c>
      <c r="H38" s="35">
        <v>131835000</v>
      </c>
      <c r="I38" t="s">
        <v>40</v>
      </c>
      <c r="J38" s="43">
        <f t="array" ref="J38">E38-F38</f>
        <v>961529000</v>
      </c>
      <c r="K38" s="43">
        <f t="array" ref="K38">J38-SUM(G38:I38)</f>
        <v>202324000</v>
      </c>
      <c r="L38" s="45">
        <f t="array" ref="L38">1-(F38/E38)</f>
        <v>0.4567425807101313</v>
      </c>
      <c r="M38" s="45">
        <f t="array" ref="M38">K38/E38</f>
        <v>9.6107331031717827E-2</v>
      </c>
      <c r="N38" t="s">
        <v>37</v>
      </c>
      <c r="O38" t="s">
        <v>38</v>
      </c>
    </row>
    <row r="39" spans="1:15" x14ac:dyDescent="0.25">
      <c r="A39">
        <v>38</v>
      </c>
      <c r="B39" t="s">
        <v>48</v>
      </c>
      <c r="C39" t="s">
        <v>9</v>
      </c>
      <c r="D39" s="34">
        <v>41637</v>
      </c>
      <c r="E39" s="35">
        <v>2157586000</v>
      </c>
      <c r="F39" s="35">
        <v>1181444000</v>
      </c>
      <c r="G39" s="35">
        <v>581898000</v>
      </c>
      <c r="H39" s="35">
        <v>132400000</v>
      </c>
      <c r="I39" t="s">
        <v>40</v>
      </c>
      <c r="J39" s="43">
        <f t="array" ref="J39">E39-F39</f>
        <v>976142000</v>
      </c>
      <c r="K39" s="43">
        <f t="array" ref="K39">J39-SUM(G39:I39)</f>
        <v>261844000</v>
      </c>
      <c r="L39" s="45">
        <f t="array" ref="L39">1-(F39/E39)</f>
        <v>0.45242321742910829</v>
      </c>
      <c r="M39" s="45">
        <f t="array" ref="M39">K39/E39</f>
        <v>0.12135970478117675</v>
      </c>
      <c r="N39" t="s">
        <v>37</v>
      </c>
      <c r="O39" t="s">
        <v>38</v>
      </c>
    </row>
    <row r="40" spans="1:15" x14ac:dyDescent="0.25">
      <c r="A40">
        <v>39</v>
      </c>
      <c r="B40" t="s">
        <v>48</v>
      </c>
      <c r="C40" t="s">
        <v>10</v>
      </c>
      <c r="D40" s="34">
        <v>42001</v>
      </c>
      <c r="E40" s="35">
        <v>2237219000</v>
      </c>
      <c r="F40" s="35">
        <v>1232611000</v>
      </c>
      <c r="G40" s="35">
        <v>659335000</v>
      </c>
      <c r="H40" s="35">
        <v>121141000</v>
      </c>
      <c r="I40" t="s">
        <v>40</v>
      </c>
      <c r="J40" s="43">
        <f t="array" ref="J40">E40-F40</f>
        <v>1004608000</v>
      </c>
      <c r="K40" s="43">
        <f t="array" ref="K40">J40-SUM(G40:I40)</f>
        <v>224132000</v>
      </c>
      <c r="L40" s="45">
        <f t="array" ref="L40">1-(F40/E40)</f>
        <v>0.44904320944887377</v>
      </c>
      <c r="M40" s="45">
        <f t="array" ref="M40">K40/E40</f>
        <v>0.10018330793722027</v>
      </c>
      <c r="N40" t="s">
        <v>37</v>
      </c>
      <c r="O40" t="s">
        <v>38</v>
      </c>
    </row>
    <row r="41" spans="1:15" x14ac:dyDescent="0.25">
      <c r="A41">
        <v>40</v>
      </c>
      <c r="B41" t="s">
        <v>48</v>
      </c>
      <c r="C41" t="s">
        <v>11</v>
      </c>
      <c r="D41" s="34">
        <v>42372</v>
      </c>
      <c r="E41" s="35">
        <v>2262359000</v>
      </c>
      <c r="F41" s="35">
        <v>1237859000</v>
      </c>
      <c r="G41" s="35">
        <v>598848000</v>
      </c>
      <c r="H41" s="35">
        <v>125928000</v>
      </c>
      <c r="I41" t="s">
        <v>40</v>
      </c>
      <c r="J41" s="43">
        <f t="array" ref="J41">E41-F41</f>
        <v>1024500000</v>
      </c>
      <c r="K41" s="43">
        <f t="array" ref="K41">J41-SUM(G41:I41)</f>
        <v>299724000</v>
      </c>
      <c r="L41" s="45">
        <f t="array" ref="L41">1-(F41/E41)</f>
        <v>0.45284590111472145</v>
      </c>
      <c r="M41" s="45">
        <f t="array" ref="M41">K41/E41</f>
        <v>0.13248295252875428</v>
      </c>
      <c r="N41" t="s">
        <v>37</v>
      </c>
      <c r="O41" t="s">
        <v>38</v>
      </c>
    </row>
    <row r="42" spans="1:15" x14ac:dyDescent="0.25">
      <c r="A42">
        <v>41</v>
      </c>
      <c r="B42" t="s">
        <v>49</v>
      </c>
      <c r="C42" t="s">
        <v>8</v>
      </c>
      <c r="D42" s="34">
        <v>41639</v>
      </c>
      <c r="E42" s="35">
        <v>9021000000</v>
      </c>
      <c r="F42" s="35">
        <v>3002000000</v>
      </c>
      <c r="G42" s="35">
        <v>4089000000</v>
      </c>
      <c r="H42" s="35">
        <v>536000000</v>
      </c>
      <c r="I42" s="35">
        <v>138000000</v>
      </c>
      <c r="J42" s="43">
        <f t="array" ref="J42">E42-F42</f>
        <v>6019000000</v>
      </c>
      <c r="K42" s="43">
        <f t="array" ref="K42">J42-SUM(G42:I42)</f>
        <v>1256000000</v>
      </c>
      <c r="L42" s="45">
        <f t="array" ref="L42">1-(F42/E42)</f>
        <v>0.6672209289435761</v>
      </c>
      <c r="M42" s="45">
        <f t="array" ref="M42">K42/E42</f>
        <v>0.13923068395964971</v>
      </c>
      <c r="N42" t="s">
        <v>37</v>
      </c>
      <c r="O42" t="s">
        <v>38</v>
      </c>
    </row>
    <row r="43" spans="1:15" x14ac:dyDescent="0.25">
      <c r="A43">
        <v>42</v>
      </c>
      <c r="B43" t="s">
        <v>49</v>
      </c>
      <c r="C43" t="s">
        <v>9</v>
      </c>
      <c r="D43" s="34">
        <v>42004</v>
      </c>
      <c r="E43" s="35">
        <v>9675000000</v>
      </c>
      <c r="F43" s="35">
        <v>3319000000</v>
      </c>
      <c r="G43" s="35">
        <v>4308000000</v>
      </c>
      <c r="H43" s="35">
        <v>614000000</v>
      </c>
      <c r="I43" s="35">
        <v>188000000</v>
      </c>
      <c r="J43" s="43">
        <f t="array" ref="J43">E43-F43</f>
        <v>6356000000</v>
      </c>
      <c r="K43" s="43">
        <f t="array" ref="K43">J43-SUM(G43:I43)</f>
        <v>1246000000</v>
      </c>
      <c r="L43" s="45">
        <f t="array" ref="L43">1-(F43/E43)</f>
        <v>0.65695090439276482</v>
      </c>
      <c r="M43" s="45">
        <f t="array" ref="M43">K43/E43</f>
        <v>0.12878552971576226</v>
      </c>
      <c r="N43" t="s">
        <v>37</v>
      </c>
      <c r="O43" t="s">
        <v>38</v>
      </c>
    </row>
    <row r="44" spans="1:15" x14ac:dyDescent="0.25">
      <c r="A44">
        <v>43</v>
      </c>
      <c r="B44" t="s">
        <v>49</v>
      </c>
      <c r="C44" t="s">
        <v>10</v>
      </c>
      <c r="D44" s="34">
        <v>42369</v>
      </c>
      <c r="E44" s="35">
        <v>9946000000</v>
      </c>
      <c r="F44" s="35">
        <v>3344000000</v>
      </c>
      <c r="G44" s="35">
        <v>3906000000</v>
      </c>
      <c r="H44" s="35">
        <v>625000000</v>
      </c>
      <c r="I44" s="35">
        <v>210000000</v>
      </c>
      <c r="J44" s="43">
        <f t="array" ref="J44">E44-F44</f>
        <v>6602000000</v>
      </c>
      <c r="K44" s="43">
        <f t="array" ref="K44">J44-SUM(G44:I44)</f>
        <v>1861000000</v>
      </c>
      <c r="L44" s="45">
        <f t="array" ref="L44">1-(F44/E44)</f>
        <v>0.66378443595415249</v>
      </c>
      <c r="M44" s="45">
        <f t="array" ref="M44">K44/E44</f>
        <v>0.18711039613915142</v>
      </c>
      <c r="N44" t="s">
        <v>37</v>
      </c>
      <c r="O44" t="s">
        <v>38</v>
      </c>
    </row>
    <row r="45" spans="1:15" x14ac:dyDescent="0.25">
      <c r="A45">
        <v>44</v>
      </c>
      <c r="B45" t="s">
        <v>49</v>
      </c>
      <c r="C45" t="s">
        <v>11</v>
      </c>
      <c r="D45" s="34">
        <v>42735</v>
      </c>
      <c r="E45" s="35">
        <v>11325000000</v>
      </c>
      <c r="F45" s="35">
        <v>3830000000</v>
      </c>
      <c r="G45" s="35">
        <v>4295000000</v>
      </c>
      <c r="H45" s="35">
        <v>715000000</v>
      </c>
      <c r="I45" s="35">
        <v>319000000</v>
      </c>
      <c r="J45" s="43">
        <f t="array" ref="J45">E45-F45</f>
        <v>7495000000</v>
      </c>
      <c r="K45" s="43">
        <f t="array" ref="K45">J45-SUM(G45:I45)</f>
        <v>2166000000</v>
      </c>
      <c r="L45" s="45">
        <f t="array" ref="L45">1-(F45/E45)</f>
        <v>0.66181015452538627</v>
      </c>
      <c r="M45" s="45">
        <f t="array" ref="M45">K45/E45</f>
        <v>0.19125827814569538</v>
      </c>
      <c r="N45" t="s">
        <v>37</v>
      </c>
      <c r="O45" t="s">
        <v>38</v>
      </c>
    </row>
    <row r="46" spans="1:15" x14ac:dyDescent="0.25">
      <c r="A46">
        <v>45</v>
      </c>
      <c r="B46" t="s">
        <v>50</v>
      </c>
      <c r="C46" t="s">
        <v>8</v>
      </c>
      <c r="D46" s="34">
        <v>41274</v>
      </c>
      <c r="E46" s="35">
        <v>12509900000</v>
      </c>
      <c r="F46" s="35">
        <v>7214400000</v>
      </c>
      <c r="G46" s="35">
        <v>3354900000</v>
      </c>
      <c r="H46" s="35">
        <v>376400000</v>
      </c>
      <c r="I46" t="s">
        <v>40</v>
      </c>
      <c r="J46" s="43">
        <f t="array" ref="J46">E46-F46</f>
        <v>5295500000</v>
      </c>
      <c r="K46" s="43">
        <f t="array" ref="K46">J46-SUM(G46:I46)</f>
        <v>1564200000</v>
      </c>
      <c r="L46" s="45">
        <f t="array" ref="L46">1-(F46/E46)</f>
        <v>0.42330474264382612</v>
      </c>
      <c r="M46" s="45">
        <f t="array" ref="M46">K46/E46</f>
        <v>0.1250369707191904</v>
      </c>
      <c r="N46" t="s">
        <v>37</v>
      </c>
      <c r="O46" t="s">
        <v>38</v>
      </c>
    </row>
    <row r="47" spans="1:15" x14ac:dyDescent="0.25">
      <c r="A47">
        <v>46</v>
      </c>
      <c r="B47" t="s">
        <v>50</v>
      </c>
      <c r="C47" t="s">
        <v>9</v>
      </c>
      <c r="D47" s="34">
        <v>41639</v>
      </c>
      <c r="E47" s="35">
        <v>13090300000</v>
      </c>
      <c r="F47" s="35">
        <v>7561200000</v>
      </c>
      <c r="G47" s="35">
        <v>3446300000</v>
      </c>
      <c r="H47" s="35">
        <v>395500000</v>
      </c>
      <c r="I47" t="s">
        <v>40</v>
      </c>
      <c r="J47" s="43">
        <f t="array" ref="J47">E47-F47</f>
        <v>5529100000</v>
      </c>
      <c r="K47" s="43">
        <f t="array" ref="K47">J47-SUM(G47:I47)</f>
        <v>1687300000</v>
      </c>
      <c r="L47" s="45">
        <f t="array" ref="L47">1-(F47/E47)</f>
        <v>0.422381458026172</v>
      </c>
      <c r="M47" s="45">
        <f t="array" ref="M47">K47/E47</f>
        <v>0.1288969695117759</v>
      </c>
      <c r="N47" t="s">
        <v>37</v>
      </c>
      <c r="O47" t="s">
        <v>38</v>
      </c>
    </row>
    <row r="48" spans="1:15" x14ac:dyDescent="0.25">
      <c r="A48">
        <v>47</v>
      </c>
      <c r="B48" t="s">
        <v>50</v>
      </c>
      <c r="C48" t="s">
        <v>10</v>
      </c>
      <c r="D48" s="34">
        <v>42004</v>
      </c>
      <c r="E48" s="35">
        <v>16889600000</v>
      </c>
      <c r="F48" s="35">
        <v>9397600000</v>
      </c>
      <c r="G48" s="35">
        <v>4896100000</v>
      </c>
      <c r="H48" s="35">
        <v>691100000</v>
      </c>
      <c r="I48" t="s">
        <v>40</v>
      </c>
      <c r="J48" s="43">
        <f t="array" ref="J48">E48-F48</f>
        <v>7492000000</v>
      </c>
      <c r="K48" s="43">
        <f t="array" ref="K48">J48-SUM(G48:I48)</f>
        <v>1904800000</v>
      </c>
      <c r="L48" s="45">
        <f t="array" ref="L48">1-(F48/E48)</f>
        <v>0.44358658582796517</v>
      </c>
      <c r="M48" s="45">
        <f t="array" ref="M48">K48/E48</f>
        <v>0.11277946191739295</v>
      </c>
      <c r="N48" t="s">
        <v>37</v>
      </c>
      <c r="O48" t="s">
        <v>38</v>
      </c>
    </row>
    <row r="49" spans="1:15" x14ac:dyDescent="0.25">
      <c r="A49">
        <v>48</v>
      </c>
      <c r="B49" t="s">
        <v>50</v>
      </c>
      <c r="C49" t="s">
        <v>11</v>
      </c>
      <c r="D49" s="34">
        <v>42369</v>
      </c>
      <c r="E49" s="35">
        <v>16965400000</v>
      </c>
      <c r="F49" s="35">
        <v>9209500000</v>
      </c>
      <c r="G49" s="35">
        <v>4612100000</v>
      </c>
      <c r="H49" s="35">
        <v>692300000</v>
      </c>
      <c r="I49" t="s">
        <v>40</v>
      </c>
      <c r="J49" s="43">
        <f t="array" ref="J49">E49-F49</f>
        <v>7755900000</v>
      </c>
      <c r="K49" s="43">
        <f t="array" ref="K49">J49-SUM(G49:I49)</f>
        <v>2451500000</v>
      </c>
      <c r="L49" s="45">
        <f t="array" ref="L49">1-(F49/E49)</f>
        <v>0.45715986655192331</v>
      </c>
      <c r="M49" s="45">
        <f t="array" ref="M49">K49/E49</f>
        <v>0.14449998231695096</v>
      </c>
      <c r="N49" t="s">
        <v>37</v>
      </c>
      <c r="O49" t="s">
        <v>38</v>
      </c>
    </row>
    <row r="50" spans="1:15" x14ac:dyDescent="0.25">
      <c r="A50">
        <v>49</v>
      </c>
      <c r="B50" t="s">
        <v>51</v>
      </c>
      <c r="C50" t="s">
        <v>8</v>
      </c>
      <c r="D50" s="34">
        <v>41544</v>
      </c>
      <c r="E50" s="35">
        <v>2942897000</v>
      </c>
      <c r="F50" s="35">
        <v>1693210000</v>
      </c>
      <c r="G50" s="35">
        <v>432589000</v>
      </c>
      <c r="H50" s="35">
        <v>208208000</v>
      </c>
      <c r="I50" t="s">
        <v>40</v>
      </c>
      <c r="J50" s="43">
        <f t="array" ref="J50">E50-F50</f>
        <v>1249687000</v>
      </c>
      <c r="K50" s="43">
        <f t="array" ref="K50">J50-SUM(G50:I50)</f>
        <v>608890000</v>
      </c>
      <c r="L50" s="45">
        <f t="array" ref="L50">1-(F50/E50)</f>
        <v>0.42464517106782873</v>
      </c>
      <c r="M50" s="45">
        <f t="array" ref="M50">K50/E50</f>
        <v>0.20690156672149926</v>
      </c>
      <c r="N50" t="s">
        <v>37</v>
      </c>
      <c r="O50" t="s">
        <v>38</v>
      </c>
    </row>
    <row r="51" spans="1:15" x14ac:dyDescent="0.25">
      <c r="A51">
        <v>50</v>
      </c>
      <c r="B51" t="s">
        <v>51</v>
      </c>
      <c r="C51" t="s">
        <v>9</v>
      </c>
      <c r="D51" s="34">
        <v>41908</v>
      </c>
      <c r="E51" s="35">
        <v>3049800000</v>
      </c>
      <c r="F51" s="35">
        <v>1748100000</v>
      </c>
      <c r="G51" s="35">
        <v>470600000</v>
      </c>
      <c r="H51" s="35">
        <v>234800000</v>
      </c>
      <c r="I51" t="s">
        <v>40</v>
      </c>
      <c r="J51" s="43">
        <f t="array" ref="J51">E51-F51</f>
        <v>1301700000</v>
      </c>
      <c r="K51" s="43">
        <f t="array" ref="K51">J51-SUM(G51:I51)</f>
        <v>596300000</v>
      </c>
      <c r="L51" s="45">
        <f t="array" ref="L51">1-(F51/E51)</f>
        <v>0.42681487310643318</v>
      </c>
      <c r="M51" s="45">
        <f t="array" ref="M51">K51/E51</f>
        <v>0.19552101777165715</v>
      </c>
      <c r="N51" t="s">
        <v>37</v>
      </c>
      <c r="O51" t="s">
        <v>38</v>
      </c>
    </row>
    <row r="52" spans="1:15" x14ac:dyDescent="0.25">
      <c r="A52">
        <v>51</v>
      </c>
      <c r="B52" t="s">
        <v>51</v>
      </c>
      <c r="C52" t="s">
        <v>10</v>
      </c>
      <c r="D52" s="34">
        <v>42279</v>
      </c>
      <c r="E52" s="35">
        <v>3099100000</v>
      </c>
      <c r="F52" s="35">
        <v>1816400000</v>
      </c>
      <c r="G52" s="35">
        <v>488500000</v>
      </c>
      <c r="H52" s="35">
        <v>245200000</v>
      </c>
      <c r="I52" t="s">
        <v>40</v>
      </c>
      <c r="J52" s="43">
        <f t="array" ref="J52">E52-F52</f>
        <v>1282700000</v>
      </c>
      <c r="K52" s="43">
        <f t="array" ref="K52">J52-SUM(G52:I52)</f>
        <v>549000000</v>
      </c>
      <c r="L52" s="45">
        <f t="array" ref="L52">1-(F52/E52)</f>
        <v>0.41389435642605921</v>
      </c>
      <c r="M52" s="45">
        <f t="array" ref="M52">K52/E52</f>
        <v>0.17714820431738246</v>
      </c>
      <c r="N52" t="s">
        <v>37</v>
      </c>
      <c r="O52" t="s">
        <v>38</v>
      </c>
    </row>
    <row r="53" spans="1:15" x14ac:dyDescent="0.25">
      <c r="A53">
        <v>52</v>
      </c>
      <c r="B53" t="s">
        <v>51</v>
      </c>
      <c r="C53" t="s">
        <v>11</v>
      </c>
      <c r="D53" s="34">
        <v>42643</v>
      </c>
      <c r="E53" s="35">
        <v>3217800000</v>
      </c>
      <c r="F53" s="35">
        <v>1856500000</v>
      </c>
      <c r="G53" s="35">
        <v>557000000</v>
      </c>
      <c r="H53" s="35">
        <v>253500000</v>
      </c>
      <c r="I53" t="s">
        <v>40</v>
      </c>
      <c r="J53" s="43">
        <f t="array" ref="J53">E53-F53</f>
        <v>1361300000</v>
      </c>
      <c r="K53" s="43">
        <f t="array" ref="K53">J53-SUM(G53:I53)</f>
        <v>550800000</v>
      </c>
      <c r="L53" s="45">
        <f t="array" ref="L53">1-(F53/E53)</f>
        <v>0.42305301758965752</v>
      </c>
      <c r="M53" s="45">
        <f t="array" ref="M53">K53/E53</f>
        <v>0.17117285101622226</v>
      </c>
      <c r="N53" t="s">
        <v>37</v>
      </c>
      <c r="O53" t="s">
        <v>38</v>
      </c>
    </row>
    <row r="54" spans="1:15" x14ac:dyDescent="0.25">
      <c r="A54">
        <v>53</v>
      </c>
      <c r="B54" t="s">
        <v>52</v>
      </c>
      <c r="C54" t="s">
        <v>8</v>
      </c>
      <c r="D54" s="34">
        <v>41274</v>
      </c>
      <c r="E54" s="35">
        <v>4471700000</v>
      </c>
      <c r="F54" s="35">
        <v>1125200000</v>
      </c>
      <c r="G54" s="35">
        <v>1822100000</v>
      </c>
      <c r="H54" s="35">
        <v>225600000</v>
      </c>
      <c r="I54" t="s">
        <v>40</v>
      </c>
      <c r="J54" s="43">
        <f t="array" ref="J54">E54-F54</f>
        <v>3346500000</v>
      </c>
      <c r="K54" s="43">
        <f t="array" ref="K54">J54-SUM(G54:I54)</f>
        <v>1298800000</v>
      </c>
      <c r="L54" s="45">
        <f t="array" ref="L54">1-(F54/E54)</f>
        <v>0.74837310195227769</v>
      </c>
      <c r="M54" s="45">
        <f t="array" ref="M54">K54/E54</f>
        <v>0.29044882259543353</v>
      </c>
      <c r="N54" t="s">
        <v>37</v>
      </c>
      <c r="O54" t="s">
        <v>38</v>
      </c>
    </row>
    <row r="55" spans="1:15" x14ac:dyDescent="0.25">
      <c r="A55">
        <v>54</v>
      </c>
      <c r="B55" t="s">
        <v>52</v>
      </c>
      <c r="C55" t="s">
        <v>9</v>
      </c>
      <c r="D55" s="34">
        <v>41639</v>
      </c>
      <c r="E55" s="35">
        <v>4623400000</v>
      </c>
      <c r="F55" s="35">
        <v>1266700000</v>
      </c>
      <c r="G55" s="35">
        <v>1796300000</v>
      </c>
      <c r="H55" s="35">
        <v>203000000</v>
      </c>
      <c r="I55" s="35">
        <v>78500000</v>
      </c>
      <c r="J55" s="43">
        <f t="array" ref="J55">E55-F55</f>
        <v>3356700000</v>
      </c>
      <c r="K55" s="43">
        <f t="array" ref="K55">J55-SUM(G55:I55)</f>
        <v>1278900000</v>
      </c>
      <c r="L55" s="45">
        <f t="array" ref="L55">1-(F55/E55)</f>
        <v>0.72602413808020072</v>
      </c>
      <c r="M55" s="45">
        <f t="array" ref="M55">K55/E55</f>
        <v>0.27661461262274517</v>
      </c>
      <c r="N55" t="s">
        <v>37</v>
      </c>
      <c r="O55" t="s">
        <v>38</v>
      </c>
    </row>
    <row r="56" spans="1:15" x14ac:dyDescent="0.25">
      <c r="A56">
        <v>55</v>
      </c>
      <c r="B56" t="s">
        <v>52</v>
      </c>
      <c r="C56" t="s">
        <v>10</v>
      </c>
      <c r="D56" s="34">
        <v>42004</v>
      </c>
      <c r="E56" s="35">
        <v>4673300000</v>
      </c>
      <c r="F56" s="35">
        <v>1242800000</v>
      </c>
      <c r="G56" s="35">
        <v>1772200000</v>
      </c>
      <c r="H56" s="35">
        <v>187400000</v>
      </c>
      <c r="I56" s="35">
        <v>92500000</v>
      </c>
      <c r="J56" s="43">
        <f t="array" ref="J56">E56-F56</f>
        <v>3430500000</v>
      </c>
      <c r="K56" s="43">
        <f t="array" ref="K56">J56-SUM(G56:I56)</f>
        <v>1378400000</v>
      </c>
      <c r="L56" s="45">
        <f t="array" ref="L56">1-(F56/E56)</f>
        <v>0.73406372370701645</v>
      </c>
      <c r="M56" s="45">
        <f t="array" ref="M56">K56/E56</f>
        <v>0.29495217512250443</v>
      </c>
      <c r="N56" t="s">
        <v>37</v>
      </c>
      <c r="O56" t="s">
        <v>38</v>
      </c>
    </row>
    <row r="57" spans="1:15" x14ac:dyDescent="0.25">
      <c r="A57">
        <v>56</v>
      </c>
      <c r="B57" t="s">
        <v>52</v>
      </c>
      <c r="C57" t="s">
        <v>11</v>
      </c>
      <c r="D57" s="34">
        <v>42369</v>
      </c>
      <c r="E57" s="35">
        <v>5997800000</v>
      </c>
      <c r="F57" s="35">
        <v>1800600000</v>
      </c>
      <c r="G57" s="35">
        <v>2291900000</v>
      </c>
      <c r="H57" s="35">
        <v>268800000</v>
      </c>
      <c r="I57" s="35">
        <v>337400000</v>
      </c>
      <c r="J57" s="43">
        <f t="array" ref="J57">E57-F57</f>
        <v>4197200000</v>
      </c>
      <c r="K57" s="43">
        <f t="array" ref="K57">J57-SUM(G57:I57)</f>
        <v>1299100000</v>
      </c>
      <c r="L57" s="45">
        <f t="array" ref="L57">1-(F57/E57)</f>
        <v>0.69978992297175635</v>
      </c>
      <c r="M57" s="45">
        <f t="array" ref="M57">K57/E57</f>
        <v>0.21659608523125146</v>
      </c>
      <c r="N57" t="s">
        <v>37</v>
      </c>
      <c r="O57" t="s">
        <v>38</v>
      </c>
    </row>
  </sheetData>
  <pageMargins left="0.7" right="0.7" top="0.75" bottom="0.75" header="0.3" footer="0.3"/>
  <pageSetup paperSize="9" scale="3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7E5-4538-4E55-ADCB-3440771EE02B}">
  <dimension ref="A1:O5"/>
  <sheetViews>
    <sheetView workbookViewId="0">
      <selection activeCell="E11" sqref="E1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14.710937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3" width="22.140625" customWidth="1"/>
    <col min="14" max="14" width="22.5703125" bestFit="1" customWidth="1"/>
    <col min="15" max="15" width="26.85546875" bestFit="1" customWidth="1"/>
  </cols>
  <sheetData>
    <row r="1" spans="1:15" x14ac:dyDescent="0.2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26</v>
      </c>
      <c r="I1" t="s">
        <v>33</v>
      </c>
      <c r="J1" s="42" t="s">
        <v>3</v>
      </c>
      <c r="K1" s="42" t="s">
        <v>64</v>
      </c>
      <c r="L1" s="42" t="s">
        <v>18</v>
      </c>
      <c r="M1" s="42" t="s">
        <v>19</v>
      </c>
      <c r="N1" t="s">
        <v>34</v>
      </c>
      <c r="O1" t="s">
        <v>35</v>
      </c>
    </row>
    <row r="2" spans="1:15" x14ac:dyDescent="0.25">
      <c r="A2">
        <v>1761</v>
      </c>
      <c r="B2" t="s">
        <v>61</v>
      </c>
      <c r="C2" t="s">
        <v>8</v>
      </c>
      <c r="D2" s="34">
        <v>41274</v>
      </c>
      <c r="E2" s="35">
        <v>4986566000</v>
      </c>
      <c r="F2" s="35">
        <v>1620566000</v>
      </c>
      <c r="G2" s="35">
        <v>1641819000</v>
      </c>
      <c r="H2" s="35">
        <v>885824000</v>
      </c>
      <c r="I2" s="35">
        <v>35819000</v>
      </c>
      <c r="J2" s="43">
        <f t="array" ref="J2">E2-F2</f>
        <v>3366000000</v>
      </c>
      <c r="K2" s="43">
        <f t="array" ref="K2">J2-SUM(G2:I2)</f>
        <v>802538000</v>
      </c>
      <c r="L2" s="48">
        <f t="array" ref="L2">1-(F2/E2)</f>
        <v>0.67501362661198105</v>
      </c>
      <c r="M2" s="48">
        <f t="array" ref="M2">K2/E2</f>
        <v>0.16094001362861737</v>
      </c>
      <c r="N2" t="s">
        <v>62</v>
      </c>
      <c r="O2" t="s">
        <v>63</v>
      </c>
    </row>
    <row r="3" spans="1:15" x14ac:dyDescent="0.25">
      <c r="A3">
        <v>1762</v>
      </c>
      <c r="B3" t="s">
        <v>61</v>
      </c>
      <c r="C3" t="s">
        <v>9</v>
      </c>
      <c r="D3" s="34">
        <v>41639</v>
      </c>
      <c r="E3" s="35">
        <v>4680380000</v>
      </c>
      <c r="F3" s="35">
        <v>1349380000</v>
      </c>
      <c r="G3" s="35">
        <v>1751275000</v>
      </c>
      <c r="H3" s="35">
        <v>957587000</v>
      </c>
      <c r="I3" s="35">
        <v>44841000</v>
      </c>
      <c r="J3" s="43">
        <f t="array" ref="J3">E3-F3</f>
        <v>3331000000</v>
      </c>
      <c r="K3" s="43">
        <f t="array" ref="K3">J3-SUM(G3:I3)</f>
        <v>577297000</v>
      </c>
      <c r="L3" s="48">
        <f t="array" ref="L3">1-(F3/E3)</f>
        <v>0.71169434960409195</v>
      </c>
      <c r="M3" s="48">
        <f t="array" ref="M3">K3/E3</f>
        <v>0.12334404471431806</v>
      </c>
      <c r="N3" t="s">
        <v>62</v>
      </c>
      <c r="O3" t="s">
        <v>63</v>
      </c>
    </row>
    <row r="4" spans="1:15" x14ac:dyDescent="0.25">
      <c r="A4">
        <v>1763</v>
      </c>
      <c r="B4" t="s">
        <v>61</v>
      </c>
      <c r="C4" t="s">
        <v>10</v>
      </c>
      <c r="D4" s="34">
        <v>42004</v>
      </c>
      <c r="E4" s="35">
        <v>4618133000</v>
      </c>
      <c r="F4" s="35">
        <v>1387375000</v>
      </c>
      <c r="G4" s="35">
        <v>1770710000</v>
      </c>
      <c r="H4" s="35">
        <v>1156386000</v>
      </c>
      <c r="I4" s="35">
        <v>66750000</v>
      </c>
      <c r="J4" s="43">
        <f t="array" ref="J4">E4-F4</f>
        <v>3230758000</v>
      </c>
      <c r="K4" s="43">
        <f t="array" ref="K4">J4-SUM(G4:I4)</f>
        <v>236912000</v>
      </c>
      <c r="L4" s="48">
        <f t="array" ref="L4">1-(F4/E4)</f>
        <v>0.69958097785403761</v>
      </c>
      <c r="M4" s="48">
        <f t="array" ref="M4">K4/E4</f>
        <v>5.1300384809185876E-2</v>
      </c>
      <c r="N4" t="s">
        <v>62</v>
      </c>
      <c r="O4" t="s">
        <v>63</v>
      </c>
    </row>
    <row r="5" spans="1:15" x14ac:dyDescent="0.25">
      <c r="A5">
        <v>1764</v>
      </c>
      <c r="B5" t="s">
        <v>61</v>
      </c>
      <c r="C5" t="s">
        <v>11</v>
      </c>
      <c r="D5" s="34">
        <v>42369</v>
      </c>
      <c r="E5" s="35">
        <v>4968301000</v>
      </c>
      <c r="F5" s="35">
        <v>2077748000</v>
      </c>
      <c r="G5" s="35">
        <v>1768522000</v>
      </c>
      <c r="H5" s="35">
        <v>1177923000</v>
      </c>
      <c r="I5" s="35">
        <v>79042000</v>
      </c>
      <c r="J5" s="43">
        <f t="array" ref="J5">E5-F5</f>
        <v>2890553000</v>
      </c>
      <c r="K5" s="43">
        <f t="array" ref="K5">J5-SUM(G5:I5)</f>
        <v>-134934000</v>
      </c>
      <c r="L5" s="48">
        <f t="array" ref="L5">1-(F5/E5)</f>
        <v>0.58179908986995754</v>
      </c>
      <c r="M5" s="48">
        <f t="array" ref="M5">K5/E5</f>
        <v>-2.7158982517363581E-2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EA2E-679D-496D-9311-783F9B253F54}">
  <sheetPr>
    <pageSetUpPr fitToPage="1"/>
  </sheetPr>
  <dimension ref="A1:H40"/>
  <sheetViews>
    <sheetView tabSelected="1" workbookViewId="0">
      <selection activeCell="B2" sqref="B2"/>
    </sheetView>
  </sheetViews>
  <sheetFormatPr defaultRowHeight="15" x14ac:dyDescent="0.25"/>
  <cols>
    <col min="1" max="1" width="14.140625" bestFit="1" customWidth="1"/>
    <col min="2" max="2" width="28.140625" bestFit="1" customWidth="1"/>
    <col min="3" max="8" width="19" bestFit="1" customWidth="1"/>
  </cols>
  <sheetData>
    <row r="1" spans="1:8" ht="18.75" x14ac:dyDescent="0.3">
      <c r="C1" s="127" t="s">
        <v>67</v>
      </c>
      <c r="D1" s="128"/>
      <c r="E1" s="128"/>
      <c r="F1" s="128"/>
      <c r="G1" s="128"/>
    </row>
    <row r="2" spans="1:8" ht="15.75" x14ac:dyDescent="0.25">
      <c r="A2" t="s">
        <v>27</v>
      </c>
      <c r="B2" s="37" t="s">
        <v>45</v>
      </c>
      <c r="E2" s="123" t="s">
        <v>70</v>
      </c>
    </row>
    <row r="4" spans="1:8" s="3" customFormat="1" ht="19.5" thickBot="1" x14ac:dyDescent="0.35">
      <c r="B4" s="12" t="s">
        <v>0</v>
      </c>
      <c r="C4" s="14"/>
      <c r="D4" s="14"/>
      <c r="E4" s="14"/>
      <c r="F4" s="14"/>
      <c r="G4" s="14"/>
      <c r="H4" s="14"/>
    </row>
    <row r="5" spans="1:8" ht="20.25" thickTop="1" thickBot="1" x14ac:dyDescent="0.35">
      <c r="B5" s="2"/>
      <c r="C5" s="138" t="s">
        <v>14</v>
      </c>
      <c r="D5" s="139"/>
      <c r="E5" s="139"/>
      <c r="F5" s="140"/>
      <c r="G5" s="136" t="s">
        <v>15</v>
      </c>
      <c r="H5" s="137"/>
    </row>
    <row r="6" spans="1:8" s="1" customFormat="1" ht="16.5" thickBot="1" x14ac:dyDescent="0.3">
      <c r="C6" s="19" t="s">
        <v>8</v>
      </c>
      <c r="D6" s="20" t="s">
        <v>9</v>
      </c>
      <c r="E6" s="20" t="s">
        <v>10</v>
      </c>
      <c r="F6" s="20" t="s">
        <v>11</v>
      </c>
      <c r="G6" s="21" t="s">
        <v>12</v>
      </c>
      <c r="H6" s="22" t="s">
        <v>13</v>
      </c>
    </row>
    <row r="7" spans="1:8" ht="16.5" thickTop="1" x14ac:dyDescent="0.25">
      <c r="B7" s="17" t="s">
        <v>1</v>
      </c>
      <c r="C7" s="60">
        <f t="array" ref="C7">INDEX(Total_Revenue,MATCH(1,($B$2=Ticker_symbol)*($C$6=Year),0))</f>
        <v>2492300000</v>
      </c>
      <c r="D7" s="60">
        <f t="array" ref="D7">INDEX(Total_Revenue,MATCH(1,($B$2=Ticker_symbol)*($D$6=Year),0))</f>
        <v>2530700000</v>
      </c>
      <c r="E7" s="61">
        <f t="array" ref="E7">INDEX(Total_Revenue,MATCH(1,($B$2=Ticker_symbol)*($E$6=Year),0))</f>
        <v>2705000000</v>
      </c>
      <c r="F7" s="61">
        <f t="array" ref="F7">INDEX(Total_Revenue,MATCH(1,($B$2=Ticker_symbol)*($F$6=Year),0))</f>
        <v>2832700000</v>
      </c>
      <c r="G7" s="76">
        <f t="array" aca="1" ref="G7" ca="1">F7*(1+G20)</f>
        <v>2956857762.1625543</v>
      </c>
      <c r="H7" s="77">
        <f t="array" aca="1" ref="H7" ca="1">G7*(1+H20)</f>
        <v>3086457381.8833437</v>
      </c>
    </row>
    <row r="8" spans="1:8" ht="15.75" x14ac:dyDescent="0.25">
      <c r="B8" s="1" t="s">
        <v>2</v>
      </c>
      <c r="C8" s="60">
        <f t="array" ref="C8">INDEX(COGS,MATCH(1,($B$2=Ticker_symbol)*($C$6=Year),0))</f>
        <v>1330900000</v>
      </c>
      <c r="D8" s="60">
        <f t="array" ref="D8">INDEX(COGS,MATCH(1,($B$2=Ticker_symbol)*($D$6=Year),0))</f>
        <v>1285200000</v>
      </c>
      <c r="E8" s="61">
        <f t="array" ref="E8">INDEX(COGS,MATCH(1,($B$2=Ticker_symbol)*($E$6=Year),0))</f>
        <v>1272300000</v>
      </c>
      <c r="F8" s="61">
        <f t="array" ref="F8">INDEX(COGS,MATCH(1,($B$2=Ticker_symbol)*($F$6=Year),0))</f>
        <v>1269400000</v>
      </c>
      <c r="G8" s="84"/>
      <c r="H8" s="85"/>
    </row>
    <row r="9" spans="1:8" ht="15.75" x14ac:dyDescent="0.25">
      <c r="B9" s="17" t="s">
        <v>3</v>
      </c>
      <c r="C9" s="74">
        <f t="array" ref="C9">C7-C8</f>
        <v>1161400000</v>
      </c>
      <c r="D9" s="74">
        <f t="array" ref="D9">D7-D8</f>
        <v>1245500000</v>
      </c>
      <c r="E9" s="74">
        <f t="array" ref="E9">E7-E8</f>
        <v>1432700000</v>
      </c>
      <c r="F9" s="74">
        <f t="array" ref="F9">F7-F8</f>
        <v>1563300000</v>
      </c>
      <c r="G9" s="78">
        <f t="array" aca="1" ref="G9" ca="1">G7*G21</f>
        <v>1507758460.3888295</v>
      </c>
      <c r="H9" s="79">
        <f t="array" aca="1" ref="H9" ca="1">H7*H21</f>
        <v>1573843791.1063552</v>
      </c>
    </row>
    <row r="10" spans="1:8" ht="15.75" x14ac:dyDescent="0.25">
      <c r="B10" s="1" t="s">
        <v>4</v>
      </c>
      <c r="C10" s="60">
        <f t="array" ref="C10">INDEX(SGAs,MATCH(1,($B$2=Ticker_symbol)*($C$6=Year),0))</f>
        <v>661100000</v>
      </c>
      <c r="D10" s="61">
        <f t="array" ref="D10">INDEX(SGAs,MATCH(1,($B$2=Ticker_symbol)*($D$6=Year),0))</f>
        <v>591500000</v>
      </c>
      <c r="E10" s="61">
        <f t="array" ref="E10">INDEX(SGAs,MATCH(1,($B$2=Ticker_symbol)*($E$6=Year),0))</f>
        <v>624000000</v>
      </c>
      <c r="F10" s="61">
        <f t="array" ref="F10">INDEX(SGAs,MATCH(1,($B$2=Ticker_symbol)*($F$6=Year),0))</f>
        <v>682400000</v>
      </c>
      <c r="G10" s="86"/>
      <c r="H10" s="87"/>
    </row>
    <row r="11" spans="1:8" ht="15.75" x14ac:dyDescent="0.25">
      <c r="B11" s="1" t="s">
        <v>26</v>
      </c>
      <c r="C11" s="60">
        <f t="array" ref="C11">INDEX(R_AND_D,MATCH(1,($B$2=Ticker_symbol)*($C$6=Year),0))</f>
        <v>197600000</v>
      </c>
      <c r="D11" s="61">
        <f t="array" ref="D11">INDEX(R_AND_D,MATCH(1,($B$2=Ticker_symbol)*($D$6=Year),0))</f>
        <v>203200000</v>
      </c>
      <c r="E11" s="61">
        <f t="array" ref="E11">INDEX(R_AND_D,MATCH(1,($B$2=Ticker_symbol)*($E$6=Year),0))</f>
        <v>214900000</v>
      </c>
      <c r="F11" s="61">
        <f t="array" ref="F11">INDEX(R_AND_D,MATCH(1,($B$2=Ticker_symbol)*($F$6=Year),0))</f>
        <v>232100000</v>
      </c>
      <c r="G11" s="86"/>
      <c r="H11" s="87"/>
    </row>
    <row r="12" spans="1:8" ht="15.75" x14ac:dyDescent="0.25">
      <c r="B12" s="1" t="s">
        <v>5</v>
      </c>
      <c r="C12" s="60">
        <f t="array" ref="C12">INDEX(Other_Operating_Expenses,MATCH(1,($B$2=Ticker_symbol)*($C$6=Year),0))</f>
        <v>112600000</v>
      </c>
      <c r="D12" s="61">
        <f t="array" ref="D12">INDEX(Other_Operating_Expenses,MATCH(1,($B$2=Ticker_symbol)*($D$6=Year),0))</f>
        <v>113800000</v>
      </c>
      <c r="E12" s="61">
        <f t="array" ref="E12">INDEX(Other_Operating_Expenses,MATCH(1,($B$2=Ticker_symbol)*($E$6=Year),0))</f>
        <v>110200000</v>
      </c>
      <c r="F12" s="61">
        <f t="array" ref="F12">INDEX(Other_Operating_Expenses,MATCH(1,($B$2=Ticker_symbol)*($F$6=Year),0))</f>
        <v>89700000</v>
      </c>
      <c r="G12" s="86"/>
      <c r="H12" s="87"/>
    </row>
    <row r="13" spans="1:8" ht="15.75" x14ac:dyDescent="0.25">
      <c r="B13" s="17" t="s">
        <v>6</v>
      </c>
      <c r="C13" s="75">
        <f t="array" ref="C13">SUM(C10:C12)</f>
        <v>971300000</v>
      </c>
      <c r="D13" s="75">
        <f t="array" ref="D13">SUM(D10:D12)</f>
        <v>908500000</v>
      </c>
      <c r="E13" s="75">
        <f t="array" ref="E13">SUM(E10:E12)</f>
        <v>949100000</v>
      </c>
      <c r="F13" s="75">
        <f t="array" ref="F13">SUM(F10:F12)</f>
        <v>1004200000</v>
      </c>
      <c r="G13" s="86"/>
      <c r="H13" s="87"/>
    </row>
    <row r="14" spans="1:8" ht="18" thickBot="1" x14ac:dyDescent="0.35">
      <c r="B14" s="80" t="s">
        <v>7</v>
      </c>
      <c r="C14" s="81">
        <f>C9-C13</f>
        <v>190100000</v>
      </c>
      <c r="D14" s="81">
        <f t="shared" ref="D14:F14" si="0">D9-D13</f>
        <v>337000000</v>
      </c>
      <c r="E14" s="81">
        <f t="shared" si="0"/>
        <v>483600000</v>
      </c>
      <c r="F14" s="81">
        <f t="shared" si="0"/>
        <v>559100000</v>
      </c>
      <c r="G14" s="82">
        <f t="array" aca="1" ref="G14" ca="1">G7*G22</f>
        <v>432878972.87918979</v>
      </c>
      <c r="H14" s="83">
        <f t="array" aca="1" ref="H14" ca="1">H7*H22</f>
        <v>451852137.9019261</v>
      </c>
    </row>
    <row r="15" spans="1:8" x14ac:dyDescent="0.25">
      <c r="C15" s="8"/>
      <c r="D15" s="8"/>
      <c r="E15" s="8"/>
      <c r="F15" s="8"/>
      <c r="G15" s="8"/>
      <c r="H15" s="8"/>
    </row>
    <row r="16" spans="1:8" ht="15.75" x14ac:dyDescent="0.25">
      <c r="B16" s="126" t="s">
        <v>74</v>
      </c>
      <c r="C16" s="8"/>
      <c r="D16" s="8"/>
      <c r="E16" s="8"/>
      <c r="F16" s="8"/>
      <c r="G16" s="8"/>
      <c r="H16" s="8"/>
    </row>
    <row r="17" spans="1:8" s="11" customFormat="1" ht="19.5" thickBot="1" x14ac:dyDescent="0.35">
      <c r="B17" s="12" t="s">
        <v>68</v>
      </c>
      <c r="C17" s="23"/>
      <c r="D17" s="23"/>
      <c r="E17" s="23"/>
      <c r="F17" s="23"/>
      <c r="G17" s="23"/>
      <c r="H17" s="23"/>
    </row>
    <row r="18" spans="1:8" ht="20.25" thickTop="1" thickBot="1" x14ac:dyDescent="0.35">
      <c r="B18" s="2"/>
      <c r="C18" s="131" t="s">
        <v>14</v>
      </c>
      <c r="D18" s="132"/>
      <c r="E18" s="132"/>
      <c r="F18" s="133"/>
      <c r="G18" s="129" t="s">
        <v>16</v>
      </c>
      <c r="H18" s="130"/>
    </row>
    <row r="19" spans="1:8" s="1" customFormat="1" ht="16.5" thickBot="1" x14ac:dyDescent="0.3">
      <c r="C19" s="24" t="s">
        <v>8</v>
      </c>
      <c r="D19" s="25" t="s">
        <v>9</v>
      </c>
      <c r="E19" s="25" t="s">
        <v>10</v>
      </c>
      <c r="F19" s="25" t="s">
        <v>11</v>
      </c>
      <c r="G19" s="99" t="s">
        <v>12</v>
      </c>
      <c r="H19" s="100" t="s">
        <v>13</v>
      </c>
    </row>
    <row r="20" spans="1:8" ht="16.5" thickTop="1" x14ac:dyDescent="0.25">
      <c r="B20" s="1" t="s">
        <v>17</v>
      </c>
      <c r="C20" s="90" t="s">
        <v>56</v>
      </c>
      <c r="D20" s="91">
        <f>$D$7/$C$7-1</f>
        <v>1.540745496128082E-2</v>
      </c>
      <c r="E20" s="91">
        <f t="array" ref="E20">$E$7/$D$7-1</f>
        <v>6.8874224522859295E-2</v>
      </c>
      <c r="F20" s="92">
        <f t="array" ref="F20">$F$7/$E$7-1</f>
        <v>4.7208872458410323E-2</v>
      </c>
      <c r="G20" s="101">
        <f ca="1">OFFSET($G$29,MATCH($C$25,$B$30:$B$32,0),0)</f>
        <v>4.3830183980850146E-2</v>
      </c>
      <c r="H20" s="102">
        <f t="array" aca="1" ref="H20" ca="1">OFFSET($G$29,MATCH($C$25,$B$30:$B$32,0),1)</f>
        <v>4.3830183980850146E-2</v>
      </c>
    </row>
    <row r="21" spans="1:8" ht="15.75" x14ac:dyDescent="0.25">
      <c r="B21" s="1" t="s">
        <v>18</v>
      </c>
      <c r="C21" s="93">
        <f t="array" ref="C21">INDEX(Gross_Margin,MATCH(1,($B$2=Ticker_symbol)*($C$6=Year),0))</f>
        <v>0.46599526541748582</v>
      </c>
      <c r="D21" s="94">
        <f t="array" ref="D21">INDEX(Gross_Margin,MATCH(1,($B$2=Ticker_symbol)*($D$6=Year),0))</f>
        <v>0.49215632038566404</v>
      </c>
      <c r="E21" s="94">
        <f t="array" ref="E21">INDEX(Gross_Margin,MATCH(1,($B$2=Ticker_symbol)*($E$6=Year),0))</f>
        <v>0.52964879852125701</v>
      </c>
      <c r="F21" s="95">
        <f t="array" ref="F21">INDEX(Gross_Margin,MATCH(1,($B$2=Ticker_symbol)*($F$6=Year),0))</f>
        <v>0.55187630176157021</v>
      </c>
      <c r="G21" s="103">
        <f t="array" aca="1" ref="G21" ca="1">OFFSET($G$33,MATCH($C$25,$B$34:$B$36,0),0)</f>
        <v>0.50991917152149435</v>
      </c>
      <c r="H21" s="104">
        <f t="array" aca="1" ref="H21" ca="1">OFFSET($G$33,MATCH($C$25,$B$34:$B$36,0),1)</f>
        <v>0.50991917152149435</v>
      </c>
    </row>
    <row r="22" spans="1:8" ht="16.5" thickBot="1" x14ac:dyDescent="0.3">
      <c r="B22" s="6" t="s">
        <v>19</v>
      </c>
      <c r="C22" s="96">
        <f t="array" ref="C22">INDEX(Operating_Margin,MATCH(1,($B$2=Ticker_symbol)*($C$6=Year),0))</f>
        <v>7.627492677446536E-2</v>
      </c>
      <c r="D22" s="97">
        <f t="array" ref="D22">INDEX(Operating_Margin,MATCH(1,($B$2=Ticker_symbol)*($D$6=Year),0))</f>
        <v>0.13316473702928044</v>
      </c>
      <c r="E22" s="97">
        <f t="array" ref="E22">INDEX(Operating_Margin,MATCH(1,($B$2=Ticker_symbol)*($E$6=Year),0))</f>
        <v>0.17878003696857672</v>
      </c>
      <c r="F22" s="98">
        <f t="array" ref="F22">INDEX(Operating_Margin,MATCH(1,($B$2=Ticker_symbol)*($F$6=Year),0))</f>
        <v>0.19737353055388851</v>
      </c>
      <c r="G22" s="105">
        <f t="array" aca="1" ref="G22" ca="1">OFFSET($G$37,MATCH($C$25,$B$38:$B$40,0),0)</f>
        <v>0.14639830783155275</v>
      </c>
      <c r="H22" s="106">
        <f t="array" aca="1" ref="H22" ca="1">OFFSET($G$37,MATCH($C$25,$B$38:$B$40,0),1)</f>
        <v>0.14639830783155275</v>
      </c>
    </row>
    <row r="24" spans="1:8" x14ac:dyDescent="0.25">
      <c r="E24" s="39"/>
    </row>
    <row r="25" spans="1:8" ht="15.75" x14ac:dyDescent="0.25">
      <c r="B25" s="41" t="s">
        <v>20</v>
      </c>
      <c r="C25" s="40" t="s">
        <v>56</v>
      </c>
    </row>
    <row r="27" spans="1:8" s="2" customFormat="1" ht="19.5" thickBot="1" x14ac:dyDescent="0.35">
      <c r="B27" s="12" t="s">
        <v>22</v>
      </c>
      <c r="C27" s="13"/>
      <c r="D27" s="13"/>
      <c r="E27" s="13"/>
      <c r="F27" s="13"/>
      <c r="G27" s="13"/>
      <c r="H27" s="13"/>
    </row>
    <row r="28" spans="1:8" ht="16.5" thickTop="1" x14ac:dyDescent="0.25">
      <c r="G28" s="134" t="s">
        <v>60</v>
      </c>
      <c r="H28" s="135"/>
    </row>
    <row r="29" spans="1:8" ht="16.5" thickBot="1" x14ac:dyDescent="0.3">
      <c r="B29" s="10" t="s">
        <v>23</v>
      </c>
      <c r="C29" s="7"/>
      <c r="D29" s="7"/>
      <c r="E29" s="7"/>
      <c r="F29" s="7"/>
      <c r="G29" s="46" t="s">
        <v>11</v>
      </c>
      <c r="H29" s="28" t="s">
        <v>12</v>
      </c>
    </row>
    <row r="30" spans="1:8" ht="16.5" thickTop="1" x14ac:dyDescent="0.25">
      <c r="A30" s="8"/>
      <c r="B30" s="1" t="s">
        <v>24</v>
      </c>
      <c r="C30" s="15">
        <v>1</v>
      </c>
      <c r="G30" s="54">
        <f t="array" ref="G30">(SUM(D20:F20)/3)*1.3</f>
        <v>5.6979239175105188E-2</v>
      </c>
      <c r="H30" s="49">
        <f t="array" ref="H30">(SUM(D20:F20)/3)*1.3</f>
        <v>5.6979239175105188E-2</v>
      </c>
    </row>
    <row r="31" spans="1:8" ht="15.75" x14ac:dyDescent="0.25">
      <c r="A31" s="8"/>
      <c r="B31" s="1" t="s">
        <v>21</v>
      </c>
      <c r="C31" s="15">
        <v>2</v>
      </c>
      <c r="G31" s="54">
        <f>SUM(D20:F20)/3</f>
        <v>4.3830183980850146E-2</v>
      </c>
      <c r="H31" s="49">
        <f>SUM(D20:F20)/3</f>
        <v>4.3830183980850146E-2</v>
      </c>
    </row>
    <row r="32" spans="1:8" ht="15.75" x14ac:dyDescent="0.25">
      <c r="A32" s="8"/>
      <c r="B32" s="1" t="s">
        <v>25</v>
      </c>
      <c r="C32" s="15">
        <v>3</v>
      </c>
      <c r="G32" s="54">
        <f t="array" ref="G32">(SUM(D20:F20)/3)*0.7</f>
        <v>3.06811287865951E-2</v>
      </c>
      <c r="H32" s="50">
        <f t="array" ref="H32">(SUM(D20:F20)/3)*0.7</f>
        <v>3.06811287865951E-2</v>
      </c>
    </row>
    <row r="33" spans="1:8" ht="16.5" thickBot="1" x14ac:dyDescent="0.3">
      <c r="A33" s="8"/>
      <c r="B33" s="10" t="s">
        <v>18</v>
      </c>
      <c r="C33" s="16"/>
      <c r="D33" s="7"/>
      <c r="E33" s="7"/>
      <c r="F33" s="7"/>
      <c r="G33" s="55"/>
      <c r="H33" s="18"/>
    </row>
    <row r="34" spans="1:8" ht="16.5" thickTop="1" x14ac:dyDescent="0.25">
      <c r="A34" s="8"/>
      <c r="B34" s="1" t="s">
        <v>24</v>
      </c>
      <c r="C34" s="15">
        <v>1</v>
      </c>
      <c r="G34" s="56">
        <f t="array" ref="G34">(SUM(C21:F21)/4)*1.3</f>
        <v>0.66289492297794272</v>
      </c>
      <c r="H34" s="51">
        <f t="array" ref="H34">(SUM(C21:F21)/4)*1.3</f>
        <v>0.66289492297794272</v>
      </c>
    </row>
    <row r="35" spans="1:8" ht="15.75" x14ac:dyDescent="0.25">
      <c r="A35" s="8"/>
      <c r="B35" s="1" t="s">
        <v>21</v>
      </c>
      <c r="C35" s="15">
        <v>2</v>
      </c>
      <c r="E35" s="9"/>
      <c r="F35" s="9"/>
      <c r="G35" s="56">
        <f t="array" ref="G35">SUM(C21:F21)/4</f>
        <v>0.50991917152149435</v>
      </c>
      <c r="H35" s="51">
        <f t="array" ref="H35">SUM(C21:F21)/4</f>
        <v>0.50991917152149435</v>
      </c>
    </row>
    <row r="36" spans="1:8" ht="15.75" x14ac:dyDescent="0.25">
      <c r="A36" s="8"/>
      <c r="B36" s="1" t="s">
        <v>25</v>
      </c>
      <c r="C36" s="15">
        <v>3</v>
      </c>
      <c r="G36" s="56">
        <f t="array" ref="G36">(SUM(C21:F21)/4)*0.7</f>
        <v>0.35694342006504604</v>
      </c>
      <c r="H36" s="51">
        <f t="array" ref="H36">(SUM(C21:F21)/4)*0.7</f>
        <v>0.35694342006504604</v>
      </c>
    </row>
    <row r="37" spans="1:8" ht="16.5" thickBot="1" x14ac:dyDescent="0.3">
      <c r="B37" s="10" t="s">
        <v>19</v>
      </c>
      <c r="C37" s="16"/>
      <c r="D37" s="7"/>
      <c r="E37" s="7"/>
      <c r="F37" s="7"/>
      <c r="G37" s="57"/>
      <c r="H37" s="47"/>
    </row>
    <row r="38" spans="1:8" ht="16.5" thickTop="1" x14ac:dyDescent="0.25">
      <c r="A38" s="8"/>
      <c r="B38" s="1" t="s">
        <v>24</v>
      </c>
      <c r="C38" s="15">
        <v>1</v>
      </c>
      <c r="G38" s="58">
        <f t="array" ref="G38">(SUM(C22:F22)/4)*1.3</f>
        <v>0.19031780018101857</v>
      </c>
      <c r="H38" s="52">
        <f t="array" ref="H38">(SUM(C22:F22)/4)*1.3</f>
        <v>0.19031780018101857</v>
      </c>
    </row>
    <row r="39" spans="1:8" ht="15.75" x14ac:dyDescent="0.25">
      <c r="A39" s="8"/>
      <c r="B39" s="30" t="s">
        <v>21</v>
      </c>
      <c r="C39" s="31">
        <v>2</v>
      </c>
      <c r="D39" s="4"/>
      <c r="E39" s="32"/>
      <c r="F39" s="32"/>
      <c r="G39" s="58">
        <f>SUM(C22:F22)/4</f>
        <v>0.14639830783155275</v>
      </c>
      <c r="H39" s="52">
        <f t="array" ref="H39">SUM(C22:F22)/4</f>
        <v>0.14639830783155275</v>
      </c>
    </row>
    <row r="40" spans="1:8" ht="16.5" thickBot="1" x14ac:dyDescent="0.3">
      <c r="A40" s="8"/>
      <c r="B40" s="6" t="s">
        <v>25</v>
      </c>
      <c r="C40" s="33">
        <v>3</v>
      </c>
      <c r="D40" s="5"/>
      <c r="E40" s="5"/>
      <c r="F40" s="5"/>
      <c r="G40" s="59">
        <f t="array" ref="G40">(SUM(C22:F22)/4)*0.7</f>
        <v>0.10247881548208691</v>
      </c>
      <c r="H40" s="53">
        <f t="array" ref="H40">(SUM(C22:F22)/4)*0.7</f>
        <v>0.10247881548208691</v>
      </c>
    </row>
  </sheetData>
  <mergeCells count="6">
    <mergeCell ref="C1:G1"/>
    <mergeCell ref="G18:H18"/>
    <mergeCell ref="C18:F18"/>
    <mergeCell ref="G28:H28"/>
    <mergeCell ref="G5:H5"/>
    <mergeCell ref="C5:F5"/>
  </mergeCells>
  <dataValidations count="2">
    <dataValidation type="list" allowBlank="1" showInputMessage="1" showErrorMessage="1" sqref="B2" xr:uid="{F6055BD0-44C4-4E2D-8702-E996BD5E6484}">
      <formula1>company_list</formula1>
    </dataValidation>
    <dataValidation type="list" allowBlank="1" showInputMessage="1" showErrorMessage="1" sqref="C25" xr:uid="{26841BA7-D3C7-45F5-B52D-AE3DE2F4A231}">
      <formula1>Scenario</formula1>
    </dataValidation>
  </dataValidations>
  <pageMargins left="0.7" right="0.7" top="0.75" bottom="0.75" header="0.3" footer="0.3"/>
  <pageSetup paperSize="9" scale="75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9C27-46AE-4E93-B890-4B3C28503CEE}">
  <sheetPr>
    <pageSetUpPr fitToPage="1"/>
  </sheetPr>
  <dimension ref="A1:H40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7.28515625" customWidth="1"/>
    <col min="3" max="4" width="19" bestFit="1" customWidth="1"/>
    <col min="5" max="8" width="18" bestFit="1" customWidth="1"/>
  </cols>
  <sheetData>
    <row r="1" spans="1:8" ht="18.75" x14ac:dyDescent="0.3">
      <c r="C1" s="127" t="s">
        <v>66</v>
      </c>
      <c r="D1" s="128"/>
      <c r="E1" s="128"/>
      <c r="F1" s="128"/>
      <c r="G1" s="128"/>
    </row>
    <row r="2" spans="1:8" ht="15.75" x14ac:dyDescent="0.25">
      <c r="A2" s="39" t="s">
        <v>27</v>
      </c>
      <c r="B2" s="37" t="s">
        <v>61</v>
      </c>
      <c r="E2" s="123" t="s">
        <v>69</v>
      </c>
    </row>
    <row r="4" spans="1:8" s="3" customFormat="1" ht="19.5" thickBot="1" x14ac:dyDescent="0.35">
      <c r="B4" s="12" t="s">
        <v>0</v>
      </c>
      <c r="C4" s="14"/>
      <c r="D4" s="14"/>
      <c r="E4" s="14"/>
      <c r="F4" s="14"/>
      <c r="G4" s="14"/>
      <c r="H4" s="14"/>
    </row>
    <row r="5" spans="1:8" ht="20.25" thickTop="1" thickBot="1" x14ac:dyDescent="0.35">
      <c r="B5" s="2"/>
      <c r="C5" s="138" t="s">
        <v>14</v>
      </c>
      <c r="D5" s="139"/>
      <c r="E5" s="139"/>
      <c r="F5" s="140"/>
      <c r="G5" s="136" t="s">
        <v>15</v>
      </c>
      <c r="H5" s="137"/>
    </row>
    <row r="6" spans="1:8" s="1" customFormat="1" ht="16.5" thickBot="1" x14ac:dyDescent="0.3">
      <c r="C6" s="19" t="s">
        <v>8</v>
      </c>
      <c r="D6" s="20" t="s">
        <v>9</v>
      </c>
      <c r="E6" s="20" t="s">
        <v>10</v>
      </c>
      <c r="F6" s="20" t="s">
        <v>11</v>
      </c>
      <c r="G6" s="21" t="s">
        <v>12</v>
      </c>
      <c r="H6" s="22" t="s">
        <v>13</v>
      </c>
    </row>
    <row r="7" spans="1:8" ht="16.5" thickTop="1" x14ac:dyDescent="0.25">
      <c r="B7" s="17" t="s">
        <v>1</v>
      </c>
      <c r="C7" s="60">
        <f t="array" ref="C7">INDEX(Total_Revenue_YHOO,1,MATCH($B$2,Company_list_YHOO,0))</f>
        <v>4986566000</v>
      </c>
      <c r="D7" s="60">
        <f t="array" ref="D7">INDEX(Total_Revenue_YHOO,2,MATCH($B$2,Company_list_YHOO,0))</f>
        <v>4680380000</v>
      </c>
      <c r="E7" s="60">
        <f t="array" ref="E7">INDEX(Total_Revenue_YHOO,3,MATCH($B$2,Company_list_YHOO,0))</f>
        <v>4618133000</v>
      </c>
      <c r="F7" s="60">
        <f t="array" ref="F7">INDEX(Total_Revenue_YHOO,4,MATCH($B$2,Company_list_YHOO,0))</f>
        <v>4968301000</v>
      </c>
      <c r="G7" s="76">
        <f t="array" aca="1" ref="G7" ca="1">F7*(1+G20)</f>
        <v>4970160543.2294636</v>
      </c>
      <c r="H7" s="77">
        <f t="array" aca="1" ref="H7" ca="1">G7*(1+H20)</f>
        <v>4972020782.4515858</v>
      </c>
    </row>
    <row r="8" spans="1:8" ht="15.75" x14ac:dyDescent="0.25">
      <c r="B8" s="1" t="s">
        <v>2</v>
      </c>
      <c r="C8" s="60">
        <f t="array" ref="C8">INDEX(COGS_YHOO,1,MATCH($B$2,Company_list_YHOO,0))</f>
        <v>1620566000</v>
      </c>
      <c r="D8" s="60">
        <f t="array" ref="D8">INDEX(COGS_YHOO,2,MATCH($B$2,Company_list_YHOO,0))</f>
        <v>1349380000</v>
      </c>
      <c r="E8" s="60">
        <f t="array" ref="E8">INDEX(COGS_YHOO,3,MATCH($B$2,Company_list_YHOO,0))</f>
        <v>1387375000</v>
      </c>
      <c r="F8" s="60">
        <f t="array" ref="F8">INDEX(COGS_YHOO,4,MATCH($B$2,Company_list_YHOO,0))</f>
        <v>2077748000</v>
      </c>
      <c r="G8" s="86"/>
      <c r="H8" s="87"/>
    </row>
    <row r="9" spans="1:8" ht="15.75" x14ac:dyDescent="0.25">
      <c r="B9" s="17" t="s">
        <v>3</v>
      </c>
      <c r="C9" s="74">
        <f t="array" ref="C9">C7-C8</f>
        <v>3366000000</v>
      </c>
      <c r="D9" s="74">
        <f t="array" ref="D9">D7-D8</f>
        <v>3331000000</v>
      </c>
      <c r="E9" s="74">
        <f t="array" ref="E9">E7-E8</f>
        <v>3230758000</v>
      </c>
      <c r="F9" s="74">
        <f t="array" ref="F9">F7-F8</f>
        <v>2890553000</v>
      </c>
      <c r="G9" s="78">
        <f t="array" aca="1" ref="G9" ca="1">G7*G21</f>
        <v>3315206480.4633012</v>
      </c>
      <c r="H9" s="79">
        <f t="array" aca="1" ref="H9" ca="1">H7*H21</f>
        <v>3316447300.9701543</v>
      </c>
    </row>
    <row r="10" spans="1:8" ht="15.75" x14ac:dyDescent="0.25">
      <c r="B10" s="1" t="s">
        <v>4</v>
      </c>
      <c r="C10" s="60">
        <f t="array" ref="C10">INDEX(SGAs_YHOO,1,MATCH($B$2,Company_list_YHOO,0))</f>
        <v>1641819000</v>
      </c>
      <c r="D10" s="60">
        <f t="array" ref="D10">INDEX(SGAs_YHOO,2,MATCH($B$2,Company_list_YHOO,0))</f>
        <v>1751275000</v>
      </c>
      <c r="E10" s="60">
        <f t="array" ref="E10">INDEX(SGAs_YHOO,3,MATCH($B$2,Company_list_YHOO,0))</f>
        <v>1770710000</v>
      </c>
      <c r="F10" s="60">
        <f t="array" ref="F10">INDEX(SGAs_YHOO,4,MATCH($B$2,Company_list_YHOO,0))</f>
        <v>1768522000</v>
      </c>
      <c r="G10" s="86"/>
      <c r="H10" s="87"/>
    </row>
    <row r="11" spans="1:8" ht="15.75" x14ac:dyDescent="0.25">
      <c r="B11" s="1" t="s">
        <v>26</v>
      </c>
      <c r="C11" s="60">
        <f t="array" ref="C11">INDEX(R_And_D_YHOO,1,MATCH($B$2,Company_list_YHOO,0))</f>
        <v>885824000</v>
      </c>
      <c r="D11" s="60">
        <f t="array" ref="D11">INDEX(R_And_D_YHOO,2,MATCH($B$2,Company_list_YHOO,0))</f>
        <v>957587000</v>
      </c>
      <c r="E11" s="60">
        <f t="array" ref="E11">INDEX(R_And_D_YHOO,3,MATCH($B$2,Company_list_YHOO,0))</f>
        <v>1156386000</v>
      </c>
      <c r="F11" s="60">
        <f t="array" ref="F11">INDEX(R_And_D_YHOO,4,MATCH($B$2,Company_list_YHOO,0))</f>
        <v>1177923000</v>
      </c>
      <c r="G11" s="86"/>
      <c r="H11" s="87"/>
    </row>
    <row r="12" spans="1:8" ht="15.75" x14ac:dyDescent="0.25">
      <c r="B12" s="1" t="s">
        <v>5</v>
      </c>
      <c r="C12" s="60">
        <f t="array" ref="C12">INDEX(Other_Operating_Items_YHOO,1,MATCH($B$2,Company_list_YHOO,0))</f>
        <v>35819000</v>
      </c>
      <c r="D12" s="60">
        <f t="array" ref="D12">INDEX(Other_Operating_Items_YHOO,2,MATCH($B$2,Company_list_YHOO,0))</f>
        <v>44841000</v>
      </c>
      <c r="E12" s="60">
        <f t="array" ref="E12">INDEX(Other_Operating_Items_YHOO,3,MATCH($B$2,Company_list_YHOO,0))</f>
        <v>66750000</v>
      </c>
      <c r="F12" s="60">
        <f t="array" ref="F12">INDEX(Other_Operating_Items_YHOO,4,MATCH($B$2,Company_list_YHOO,0))</f>
        <v>79042000</v>
      </c>
      <c r="G12" s="86"/>
      <c r="H12" s="87"/>
    </row>
    <row r="13" spans="1:8" ht="15.75" x14ac:dyDescent="0.25">
      <c r="B13" s="17" t="s">
        <v>6</v>
      </c>
      <c r="C13" s="62">
        <f t="array" ref="C13">SUM(C10:C12)</f>
        <v>2563462000</v>
      </c>
      <c r="D13" s="62">
        <f t="array" ref="D13">SUM(D10:D12)</f>
        <v>2753703000</v>
      </c>
      <c r="E13" s="62">
        <f t="array" ref="E13">SUM(E10:E12)</f>
        <v>2993846000</v>
      </c>
      <c r="F13" s="62">
        <f t="array" ref="F13">SUM(F10:F12)</f>
        <v>3025487000</v>
      </c>
      <c r="G13" s="86"/>
      <c r="H13" s="87"/>
    </row>
    <row r="14" spans="1:8" ht="18" thickBot="1" x14ac:dyDescent="0.35">
      <c r="B14" s="80" t="s">
        <v>7</v>
      </c>
      <c r="C14" s="81">
        <f>C9-C13</f>
        <v>802538000</v>
      </c>
      <c r="D14" s="81">
        <f t="shared" ref="D14:F14" si="0">D9-D13</f>
        <v>577297000</v>
      </c>
      <c r="E14" s="81">
        <f t="shared" si="0"/>
        <v>236912000</v>
      </c>
      <c r="F14" s="81">
        <f t="shared" si="0"/>
        <v>-134934000</v>
      </c>
      <c r="G14" s="88">
        <f t="array" aca="1" ref="G14" ca="1">G7*G22</f>
        <v>383231013.74356127</v>
      </c>
      <c r="H14" s="89">
        <f t="array" aca="1" ref="H14" ca="1">H7*H22</f>
        <v>383374450.0283047</v>
      </c>
    </row>
    <row r="15" spans="1:8" x14ac:dyDescent="0.25">
      <c r="C15" s="122"/>
      <c r="D15" s="122"/>
      <c r="E15" s="122"/>
      <c r="F15" s="122"/>
      <c r="G15" s="122"/>
      <c r="H15" s="122"/>
    </row>
    <row r="16" spans="1:8" ht="15.75" x14ac:dyDescent="0.25">
      <c r="B16" s="126" t="s">
        <v>74</v>
      </c>
      <c r="C16" s="122"/>
      <c r="D16" s="122"/>
      <c r="E16" s="122"/>
      <c r="F16" s="122"/>
      <c r="G16" s="122"/>
      <c r="H16" s="122"/>
    </row>
    <row r="17" spans="2:8" s="11" customFormat="1" ht="19.5" thickBot="1" x14ac:dyDescent="0.35">
      <c r="B17" s="12" t="s">
        <v>68</v>
      </c>
      <c r="C17" s="23"/>
      <c r="D17" s="23"/>
      <c r="E17" s="23"/>
      <c r="F17" s="23"/>
      <c r="G17" s="23"/>
      <c r="H17" s="23"/>
    </row>
    <row r="18" spans="2:8" ht="20.25" thickTop="1" thickBot="1" x14ac:dyDescent="0.35">
      <c r="B18" s="2"/>
      <c r="C18" s="131" t="s">
        <v>14</v>
      </c>
      <c r="D18" s="132"/>
      <c r="E18" s="132"/>
      <c r="F18" s="133"/>
      <c r="G18" s="129" t="s">
        <v>16</v>
      </c>
      <c r="H18" s="130"/>
    </row>
    <row r="19" spans="2:8" s="1" customFormat="1" ht="16.5" thickBot="1" x14ac:dyDescent="0.3">
      <c r="C19" s="24" t="s">
        <v>8</v>
      </c>
      <c r="D19" s="25" t="s">
        <v>9</v>
      </c>
      <c r="E19" s="25" t="s">
        <v>10</v>
      </c>
      <c r="F19" s="25" t="s">
        <v>11</v>
      </c>
      <c r="G19" s="26" t="s">
        <v>12</v>
      </c>
      <c r="H19" s="27" t="s">
        <v>13</v>
      </c>
    </row>
    <row r="20" spans="2:8" ht="16.5" thickTop="1" x14ac:dyDescent="0.25">
      <c r="B20" s="1" t="s">
        <v>17</v>
      </c>
      <c r="C20" s="107" t="s">
        <v>65</v>
      </c>
      <c r="D20" s="108">
        <f t="array" ref="D20">D7/C7-1</f>
        <v>-6.1402175364770106E-2</v>
      </c>
      <c r="E20" s="108">
        <f t="array" ref="E20">E7/D7-1</f>
        <v>-1.3299561146744465E-2</v>
      </c>
      <c r="F20" s="109">
        <f t="array" ref="F20">F7/E7-1</f>
        <v>7.5824581059055651E-2</v>
      </c>
      <c r="G20" s="116">
        <f t="array" aca="1" ref="G20" ca="1">OFFSET($G$29,MATCH($C$25,B30:B32,0),0)</f>
        <v>3.7428151584702657E-4</v>
      </c>
      <c r="H20" s="117">
        <f t="array" aca="1" ref="H20" ca="1">OFFSET($G$29,MATCH($C$25,B30:B32,0),1)</f>
        <v>3.7428151584702657E-4</v>
      </c>
    </row>
    <row r="21" spans="2:8" ht="15.75" x14ac:dyDescent="0.25">
      <c r="B21" s="1" t="s">
        <v>18</v>
      </c>
      <c r="C21" s="110">
        <f t="array" ref="C21">C9/C7</f>
        <v>0.67501362661198105</v>
      </c>
      <c r="D21" s="111">
        <f t="array" ref="D21">D9/D7</f>
        <v>0.71169434960409195</v>
      </c>
      <c r="E21" s="111">
        <f t="array" ref="E21">E9/E7</f>
        <v>0.6995809778540375</v>
      </c>
      <c r="F21" s="112">
        <f>F9/F7</f>
        <v>0.58179908986995754</v>
      </c>
      <c r="G21" s="118">
        <f t="array" aca="1" ref="G21" ca="1">OFFSET($G$33,MATCH($C$25,B34:B36,0),0)</f>
        <v>0.66702201098501701</v>
      </c>
      <c r="H21" s="119">
        <f t="array" aca="1" ref="H21" ca="1">OFFSET($G$33,MATCH($C$25,B34:B36,0),1)</f>
        <v>0.66702201098501701</v>
      </c>
    </row>
    <row r="22" spans="2:8" ht="16.5" thickBot="1" x14ac:dyDescent="0.3">
      <c r="B22" s="6" t="s">
        <v>19</v>
      </c>
      <c r="C22" s="113">
        <f t="array" ref="C22">C14/C7</f>
        <v>0.16094001362861737</v>
      </c>
      <c r="D22" s="114">
        <f t="array" ref="D22">D14/D7</f>
        <v>0.12334404471431806</v>
      </c>
      <c r="E22" s="114">
        <f t="array" ref="E22">E14/E7</f>
        <v>5.1300384809185876E-2</v>
      </c>
      <c r="F22" s="115">
        <f t="array" ref="F22">F14/F7</f>
        <v>-2.7158982517363581E-2</v>
      </c>
      <c r="G22" s="120">
        <f t="array" aca="1" ref="G22" ca="1">OFFSET($G$37,MATCH($C$25,B38:B40,0),0)</f>
        <v>7.7106365158689433E-2</v>
      </c>
      <c r="H22" s="121">
        <f t="array" aca="1" ref="H22" ca="1">OFFSET($G$37,MATCH($C$25,B38:B40,0),1)</f>
        <v>7.7106365158689433E-2</v>
      </c>
    </row>
    <row r="24" spans="2:8" x14ac:dyDescent="0.25">
      <c r="E24" s="39"/>
    </row>
    <row r="25" spans="2:8" ht="15.75" x14ac:dyDescent="0.25">
      <c r="B25" s="41" t="s">
        <v>20</v>
      </c>
      <c r="C25" s="40" t="s">
        <v>56</v>
      </c>
    </row>
    <row r="27" spans="2:8" s="2" customFormat="1" ht="19.5" thickBot="1" x14ac:dyDescent="0.35">
      <c r="B27" s="12" t="s">
        <v>22</v>
      </c>
      <c r="C27" s="13"/>
      <c r="D27" s="13"/>
      <c r="E27" s="13"/>
      <c r="F27" s="13"/>
      <c r="G27" s="13"/>
      <c r="H27" s="13"/>
    </row>
    <row r="28" spans="2:8" ht="17.25" thickTop="1" thickBot="1" x14ac:dyDescent="0.3">
      <c r="G28" s="141" t="s">
        <v>16</v>
      </c>
      <c r="H28" s="142"/>
    </row>
    <row r="29" spans="2:8" ht="16.5" thickBot="1" x14ac:dyDescent="0.3">
      <c r="B29" s="10" t="s">
        <v>23</v>
      </c>
      <c r="C29" s="7"/>
      <c r="D29" s="7"/>
      <c r="E29" s="7"/>
      <c r="F29" s="7"/>
      <c r="G29" s="29" t="s">
        <v>11</v>
      </c>
      <c r="H29" s="28" t="s">
        <v>12</v>
      </c>
    </row>
    <row r="30" spans="2:8" ht="16.5" thickTop="1" x14ac:dyDescent="0.25">
      <c r="B30" s="1" t="s">
        <v>24</v>
      </c>
      <c r="C30" s="15">
        <v>1</v>
      </c>
      <c r="G30" s="65">
        <f t="array" ref="G30">$G$31+7%</f>
        <v>7.0374281515847029E-2</v>
      </c>
      <c r="H30" s="66">
        <f t="array" ref="H30">$H$31+7%</f>
        <v>7.0374281515847029E-2</v>
      </c>
    </row>
    <row r="31" spans="2:8" ht="15.75" x14ac:dyDescent="0.25">
      <c r="B31" s="1" t="s">
        <v>21</v>
      </c>
      <c r="C31" s="15">
        <v>2</v>
      </c>
      <c r="G31" s="65">
        <f>SUM(D20:F20)/3</f>
        <v>3.7428151584702657E-4</v>
      </c>
      <c r="H31" s="66">
        <f>SUM(D20:F20)/3</f>
        <v>3.7428151584702657E-4</v>
      </c>
    </row>
    <row r="32" spans="2:8" ht="15.75" x14ac:dyDescent="0.25">
      <c r="B32" s="1" t="s">
        <v>25</v>
      </c>
      <c r="C32" s="15">
        <v>3</v>
      </c>
      <c r="G32" s="65">
        <f t="array" ref="G32">$G$31-7%</f>
        <v>-6.9625718484152985E-2</v>
      </c>
      <c r="H32" s="67">
        <f t="array" ref="H32">$H$31-7%</f>
        <v>-6.9625718484152985E-2</v>
      </c>
    </row>
    <row r="33" spans="2:8" ht="16.5" thickBot="1" x14ac:dyDescent="0.3">
      <c r="B33" s="10" t="s">
        <v>18</v>
      </c>
      <c r="C33" s="16"/>
      <c r="D33" s="7"/>
      <c r="E33" s="7"/>
      <c r="F33" s="7"/>
      <c r="G33" s="55"/>
      <c r="H33" s="63"/>
    </row>
    <row r="34" spans="2:8" ht="16.5" thickTop="1" x14ac:dyDescent="0.25">
      <c r="B34" s="1" t="s">
        <v>24</v>
      </c>
      <c r="C34" s="15">
        <v>1</v>
      </c>
      <c r="G34" s="68">
        <f t="array" ref="G34">$G$35+0.07</f>
        <v>0.73702201098501696</v>
      </c>
      <c r="H34" s="69">
        <f t="array" ref="H34">$H$35+0.07</f>
        <v>0.73702201098501696</v>
      </c>
    </row>
    <row r="35" spans="2:8" ht="15.75" x14ac:dyDescent="0.25">
      <c r="B35" s="1" t="s">
        <v>21</v>
      </c>
      <c r="C35" s="15">
        <v>2</v>
      </c>
      <c r="E35" s="9"/>
      <c r="F35" s="9"/>
      <c r="G35" s="68">
        <f>SUM(C21:F21)/4</f>
        <v>0.66702201098501701</v>
      </c>
      <c r="H35" s="69">
        <f>SUM(C21:F21)/4</f>
        <v>0.66702201098501701</v>
      </c>
    </row>
    <row r="36" spans="2:8" ht="15.75" x14ac:dyDescent="0.25">
      <c r="B36" s="1" t="s">
        <v>25</v>
      </c>
      <c r="C36" s="15">
        <v>3</v>
      </c>
      <c r="G36" s="68">
        <f t="array" ref="G36">$G$35-0.07</f>
        <v>0.59702201098501706</v>
      </c>
      <c r="H36" s="69">
        <f t="array" ref="H36">$H$35-0.07</f>
        <v>0.59702201098501706</v>
      </c>
    </row>
    <row r="37" spans="2:8" ht="16.5" thickBot="1" x14ac:dyDescent="0.3">
      <c r="B37" s="10" t="s">
        <v>19</v>
      </c>
      <c r="C37" s="16"/>
      <c r="D37" s="7"/>
      <c r="E37" s="7"/>
      <c r="F37" s="7"/>
      <c r="G37" s="55"/>
      <c r="H37" s="64"/>
    </row>
    <row r="38" spans="2:8" ht="16.5" thickTop="1" x14ac:dyDescent="0.25">
      <c r="B38" s="1" t="s">
        <v>24</v>
      </c>
      <c r="C38" s="15">
        <v>1</v>
      </c>
      <c r="G38" s="70">
        <f t="array" ref="G38">$G$39+0.1</f>
        <v>0.17710636515868944</v>
      </c>
      <c r="H38" s="71">
        <f t="array" ref="H38">$H$39+0.1</f>
        <v>0.17710636515868944</v>
      </c>
    </row>
    <row r="39" spans="2:8" ht="15.75" x14ac:dyDescent="0.25">
      <c r="B39" s="30" t="s">
        <v>21</v>
      </c>
      <c r="C39" s="31">
        <v>2</v>
      </c>
      <c r="D39" s="4"/>
      <c r="E39" s="32"/>
      <c r="F39" s="32"/>
      <c r="G39" s="70">
        <f>SUM(C22:F22)/4</f>
        <v>7.7106365158689433E-2</v>
      </c>
      <c r="H39" s="71">
        <f>SUM(C22:F22)/4</f>
        <v>7.7106365158689433E-2</v>
      </c>
    </row>
    <row r="40" spans="2:8" ht="16.5" thickBot="1" x14ac:dyDescent="0.3">
      <c r="B40" s="6" t="s">
        <v>25</v>
      </c>
      <c r="C40" s="33">
        <v>3</v>
      </c>
      <c r="D40" s="5"/>
      <c r="E40" s="5"/>
      <c r="F40" s="5"/>
      <c r="G40" s="72">
        <f t="array" ref="G40">$G$39-0.1</f>
        <v>-2.2893634841310573E-2</v>
      </c>
      <c r="H40" s="73">
        <f t="array" ref="H40">$H$39-0.1</f>
        <v>-2.2893634841310573E-2</v>
      </c>
    </row>
  </sheetData>
  <mergeCells count="6">
    <mergeCell ref="G28:H28"/>
    <mergeCell ref="C1:G1"/>
    <mergeCell ref="C5:F5"/>
    <mergeCell ref="G5:H5"/>
    <mergeCell ref="C18:F18"/>
    <mergeCell ref="G18:H18"/>
  </mergeCells>
  <dataValidations count="1">
    <dataValidation type="list" allowBlank="1" showInputMessage="1" showErrorMessage="1" sqref="C25" xr:uid="{BDDA0682-F0BD-4CF2-B9C8-94E60FFF2222}">
      <formula1>Scenario</formula1>
    </dataValidation>
  </dataValidations>
  <pageMargins left="0.7" right="0.7" top="0.75" bottom="0.75" header="0.3" footer="0.3"/>
  <pageSetup paperSize="9" scale="75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1082-8120-4C82-96B1-834C210C1720}">
  <dimension ref="A1:H40"/>
  <sheetViews>
    <sheetView workbookViewId="0">
      <selection activeCell="A16" sqref="A16"/>
    </sheetView>
  </sheetViews>
  <sheetFormatPr defaultRowHeight="15" x14ac:dyDescent="0.25"/>
  <cols>
    <col min="1" max="1" width="21" bestFit="1" customWidth="1"/>
    <col min="2" max="2" width="48.85546875" bestFit="1" customWidth="1"/>
    <col min="3" max="4" width="19" bestFit="1" customWidth="1"/>
    <col min="5" max="8" width="18" bestFit="1" customWidth="1"/>
  </cols>
  <sheetData>
    <row r="1" spans="2:8" ht="18.75" x14ac:dyDescent="0.3">
      <c r="C1" s="127" t="s">
        <v>66</v>
      </c>
      <c r="D1" s="128"/>
      <c r="E1" s="128"/>
      <c r="F1" s="128"/>
      <c r="G1" s="128"/>
    </row>
    <row r="2" spans="2:8" ht="15.75" x14ac:dyDescent="0.25">
      <c r="B2" s="17" t="s">
        <v>27</v>
      </c>
      <c r="C2" s="37" t="s">
        <v>61</v>
      </c>
      <c r="E2" s="123" t="s">
        <v>69</v>
      </c>
      <c r="F2" s="143" t="s">
        <v>71</v>
      </c>
      <c r="G2" s="143"/>
    </row>
    <row r="4" spans="2:8" s="3" customFormat="1" ht="19.5" thickBot="1" x14ac:dyDescent="0.35">
      <c r="B4" s="12" t="s">
        <v>0</v>
      </c>
      <c r="C4" s="14"/>
      <c r="D4" s="14"/>
      <c r="E4" s="14"/>
      <c r="F4" s="14"/>
      <c r="G4" s="14"/>
      <c r="H4" s="14"/>
    </row>
    <row r="5" spans="2:8" ht="20.25" thickTop="1" thickBot="1" x14ac:dyDescent="0.35">
      <c r="B5" s="2"/>
      <c r="C5" s="138" t="s">
        <v>14</v>
      </c>
      <c r="D5" s="139"/>
      <c r="E5" s="139"/>
      <c r="F5" s="140"/>
      <c r="G5" s="136" t="s">
        <v>15</v>
      </c>
      <c r="H5" s="137"/>
    </row>
    <row r="6" spans="2:8" s="1" customFormat="1" ht="16.5" thickBot="1" x14ac:dyDescent="0.3">
      <c r="C6" s="19" t="s">
        <v>8</v>
      </c>
      <c r="D6" s="20" t="s">
        <v>9</v>
      </c>
      <c r="E6" s="20" t="s">
        <v>10</v>
      </c>
      <c r="F6" s="20" t="s">
        <v>11</v>
      </c>
      <c r="G6" s="21" t="s">
        <v>12</v>
      </c>
      <c r="H6" s="22" t="s">
        <v>13</v>
      </c>
    </row>
    <row r="7" spans="2:8" ht="16.5" thickTop="1" x14ac:dyDescent="0.25">
      <c r="B7" s="17" t="s">
        <v>1</v>
      </c>
      <c r="C7" s="60">
        <f t="array" ref="C7">INDEX(Total_Revenue_YHOO,1)</f>
        <v>4986566000</v>
      </c>
      <c r="D7" s="60">
        <f t="array" ref="D7">INDEX(Total_Revenue_YHOO,2)</f>
        <v>4680380000</v>
      </c>
      <c r="E7" s="60">
        <f t="array" ref="E7">INDEX(Total_Revenue_YHOO,3)</f>
        <v>4618133000</v>
      </c>
      <c r="F7" s="60">
        <f t="array" ref="F7">INDEX(Total_Revenue_YHOO,4)</f>
        <v>4968301000</v>
      </c>
      <c r="G7" s="76">
        <f t="array" aca="1" ref="G7" ca="1">F7*(1+G20)</f>
        <v>4970160543.2294636</v>
      </c>
      <c r="H7" s="77">
        <f t="array" aca="1" ref="H7" ca="1">G7*(1+H20)</f>
        <v>4972020782.4515858</v>
      </c>
    </row>
    <row r="8" spans="2:8" ht="15.75" x14ac:dyDescent="0.25">
      <c r="B8" s="1" t="s">
        <v>2</v>
      </c>
      <c r="C8" s="60">
        <f t="array" ref="C8">INDEX(COGS_YHOO,1)</f>
        <v>1620566000</v>
      </c>
      <c r="D8" s="60">
        <f t="array" ref="D8">INDEX(COGS_YHOO,2)</f>
        <v>1349380000</v>
      </c>
      <c r="E8" s="60">
        <f t="array" ref="E8">INDEX(COGS_YHOO,3)</f>
        <v>1387375000</v>
      </c>
      <c r="F8" s="60">
        <f t="array" ref="F8">INDEX(COGS_YHOO,4)</f>
        <v>2077748000</v>
      </c>
      <c r="G8" s="86"/>
      <c r="H8" s="87"/>
    </row>
    <row r="9" spans="2:8" ht="15.75" x14ac:dyDescent="0.25">
      <c r="B9" s="17" t="s">
        <v>3</v>
      </c>
      <c r="C9" s="74">
        <f t="array" ref="C9">C7-C8</f>
        <v>3366000000</v>
      </c>
      <c r="D9" s="74">
        <f t="array" ref="D9">D7-D8</f>
        <v>3331000000</v>
      </c>
      <c r="E9" s="74">
        <f t="array" ref="E9">E7-E8</f>
        <v>3230758000</v>
      </c>
      <c r="F9" s="74">
        <f t="array" ref="F9">F7-F8</f>
        <v>2890553000</v>
      </c>
      <c r="G9" s="78">
        <f t="array" aca="1" ref="G9" ca="1">G7*G21</f>
        <v>3315206480.4633012</v>
      </c>
      <c r="H9" s="79">
        <f t="array" aca="1" ref="H9" ca="1">H7*H21</f>
        <v>3316447300.9701543</v>
      </c>
    </row>
    <row r="10" spans="2:8" ht="15.75" x14ac:dyDescent="0.25">
      <c r="B10" s="1" t="s">
        <v>4</v>
      </c>
      <c r="C10" s="60">
        <f t="array" ref="C10">INDEX(SGAs_YHOO,1)</f>
        <v>1641819000</v>
      </c>
      <c r="D10" s="60">
        <f t="array" ref="D10">INDEX(SGAs_YHOO,2)</f>
        <v>1751275000</v>
      </c>
      <c r="E10" s="60">
        <f t="array" ref="E10">INDEX(SGAs_YHOO,3)</f>
        <v>1770710000</v>
      </c>
      <c r="F10" s="60">
        <f t="array" ref="F10">INDEX(SGAs_YHOO,4)</f>
        <v>1768522000</v>
      </c>
      <c r="G10" s="86"/>
      <c r="H10" s="87"/>
    </row>
    <row r="11" spans="2:8" ht="15.75" x14ac:dyDescent="0.25">
      <c r="B11" s="1" t="s">
        <v>26</v>
      </c>
      <c r="C11" s="60">
        <f t="array" ref="C11">INDEX(R_And_D_YHOO,1)</f>
        <v>885824000</v>
      </c>
      <c r="D11" s="60">
        <f t="array" ref="D11">INDEX(R_And_D_YHOO,2)</f>
        <v>957587000</v>
      </c>
      <c r="E11" s="60">
        <f t="array" ref="E11">INDEX(R_And_D_YHOO,3)</f>
        <v>1156386000</v>
      </c>
      <c r="F11" s="60">
        <f t="array" ref="F11">INDEX(R_And_D_YHOO,4)</f>
        <v>1177923000</v>
      </c>
      <c r="G11" s="86"/>
      <c r="H11" s="87"/>
    </row>
    <row r="12" spans="2:8" ht="15.75" x14ac:dyDescent="0.25">
      <c r="B12" s="1" t="s">
        <v>5</v>
      </c>
      <c r="C12" s="60">
        <f t="array" ref="C12">INDEX(Other_Operating_Items_YHOO,1)</f>
        <v>35819000</v>
      </c>
      <c r="D12" s="60">
        <f t="array" ref="D12">INDEX(Other_Operating_Items_YHOO,2)</f>
        <v>44841000</v>
      </c>
      <c r="E12" s="60">
        <f t="array" ref="E12">INDEX(Other_Operating_Items_YHOO,3)</f>
        <v>66750000</v>
      </c>
      <c r="F12" s="60">
        <f t="array" ref="F12">INDEX(Other_Operating_Items_YHOO,4)</f>
        <v>79042000</v>
      </c>
      <c r="G12" s="86"/>
      <c r="H12" s="87"/>
    </row>
    <row r="13" spans="2:8" ht="15.75" x14ac:dyDescent="0.25">
      <c r="B13" s="17" t="s">
        <v>6</v>
      </c>
      <c r="C13" s="62">
        <f t="array" ref="C13">SUM(C10:C12)</f>
        <v>2563462000</v>
      </c>
      <c r="D13" s="62">
        <f t="array" ref="D13">SUM(D10:D12)</f>
        <v>2753703000</v>
      </c>
      <c r="E13" s="62">
        <f t="array" ref="E13">SUM(E10:E12)</f>
        <v>2993846000</v>
      </c>
      <c r="F13" s="62">
        <f t="array" ref="F13">SUM(F10:F12)</f>
        <v>3025487000</v>
      </c>
      <c r="G13" s="86"/>
      <c r="H13" s="87"/>
    </row>
    <row r="14" spans="2:8" ht="18" thickBot="1" x14ac:dyDescent="0.35">
      <c r="B14" s="80" t="s">
        <v>7</v>
      </c>
      <c r="C14" s="81">
        <f>C9-C13</f>
        <v>802538000</v>
      </c>
      <c r="D14" s="81">
        <f t="shared" ref="D14:F14" si="0">D9-D13</f>
        <v>577297000</v>
      </c>
      <c r="E14" s="81">
        <f t="shared" si="0"/>
        <v>236912000</v>
      </c>
      <c r="F14" s="81">
        <f t="shared" si="0"/>
        <v>-134934000</v>
      </c>
      <c r="G14" s="88">
        <f t="array" aca="1" ref="G14" ca="1">G7*G22</f>
        <v>383231013.74356127</v>
      </c>
      <c r="H14" s="89">
        <f t="array" aca="1" ref="H14" ca="1">H7*H22</f>
        <v>383374450.0283047</v>
      </c>
    </row>
    <row r="15" spans="2:8" x14ac:dyDescent="0.25">
      <c r="C15" s="8"/>
      <c r="D15" s="8"/>
      <c r="E15" s="8"/>
      <c r="F15" s="8"/>
      <c r="G15" s="8"/>
      <c r="H15" s="8"/>
    </row>
    <row r="16" spans="2:8" ht="15.75" x14ac:dyDescent="0.25">
      <c r="B16" s="126" t="s">
        <v>74</v>
      </c>
      <c r="C16" s="8"/>
      <c r="D16" s="8"/>
      <c r="E16" s="8"/>
      <c r="F16" s="8"/>
      <c r="G16" s="8"/>
      <c r="H16" s="8"/>
    </row>
    <row r="17" spans="1:8" s="11" customFormat="1" ht="19.5" thickBot="1" x14ac:dyDescent="0.35">
      <c r="B17" s="12" t="s">
        <v>68</v>
      </c>
      <c r="C17" s="23"/>
      <c r="D17" s="23"/>
      <c r="E17" s="23"/>
      <c r="F17" s="23"/>
      <c r="G17" s="23"/>
      <c r="H17" s="23"/>
    </row>
    <row r="18" spans="1:8" ht="20.25" thickTop="1" thickBot="1" x14ac:dyDescent="0.35">
      <c r="B18" s="2"/>
      <c r="C18" s="131" t="s">
        <v>14</v>
      </c>
      <c r="D18" s="132"/>
      <c r="E18" s="132"/>
      <c r="F18" s="133"/>
      <c r="G18" s="129" t="s">
        <v>16</v>
      </c>
      <c r="H18" s="130"/>
    </row>
    <row r="19" spans="1:8" s="1" customFormat="1" ht="16.5" thickBot="1" x14ac:dyDescent="0.3">
      <c r="C19" s="24" t="s">
        <v>8</v>
      </c>
      <c r="D19" s="25" t="s">
        <v>9</v>
      </c>
      <c r="E19" s="25" t="s">
        <v>10</v>
      </c>
      <c r="F19" s="25" t="s">
        <v>11</v>
      </c>
      <c r="G19" s="26" t="s">
        <v>12</v>
      </c>
      <c r="H19" s="27" t="s">
        <v>13</v>
      </c>
    </row>
    <row r="20" spans="1:8" ht="16.5" thickTop="1" x14ac:dyDescent="0.25">
      <c r="B20" s="1" t="s">
        <v>17</v>
      </c>
      <c r="C20" s="107" t="s">
        <v>65</v>
      </c>
      <c r="D20" s="108">
        <f t="array" ref="D20">D7/C7-1</f>
        <v>-6.1402175364770106E-2</v>
      </c>
      <c r="E20" s="108">
        <f t="array" ref="E20">E7/D7-1</f>
        <v>-1.3299561146744465E-2</v>
      </c>
      <c r="F20" s="109">
        <f t="array" ref="F20">F7/E7-1</f>
        <v>7.5824581059055651E-2</v>
      </c>
      <c r="G20" s="116">
        <f t="array" aca="1" ref="G20" ca="1">OFFSET($G$29,MATCH($C$25,B30:B32,0),0)</f>
        <v>3.7428151584702657E-4</v>
      </c>
      <c r="H20" s="117">
        <f t="array" aca="1" ref="H20" ca="1">OFFSET($G$29,MATCH($C$25,B30:B32,0),1)</f>
        <v>3.7428151584702657E-4</v>
      </c>
    </row>
    <row r="21" spans="1:8" ht="15.75" x14ac:dyDescent="0.25">
      <c r="B21" s="1" t="s">
        <v>18</v>
      </c>
      <c r="C21" s="110">
        <f t="array" ref="C21">C9/C7</f>
        <v>0.67501362661198105</v>
      </c>
      <c r="D21" s="111">
        <f t="array" ref="D21">D9/D7</f>
        <v>0.71169434960409195</v>
      </c>
      <c r="E21" s="111">
        <f t="array" ref="E21">E9/E7</f>
        <v>0.6995809778540375</v>
      </c>
      <c r="F21" s="112">
        <f>F9/F7</f>
        <v>0.58179908986995754</v>
      </c>
      <c r="G21" s="118">
        <f t="array" aca="1" ref="G21" ca="1">OFFSET($G$33,MATCH($C$25,B34:B36,0),0)</f>
        <v>0.66702201098501701</v>
      </c>
      <c r="H21" s="119">
        <f t="array" aca="1" ref="H21" ca="1">OFFSET($G$33,MATCH($C$25,B34:B36,0),1)</f>
        <v>0.66702201098501701</v>
      </c>
    </row>
    <row r="22" spans="1:8" ht="16.5" thickBot="1" x14ac:dyDescent="0.3">
      <c r="B22" s="6" t="s">
        <v>19</v>
      </c>
      <c r="C22" s="113">
        <f t="array" ref="C22">C14/C7</f>
        <v>0.16094001362861737</v>
      </c>
      <c r="D22" s="114">
        <f t="array" ref="D22">D14/D7</f>
        <v>0.12334404471431806</v>
      </c>
      <c r="E22" s="114">
        <f t="array" ref="E22">E14/E7</f>
        <v>5.1300384809185876E-2</v>
      </c>
      <c r="F22" s="115">
        <f t="array" ref="F22">F14/F7</f>
        <v>-2.7158982517363581E-2</v>
      </c>
      <c r="G22" s="120">
        <f t="array" aca="1" ref="G22" ca="1">OFFSET($G$37,MATCH($C$25,B38:B40,0),0)</f>
        <v>7.7106365158689433E-2</v>
      </c>
      <c r="H22" s="121">
        <f t="array" aca="1" ref="H22" ca="1">OFFSET($G$37,MATCH($C$25,B38:B40,0),1)</f>
        <v>7.7106365158689433E-2</v>
      </c>
    </row>
    <row r="24" spans="1:8" x14ac:dyDescent="0.25">
      <c r="E24" s="39"/>
    </row>
    <row r="25" spans="1:8" ht="15.75" x14ac:dyDescent="0.25">
      <c r="B25" s="41" t="s">
        <v>20</v>
      </c>
      <c r="C25" s="40" t="s">
        <v>56</v>
      </c>
    </row>
    <row r="27" spans="1:8" s="2" customFormat="1" ht="19.5" thickBot="1" x14ac:dyDescent="0.35">
      <c r="B27" s="12" t="s">
        <v>22</v>
      </c>
      <c r="C27" s="13"/>
      <c r="D27" s="13"/>
      <c r="E27" s="13"/>
      <c r="F27" s="13"/>
      <c r="G27" s="13"/>
      <c r="H27" s="13"/>
    </row>
    <row r="28" spans="1:8" ht="17.25" thickTop="1" thickBot="1" x14ac:dyDescent="0.3">
      <c r="G28" s="141" t="s">
        <v>16</v>
      </c>
      <c r="H28" s="142"/>
    </row>
    <row r="29" spans="1:8" ht="16.5" thickBot="1" x14ac:dyDescent="0.3">
      <c r="B29" s="10" t="s">
        <v>23</v>
      </c>
      <c r="C29" s="7"/>
      <c r="D29" s="7"/>
      <c r="E29" s="7"/>
      <c r="F29" s="7"/>
      <c r="G29" s="29" t="s">
        <v>11</v>
      </c>
      <c r="H29" s="28" t="s">
        <v>12</v>
      </c>
    </row>
    <row r="30" spans="1:8" ht="16.5" thickTop="1" x14ac:dyDescent="0.25">
      <c r="A30" s="8"/>
      <c r="B30" s="1" t="s">
        <v>24</v>
      </c>
      <c r="C30" s="15">
        <v>1</v>
      </c>
      <c r="G30" s="65">
        <f t="array" ref="G30">$G$31+7%</f>
        <v>7.0374281515847029E-2</v>
      </c>
      <c r="H30" s="66">
        <f t="array" ref="H30">$H$31+7%</f>
        <v>7.0374281515847029E-2</v>
      </c>
    </row>
    <row r="31" spans="1:8" ht="15.75" x14ac:dyDescent="0.25">
      <c r="A31" s="8"/>
      <c r="B31" s="1" t="s">
        <v>21</v>
      </c>
      <c r="C31" s="15">
        <v>2</v>
      </c>
      <c r="G31" s="65">
        <f>SUM(D20:F20)/3</f>
        <v>3.7428151584702657E-4</v>
      </c>
      <c r="H31" s="66">
        <f>SUM(D20:F20)/3</f>
        <v>3.7428151584702657E-4</v>
      </c>
    </row>
    <row r="32" spans="1:8" ht="15.75" x14ac:dyDescent="0.25">
      <c r="A32" s="8"/>
      <c r="B32" s="1" t="s">
        <v>25</v>
      </c>
      <c r="C32" s="15">
        <v>3</v>
      </c>
      <c r="G32" s="65">
        <f t="array" ref="G32">$G$31-7%</f>
        <v>-6.9625718484152985E-2</v>
      </c>
      <c r="H32" s="67">
        <f t="array" ref="H32">$H$31-7%</f>
        <v>-6.9625718484152985E-2</v>
      </c>
    </row>
    <row r="33" spans="1:8" ht="16.5" thickBot="1" x14ac:dyDescent="0.3">
      <c r="A33" s="8"/>
      <c r="B33" s="10" t="s">
        <v>18</v>
      </c>
      <c r="C33" s="16"/>
      <c r="D33" s="7"/>
      <c r="E33" s="7"/>
      <c r="F33" s="7"/>
      <c r="G33" s="55"/>
      <c r="H33" s="63"/>
    </row>
    <row r="34" spans="1:8" ht="16.5" thickTop="1" x14ac:dyDescent="0.25">
      <c r="A34" s="8"/>
      <c r="B34" s="1" t="s">
        <v>24</v>
      </c>
      <c r="C34" s="15">
        <v>1</v>
      </c>
      <c r="G34" s="68">
        <f t="array" ref="G34">$G$35+0.07</f>
        <v>0.73702201098501696</v>
      </c>
      <c r="H34" s="69">
        <f t="array" ref="H34">$H$35+0.07</f>
        <v>0.73702201098501696</v>
      </c>
    </row>
    <row r="35" spans="1:8" ht="15.75" x14ac:dyDescent="0.25">
      <c r="A35" s="8"/>
      <c r="B35" s="1" t="s">
        <v>21</v>
      </c>
      <c r="C35" s="15">
        <v>2</v>
      </c>
      <c r="E35" s="9"/>
      <c r="F35" s="9"/>
      <c r="G35" s="68">
        <f>SUM(C21:F21)/4</f>
        <v>0.66702201098501701</v>
      </c>
      <c r="H35" s="69">
        <f>SUM(C21:F21)/4</f>
        <v>0.66702201098501701</v>
      </c>
    </row>
    <row r="36" spans="1:8" ht="15.75" x14ac:dyDescent="0.25">
      <c r="A36" s="8"/>
      <c r="B36" s="1" t="s">
        <v>25</v>
      </c>
      <c r="C36" s="15">
        <v>3</v>
      </c>
      <c r="G36" s="68">
        <f t="array" ref="G36">$G$35-0.07</f>
        <v>0.59702201098501706</v>
      </c>
      <c r="H36" s="69">
        <f t="array" ref="H36">$H$35-0.07</f>
        <v>0.59702201098501706</v>
      </c>
    </row>
    <row r="37" spans="1:8" ht="16.5" thickBot="1" x14ac:dyDescent="0.3">
      <c r="B37" s="10" t="s">
        <v>19</v>
      </c>
      <c r="C37" s="16"/>
      <c r="D37" s="7"/>
      <c r="E37" s="7"/>
      <c r="F37" s="7"/>
      <c r="G37" s="55"/>
      <c r="H37" s="64"/>
    </row>
    <row r="38" spans="1:8" ht="16.5" thickTop="1" x14ac:dyDescent="0.25">
      <c r="A38" s="8"/>
      <c r="B38" s="1" t="s">
        <v>24</v>
      </c>
      <c r="C38" s="15">
        <v>1</v>
      </c>
      <c r="G38" s="70">
        <f t="array" ref="G38">$G$39+0.1</f>
        <v>0.17710636515868944</v>
      </c>
      <c r="H38" s="71">
        <f t="array" ref="H38">$H$39+0.1</f>
        <v>0.17710636515868944</v>
      </c>
    </row>
    <row r="39" spans="1:8" ht="15.75" x14ac:dyDescent="0.25">
      <c r="A39" s="8"/>
      <c r="B39" s="30" t="s">
        <v>21</v>
      </c>
      <c r="C39" s="31">
        <v>2</v>
      </c>
      <c r="D39" s="4"/>
      <c r="E39" s="32"/>
      <c r="F39" s="32"/>
      <c r="G39" s="70">
        <f>SUM(C22:F22)/4</f>
        <v>7.7106365158689433E-2</v>
      </c>
      <c r="H39" s="71">
        <f>SUM(C22:F22)/4</f>
        <v>7.7106365158689433E-2</v>
      </c>
    </row>
    <row r="40" spans="1:8" ht="16.5" thickBot="1" x14ac:dyDescent="0.3">
      <c r="A40" s="8"/>
      <c r="B40" s="6" t="s">
        <v>25</v>
      </c>
      <c r="C40" s="33">
        <v>3</v>
      </c>
      <c r="D40" s="5"/>
      <c r="E40" s="5"/>
      <c r="F40" s="5"/>
      <c r="G40" s="72">
        <f t="array" ref="G40">$G$39-0.1</f>
        <v>-2.2893634841310573E-2</v>
      </c>
      <c r="H40" s="73">
        <f t="array" ref="H40">$H$39-0.1</f>
        <v>-2.2893634841310573E-2</v>
      </c>
    </row>
  </sheetData>
  <mergeCells count="7">
    <mergeCell ref="G28:H28"/>
    <mergeCell ref="C1:G1"/>
    <mergeCell ref="C5:F5"/>
    <mergeCell ref="G5:H5"/>
    <mergeCell ref="C18:F18"/>
    <mergeCell ref="G18:H18"/>
    <mergeCell ref="F2:G2"/>
  </mergeCells>
  <dataValidations count="1">
    <dataValidation type="list" allowBlank="1" showInputMessage="1" showErrorMessage="1" sqref="C25" xr:uid="{526AF975-B44D-4121-98F8-B645874CBB47}">
      <formula1>Scenario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9741-A794-497D-8759-03A37623EBC2}">
  <dimension ref="A2:H19"/>
  <sheetViews>
    <sheetView workbookViewId="0">
      <selection activeCell="K17" sqref="K17"/>
    </sheetView>
  </sheetViews>
  <sheetFormatPr defaultRowHeight="15" x14ac:dyDescent="0.25"/>
  <cols>
    <col min="1" max="1" width="13.140625" bestFit="1" customWidth="1"/>
    <col min="8" max="8" width="11.28515625" bestFit="1" customWidth="1"/>
  </cols>
  <sheetData>
    <row r="2" spans="1:8" x14ac:dyDescent="0.25">
      <c r="D2" s="38" t="s">
        <v>36</v>
      </c>
    </row>
    <row r="3" spans="1:8" x14ac:dyDescent="0.25">
      <c r="A3" s="36" t="s">
        <v>53</v>
      </c>
      <c r="D3" s="38" t="s">
        <v>39</v>
      </c>
      <c r="H3" s="39" t="s">
        <v>57</v>
      </c>
    </row>
    <row r="4" spans="1:8" x14ac:dyDescent="0.25">
      <c r="A4" s="15" t="s">
        <v>36</v>
      </c>
      <c r="D4" s="38" t="s">
        <v>41</v>
      </c>
      <c r="H4" s="39" t="s">
        <v>56</v>
      </c>
    </row>
    <row r="5" spans="1:8" x14ac:dyDescent="0.25">
      <c r="A5" s="15" t="s">
        <v>39</v>
      </c>
      <c r="D5" s="38" t="s">
        <v>42</v>
      </c>
      <c r="H5" s="39" t="s">
        <v>58</v>
      </c>
    </row>
    <row r="6" spans="1:8" x14ac:dyDescent="0.25">
      <c r="A6" s="15" t="s">
        <v>41</v>
      </c>
      <c r="D6" s="38" t="s">
        <v>43</v>
      </c>
    </row>
    <row r="7" spans="1:8" x14ac:dyDescent="0.25">
      <c r="A7" s="15" t="s">
        <v>42</v>
      </c>
      <c r="D7" s="38" t="s">
        <v>44</v>
      </c>
    </row>
    <row r="8" spans="1:8" x14ac:dyDescent="0.25">
      <c r="A8" s="15" t="s">
        <v>43</v>
      </c>
      <c r="D8" s="38" t="s">
        <v>45</v>
      </c>
    </row>
    <row r="9" spans="1:8" x14ac:dyDescent="0.25">
      <c r="A9" s="15" t="s">
        <v>44</v>
      </c>
      <c r="D9" s="38" t="s">
        <v>46</v>
      </c>
    </row>
    <row r="10" spans="1:8" x14ac:dyDescent="0.25">
      <c r="A10" s="15" t="s">
        <v>45</v>
      </c>
      <c r="D10" s="38" t="s">
        <v>47</v>
      </c>
    </row>
    <row r="11" spans="1:8" x14ac:dyDescent="0.25">
      <c r="A11" s="15" t="s">
        <v>46</v>
      </c>
      <c r="D11" s="38" t="s">
        <v>48</v>
      </c>
    </row>
    <row r="12" spans="1:8" x14ac:dyDescent="0.25">
      <c r="A12" s="15" t="s">
        <v>47</v>
      </c>
      <c r="D12" s="38" t="s">
        <v>49</v>
      </c>
    </row>
    <row r="13" spans="1:8" x14ac:dyDescent="0.25">
      <c r="A13" s="15" t="s">
        <v>48</v>
      </c>
      <c r="D13" s="38" t="s">
        <v>50</v>
      </c>
    </row>
    <row r="14" spans="1:8" x14ac:dyDescent="0.25">
      <c r="A14" s="15" t="s">
        <v>49</v>
      </c>
      <c r="D14" s="38" t="s">
        <v>51</v>
      </c>
    </row>
    <row r="15" spans="1:8" x14ac:dyDescent="0.25">
      <c r="A15" s="15" t="s">
        <v>50</v>
      </c>
      <c r="D15" s="38" t="s">
        <v>52</v>
      </c>
    </row>
    <row r="16" spans="1:8" x14ac:dyDescent="0.25">
      <c r="A16" s="15" t="s">
        <v>51</v>
      </c>
    </row>
    <row r="17" spans="1:1" x14ac:dyDescent="0.25">
      <c r="A17" s="15" t="s">
        <v>52</v>
      </c>
    </row>
    <row r="18" spans="1:1" x14ac:dyDescent="0.25">
      <c r="A18" s="15" t="s">
        <v>54</v>
      </c>
    </row>
    <row r="19" spans="1:1" x14ac:dyDescent="0.25">
      <c r="A19" s="1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A444-B06D-4827-983F-4C564A49E04E}">
  <dimension ref="A2:B2"/>
  <sheetViews>
    <sheetView workbookViewId="0">
      <selection activeCell="E7" sqref="E7"/>
    </sheetView>
  </sheetViews>
  <sheetFormatPr defaultRowHeight="15" x14ac:dyDescent="0.25"/>
  <cols>
    <col min="1" max="1" width="18.28515625" customWidth="1"/>
  </cols>
  <sheetData>
    <row r="2" spans="1:2" ht="15.75" x14ac:dyDescent="0.25">
      <c r="A2" s="125" t="s">
        <v>72</v>
      </c>
      <c r="B2" s="124" t="s">
        <v>42</v>
      </c>
    </row>
  </sheetData>
  <dataValidations count="1">
    <dataValidation type="list" allowBlank="1" showInputMessage="1" showErrorMessage="1" sqref="B2" xr:uid="{99B0C9AA-C23D-443C-8A1F-51878CCE7C88}">
      <formula1>company_list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1208-689B-4305-8B2E-47CD36DE3F4F}">
  <dimension ref="A10:B10"/>
  <sheetViews>
    <sheetView workbookViewId="0">
      <selection activeCell="F10" sqref="F10"/>
    </sheetView>
  </sheetViews>
  <sheetFormatPr defaultRowHeight="15" x14ac:dyDescent="0.25"/>
  <cols>
    <col min="1" max="1" width="19.28515625" customWidth="1"/>
  </cols>
  <sheetData>
    <row r="10" spans="1:2" ht="15.75" x14ac:dyDescent="0.25">
      <c r="A10" s="125" t="s">
        <v>73</v>
      </c>
      <c r="B10" s="124" t="s">
        <v>56</v>
      </c>
    </row>
  </sheetData>
  <dataValidations count="1">
    <dataValidation type="list" allowBlank="1" showInputMessage="1" showErrorMessage="1" sqref="B10" xr:uid="{169E55D8-3CD9-444D-9D42-5F75D104FB22}">
      <formula1>Scenario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26</vt:i4>
      </vt:variant>
    </vt:vector>
  </HeadingPairs>
  <TitlesOfParts>
    <vt:vector size="34" baseType="lpstr">
      <vt:lpstr>Data- GICS, Health Care Equipme</vt:lpstr>
      <vt:lpstr>Data - YHOO</vt:lpstr>
      <vt:lpstr>P&amp;L Statement - Multi Criteria </vt:lpstr>
      <vt:lpstr>P&amp;L Statement-One Criterion</vt:lpstr>
      <vt:lpstr>P&amp;L Statement -1-Criterion (2)</vt:lpstr>
      <vt:lpstr>pivot table1</vt:lpstr>
      <vt:lpstr>data validation1</vt:lpstr>
      <vt:lpstr>data_validation2</vt:lpstr>
      <vt:lpstr>COGS</vt:lpstr>
      <vt:lpstr>COGS_YHOO</vt:lpstr>
      <vt:lpstr>company_list</vt:lpstr>
      <vt:lpstr>Company_list_YHOO</vt:lpstr>
      <vt:lpstr>Company_name</vt:lpstr>
      <vt:lpstr>Gross_Margin</vt:lpstr>
      <vt:lpstr>Gross_Margin_YHOO</vt:lpstr>
      <vt:lpstr>Gross_Profit_YHOO</vt:lpstr>
      <vt:lpstr>Operating_Margin</vt:lpstr>
      <vt:lpstr>Operating_Margin_YHOO</vt:lpstr>
      <vt:lpstr>Operating_Profit_YHOO</vt:lpstr>
      <vt:lpstr>Other_Operating_Expenses</vt:lpstr>
      <vt:lpstr>Other_Operating_Items_YHOO</vt:lpstr>
      <vt:lpstr>R_AND_D</vt:lpstr>
      <vt:lpstr>R_And_D_YHOO</vt:lpstr>
      <vt:lpstr>Scenario</vt:lpstr>
      <vt:lpstr>SGAs</vt:lpstr>
      <vt:lpstr>SGAs_YHOO</vt:lpstr>
      <vt:lpstr>Ticker_Company</vt:lpstr>
      <vt:lpstr>Ticker_symbol</vt:lpstr>
      <vt:lpstr>Total_Revenue</vt:lpstr>
      <vt:lpstr>Total_Revenue_YHOO</vt:lpstr>
      <vt:lpstr>Tricker_Company</vt:lpstr>
      <vt:lpstr>Tricker_Symbol</vt:lpstr>
      <vt:lpstr>Year</vt:lpstr>
      <vt:lpstr>Year_YHOO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makki11</dc:creator>
  <cp:lastModifiedBy>mhd makki11</cp:lastModifiedBy>
  <cp:lastPrinted>2022-05-24T21:54:20Z</cp:lastPrinted>
  <dcterms:created xsi:type="dcterms:W3CDTF">2022-05-06T16:22:17Z</dcterms:created>
  <dcterms:modified xsi:type="dcterms:W3CDTF">2022-05-27T14:59:41Z</dcterms:modified>
</cp:coreProperties>
</file>